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Generic NonLIHTC\Gaps\"/>
    </mc:Choice>
  </mc:AlternateContent>
  <xr:revisionPtr revIDLastSave="0" documentId="13_ncr:1_{B6CB30D5-FF48-429F-940E-B1F21943C7F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<sst xmlns="http://schemas.openxmlformats.org/spreadsheetml/2006/main" count="1995" uniqueCount="1106">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</sst>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22" workbookViewId="0">
      <selection activeCell="G32" sqref="G32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151</v>
      </c>
      <c r="E10" s="699"/>
    </row>
    <row r="11" spans="1:5">
      <c r="A11" s="690"/>
      <c r="B11" s="698" t="s">
        <v>11</v>
      </c>
      <c r="C11" s="698"/>
      <c r="D11" s="700">
        <f>D12+D13</f>
        <v>147144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147144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1104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3.5901035587567111E-2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3.590103558756709E-2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-7583063.37320014</v>
      </c>
      <c r="E18" s="1754">
        <f ca="1">-D18/D28</f>
        <v>8.4737792212319529E-2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10055000</v>
      </c>
      <c r="E21" s="1531">
        <f>D21/$D$10</f>
        <v>66589.403973509936</v>
      </c>
    </row>
    <row r="22" spans="1:6">
      <c r="A22" s="64"/>
      <c r="B22" s="4" t="s">
        <v>16</v>
      </c>
      <c r="C22" s="4"/>
      <c r="D22" s="1531">
        <f>'Development Budget'!G44</f>
        <v>55329000</v>
      </c>
      <c r="E22" s="1531">
        <f t="shared" ref="E22:E28" si="0">D22/$D$10</f>
        <v>366417.21854304633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1863720</v>
      </c>
      <c r="E23" s="1531">
        <f t="shared" si="0"/>
        <v>12342.51655629139</v>
      </c>
    </row>
    <row r="24" spans="1:6">
      <c r="A24" s="64"/>
      <c r="B24" s="4" t="s">
        <v>18</v>
      </c>
      <c r="C24" s="4"/>
      <c r="D24" s="1531">
        <f>'Development Budget'!G97</f>
        <v>2622699</v>
      </c>
      <c r="E24" s="1531">
        <f t="shared" si="0"/>
        <v>17368.867549668874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6024475.2073299373</v>
      </c>
      <c r="E25" s="1531">
        <f t="shared" si="0"/>
        <v>39897.186803509518</v>
      </c>
    </row>
    <row r="26" spans="1:6">
      <c r="A26" s="64"/>
      <c r="B26" s="4" t="s">
        <v>20</v>
      </c>
      <c r="C26" s="4"/>
      <c r="D26" s="1531">
        <f>'Development Budget'!G181</f>
        <v>4172980.0329985875</v>
      </c>
      <c r="E26" s="1531">
        <f t="shared" si="0"/>
        <v>27635.62935760654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9420690.1324600577</v>
      </c>
      <c r="E27" s="1532">
        <f t="shared" si="0"/>
        <v>62388.67637390767</v>
      </c>
    </row>
    <row r="28" spans="1:6" ht="16.5" thickTop="1">
      <c r="A28" s="4"/>
      <c r="B28" s="4"/>
      <c r="C28" s="150" t="s">
        <v>14</v>
      </c>
      <c r="D28" s="1533">
        <f>SUM(D21:D27)</f>
        <v>89488564.372788593</v>
      </c>
      <c r="E28" s="1531">
        <f t="shared" si="0"/>
        <v>592639.49915754038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58167566.842312589</v>
      </c>
      <c r="E32" s="1586">
        <f t="shared" si="1"/>
        <v>385215.67445240123</v>
      </c>
    </row>
    <row r="33" spans="1:5">
      <c r="A33" s="64"/>
      <c r="B33" s="4" t="s">
        <v>1052</v>
      </c>
      <c r="C33" s="4"/>
      <c r="D33" s="1587">
        <f>GapCalc!D29</f>
        <v>4698149.6295714006</v>
      </c>
      <c r="E33" s="1586">
        <f>D33/$D$10</f>
        <v>31113.573705770865</v>
      </c>
    </row>
    <row r="34" spans="1:5">
      <c r="A34" s="65"/>
      <c r="B34" s="4" t="s">
        <v>26</v>
      </c>
      <c r="C34" s="4"/>
      <c r="D34" s="1587">
        <f>GapCalc!D30</f>
        <v>26622847.900904603</v>
      </c>
      <c r="E34" s="1586">
        <f>D34/$D$10</f>
        <v>176310.25099936823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89488564.372788593</v>
      </c>
      <c r="E36" s="1586">
        <f>D36/$D$10</f>
        <v>592639.49915754038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56848929.023646347</v>
      </c>
      <c r="E40" s="1586">
        <f t="shared" ref="E40" si="2">D40/$D$10</f>
        <v>376482.97366653208</v>
      </c>
    </row>
    <row r="41" spans="1:5">
      <c r="A41" s="60"/>
      <c r="B41" s="4" t="s">
        <v>1052</v>
      </c>
      <c r="C41" s="4"/>
      <c r="D41" s="1591">
        <f>GapCalc!D29+GapCalc!D38</f>
        <v>4895945.3023713371</v>
      </c>
      <c r="E41" s="1586">
        <f>D41/$D$10</f>
        <v>32423.47882365124</v>
      </c>
    </row>
    <row r="42" spans="1:5">
      <c r="A42" s="60"/>
      <c r="B42" s="1557" t="s">
        <v>26</v>
      </c>
      <c r="C42" s="4"/>
      <c r="D42" s="1592">
        <f>GapCalc!D30+GapCalc!D39</f>
        <v>27743690.046770908</v>
      </c>
      <c r="E42" s="1586">
        <f>D42/$D$10</f>
        <v>183733.046667357</v>
      </c>
    </row>
    <row r="43" spans="1:5">
      <c r="A43" s="60"/>
      <c r="B43" s="1714" t="s">
        <v>1103</v>
      </c>
      <c r="C43" s="4"/>
      <c r="D43" s="1592">
        <f>IF(D32-D40&gt;0,0,D32-D40)</f>
        <v>0</v>
      </c>
      <c r="E43" s="1586">
        <f>D43/$D$10</f>
        <v>0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89488564.372788593</v>
      </c>
      <c r="E45" s="1588">
        <f>D45/$D$10</f>
        <v>592639.49915754038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31" zoomScaleNormal="100" workbookViewId="0">
      <selection activeCell="D38" sqref="D38:D39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147144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147144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10055000</v>
      </c>
      <c r="E17" s="1531">
        <f>D17/$D$11</f>
        <v>66589.403973509936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55329000</v>
      </c>
      <c r="E18" s="1531">
        <f t="shared" ref="E18:E24" si="0">D18/$D$11</f>
        <v>366417.21854304633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1863720</v>
      </c>
      <c r="E19" s="1531">
        <f t="shared" si="0"/>
        <v>12342.51655629139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2622699</v>
      </c>
      <c r="E20" s="1531">
        <f t="shared" si="0"/>
        <v>17368.867549668874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6024475.2073299373</v>
      </c>
      <c r="E21" s="1531">
        <f t="shared" si="0"/>
        <v>39897.186803509518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4172980.0329985875</v>
      </c>
      <c r="E22" s="1531">
        <f t="shared" si="0"/>
        <v>27635.62935760654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9420690.1324600577</v>
      </c>
      <c r="E23" s="1532">
        <f t="shared" si="0"/>
        <v>62388.67637390767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89488564.372788593</v>
      </c>
      <c r="E24" s="1531">
        <f t="shared" si="0"/>
        <v>592639.49915754038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0.95960010568252574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58167566.842312589</v>
      </c>
      <c r="E28" s="1586">
        <f t="shared" si="1"/>
        <v>385215.67445240123</v>
      </c>
      <c r="F28" s="62"/>
      <c r="G28" s="1419" t="s">
        <v>609</v>
      </c>
      <c r="H28" s="1608">
        <f>H32/D11</f>
        <v>32423.47882365124</v>
      </c>
      <c r="I28" s="703"/>
    </row>
    <row r="29" spans="1:10" ht="15.75">
      <c r="A29" s="64"/>
      <c r="B29" s="4" t="s">
        <v>1052</v>
      </c>
      <c r="C29" s="4"/>
      <c r="D29" s="1587">
        <v>4698149.6295714006</v>
      </c>
      <c r="E29" s="1586">
        <f>D29/$D$11</f>
        <v>31113.573705770865</v>
      </c>
      <c r="F29" s="520"/>
      <c r="G29" s="1420" t="s">
        <v>972</v>
      </c>
      <c r="H29" s="1609">
        <f>H33/D11</f>
        <v>183733.046667357</v>
      </c>
      <c r="I29" s="703"/>
    </row>
    <row r="30" spans="1:10" ht="16.5" thickBot="1">
      <c r="A30" s="65"/>
      <c r="B30" s="4" t="s">
        <v>26</v>
      </c>
      <c r="C30" s="4"/>
      <c r="D30" s="1587">
        <v>26622847.900904603</v>
      </c>
      <c r="E30" s="1586">
        <f>D30/$D$11</f>
        <v>176310.25099936823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4895945.3023713371</v>
      </c>
      <c r="I32" s="1346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89488564.372788593</v>
      </c>
      <c r="E33" s="1586">
        <f>D33/$D$11</f>
        <v>592639.49915754038</v>
      </c>
      <c r="F33" s="62"/>
      <c r="G33" s="1441" t="s">
        <v>972</v>
      </c>
      <c r="H33" s="1611">
        <f>D30+D39</f>
        <v>27743690.046770908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32639635.349142246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0.36473526620868674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56848929.023646347</v>
      </c>
      <c r="E37" s="1586">
        <f t="shared" ref="E37" si="2">D37/$D$11</f>
        <v>376482.97366653208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197795.67279993629</v>
      </c>
      <c r="E38" s="1586">
        <f>D38/$D$11</f>
        <v>1309.9051178803727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1120842.1458663058</v>
      </c>
      <c r="E39" s="1586">
        <f>D39/$D$11</f>
        <v>7422.7956679887802</v>
      </c>
      <c r="F39" s="62"/>
      <c r="G39" s="1435" t="s">
        <v>609</v>
      </c>
      <c r="H39" s="1616">
        <f>-D32*0.15</f>
        <v>0</v>
      </c>
      <c r="I39" s="1596">
        <f>D29+H39</f>
        <v>4698149.6295714006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26622847.900904603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0</v>
      </c>
      <c r="E41" s="1588">
        <f>D41/$D$11</f>
        <v>0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58167566.842312589</v>
      </c>
      <c r="E42" s="1586">
        <f>D42/$D$11</f>
        <v>385215.67445240123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0</v>
      </c>
      <c r="I43" s="1596">
        <f>D38+H43</f>
        <v>197795.67279993629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0</v>
      </c>
      <c r="I44" s="1596">
        <f>D39+H44</f>
        <v>1120842.1458663058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21298086.179550789</v>
      </c>
      <c r="J46" s="1582" t="s">
        <v>1084</v>
      </c>
      <c r="K46" s="1583">
        <f>'Cash Flow'!C76</f>
        <v>3.5901035587567111E-2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6370678.7043331573</v>
      </c>
      <c r="J47" s="1584" t="s">
        <v>1099</v>
      </c>
      <c r="K47" s="1607">
        <f>'Cash Flow'!C70</f>
        <v>34715880.472667783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-6445603.8672201186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3758485.7963913158</v>
      </c>
      <c r="J51" s="1585" t="s">
        <v>1084</v>
      </c>
      <c r="K51" s="1618">
        <f>'Cash Flow'!H76</f>
        <v>3.590103558756709E-2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4895945.3023713371</v>
      </c>
      <c r="J52" s="1584" t="s">
        <v>1098</v>
      </c>
      <c r="K52" s="1607">
        <f>'Cash Flow'!H70</f>
        <v>6126331.8481178442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-1137459.5059800213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-7583063.37320014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31394739.101407934</v>
      </c>
      <c r="J58" s="1582" t="s">
        <v>1084</v>
      </c>
      <c r="K58" s="1583">
        <f>'Cash Flow'!C103</f>
        <v>8.4450679232018794E-2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1098</v>
      </c>
      <c r="K59" s="1607">
        <f>'Cash Flow'!C97</f>
        <v>51173424.735294931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3651049.054637026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4256667.7204254223</v>
      </c>
      <c r="J63" s="1585" t="s">
        <v>1084</v>
      </c>
      <c r="K63" s="1618">
        <f>'Cash Flow'!H103</f>
        <v>4.1716623772999652E-2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4895945.3023713371</v>
      </c>
      <c r="J64" s="1584" t="s">
        <v>1098</v>
      </c>
      <c r="K64" s="1607">
        <f>'Cash Flow'!H97</f>
        <v>6938368.3842934379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-639277.58194591478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3011771.4726911113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22" zoomScale="130" zoomScaleNormal="130" workbookViewId="0">
      <selection activeCell="Q39" sqref="Q39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0.19867549668874171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0.79470198675496684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33</v>
      </c>
      <c r="E9" s="278">
        <f>IF(D9="","",D9/D$15)</f>
        <v>0.2185430463576159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1105</v>
      </c>
      <c r="N9" s="298">
        <f>E46+E183</f>
        <v>30</v>
      </c>
      <c r="O9" s="332">
        <f t="shared" si="0"/>
        <v>0.19867549668874171</v>
      </c>
    </row>
    <row r="10" spans="2:19" ht="12.75" customHeight="1">
      <c r="B10" s="268"/>
      <c r="C10" s="209" t="s">
        <v>53</v>
      </c>
      <c r="D10" s="210">
        <f>SUM(E24,E33,E42,E51,E60,E78,E69,E87,E96,E116,E106)</f>
        <v>26</v>
      </c>
      <c r="E10" s="278">
        <f>IF(D10="","",D10/D$15)</f>
        <v>0.17218543046357615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92</v>
      </c>
      <c r="E11" s="278">
        <f>IF(D11="","",D11/D$15)</f>
        <v>0.60927152317880795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120</v>
      </c>
      <c r="O13" s="332">
        <f>N13/$N$18</f>
        <v>0.79470198675496684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151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150</v>
      </c>
      <c r="O16" s="283">
        <f>SUM(O7:O15)</f>
        <v>0.99337748344370858</v>
      </c>
    </row>
    <row r="17" spans="2:21" ht="12.75" customHeight="1">
      <c r="B17" s="268"/>
      <c r="C17" s="201" t="s">
        <v>62</v>
      </c>
      <c r="E17" s="284">
        <f>SUM(J28+J37,J46,J55,J64,J82,J91,J73,J100,J120,J110)</f>
        <v>122620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6.6225165562913907E-3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543947</v>
      </c>
      <c r="F18" s="285"/>
      <c r="H18" s="286"/>
      <c r="I18" s="287"/>
      <c r="K18" s="226"/>
      <c r="M18" s="328" t="s">
        <v>10</v>
      </c>
      <c r="N18" s="1423">
        <f>N17+N16</f>
        <v>151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0.19867549668874171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15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6000</v>
      </c>
      <c r="K41" s="292">
        <f>E41*I41</f>
        <v>29115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8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5360</v>
      </c>
      <c r="K42" s="292">
        <f>E42*I42</f>
        <v>16640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7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7000</v>
      </c>
      <c r="K43" s="292">
        <f>E43*I43</f>
        <v>17472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30</v>
      </c>
      <c r="F46" s="203"/>
      <c r="G46" s="203"/>
      <c r="H46" s="246"/>
      <c r="I46" s="247"/>
      <c r="J46" s="296">
        <f>SUM(J41:J45)</f>
        <v>18360</v>
      </c>
      <c r="K46" s="297">
        <f>SUM(K41:K45)</f>
        <v>63227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18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7200</v>
      </c>
      <c r="K50" s="292">
        <f>E50*I50</f>
        <v>43200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18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12060</v>
      </c>
      <c r="K51" s="292">
        <f>E51*I51</f>
        <v>56160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84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84000</v>
      </c>
      <c r="K52" s="292">
        <f>E52*I52</f>
        <v>381360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120</v>
      </c>
      <c r="F55" s="247"/>
      <c r="G55" s="247"/>
      <c r="H55" s="246"/>
      <c r="I55" s="247"/>
      <c r="J55" s="296">
        <f>SUM(J50:J54)</f>
        <v>103260</v>
      </c>
      <c r="K55" s="297">
        <f>SUM(K50:K54)</f>
        <v>480720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151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21" zoomScaleNormal="100" workbookViewId="0">
      <selection activeCell="M151" sqref="M1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0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9880000</v>
      </c>
      <c r="F18" s="845"/>
      <c r="G18" s="1392">
        <f>E18</f>
        <v>9880000</v>
      </c>
      <c r="H18" s="950"/>
      <c r="I18" s="950">
        <f>G18/$F$9</f>
        <v>65430.463576158938</v>
      </c>
      <c r="J18" s="1015"/>
      <c r="K18" s="1016"/>
      <c r="L18" s="1016"/>
      <c r="M18" s="1431">
        <f>F9*N17</f>
        <v>9815000</v>
      </c>
      <c r="N18" s="1674">
        <v>9880000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9880000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165.56291390728478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993.37748344370857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10055000</v>
      </c>
      <c r="H28" s="1333"/>
      <c r="I28" s="1325">
        <f t="shared" si="0"/>
        <v>66589.403973509936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10055000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44143200</v>
      </c>
      <c r="H32" s="1039"/>
      <c r="I32" s="950">
        <f t="shared" si="0"/>
        <v>292339.07284768211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48557520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44143200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0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4414320</v>
      </c>
      <c r="G36" s="854">
        <f>F36</f>
        <v>4414320</v>
      </c>
      <c r="H36" s="950"/>
      <c r="I36" s="950">
        <f t="shared" si="0"/>
        <v>29233.907284768211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3090024.0000000005</v>
      </c>
      <c r="H37" s="1072"/>
      <c r="I37" s="950">
        <f t="shared" si="0"/>
        <v>20463.735099337751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3090024.0000000005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2207160</v>
      </c>
      <c r="H38" s="1072"/>
      <c r="I38" s="950">
        <f t="shared" si="0"/>
        <v>14616.953642384105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2207160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662148</v>
      </c>
      <c r="H40" s="1072"/>
      <c r="I40" s="950">
        <f t="shared" si="0"/>
        <v>4385.0860927152316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662148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662148</v>
      </c>
      <c r="H41" s="1072"/>
      <c r="I41" s="950">
        <f t="shared" si="0"/>
        <v>4385.0860927152316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662148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55329000</v>
      </c>
      <c r="H44" s="1324"/>
      <c r="I44" s="1325">
        <f t="shared" si="0"/>
        <v>366417.21854304633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55329000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55329000</v>
      </c>
      <c r="H46" s="1333"/>
      <c r="I46" s="1325">
        <f t="shared" si="0"/>
        <v>366417.21854304633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55329000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5532900</v>
      </c>
      <c r="H47" s="1039"/>
      <c r="I47" s="950">
        <f t="shared" si="0"/>
        <v>36641.721854304633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5532900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50585</v>
      </c>
      <c r="G49" s="1092">
        <f>F49</f>
        <v>50585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55568</v>
      </c>
      <c r="G50" s="1092">
        <f>F50</f>
        <v>55568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8.112582781456954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107378</v>
      </c>
      <c r="H52" s="1101"/>
      <c r="I52" s="950">
        <f t="shared" si="0"/>
        <v>711.11258278145692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107378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1731800</v>
      </c>
      <c r="H54" s="1039"/>
      <c r="I54" s="950">
        <f t="shared" si="0"/>
        <v>11468.874172185431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1731800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1568000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1568000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101920</v>
      </c>
      <c r="H57" s="1117"/>
      <c r="I57" s="950">
        <f t="shared" si="0"/>
        <v>674.96688741721857</v>
      </c>
      <c r="J57" s="1015"/>
      <c r="K57" s="1118"/>
      <c r="L57" s="1119"/>
      <c r="M57" s="1120">
        <f>(5000*F9)*1.6</f>
        <v>1208000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101920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198.67549668874173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1534397.5</v>
      </c>
      <c r="H59" s="1128"/>
      <c r="I59" s="950">
        <f t="shared" si="0"/>
        <v>10161.572847682119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1863720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138322.5</v>
      </c>
      <c r="H67" s="1039"/>
      <c r="I67" s="950">
        <f t="shared" si="0"/>
        <v>916.04304635761594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138322.5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46.357615894039732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629.13907284768209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165.56291390728478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198.67549668874173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225.16556291390728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329322.5</v>
      </c>
      <c r="H80" s="1101"/>
      <c r="I80" s="950">
        <f t="shared" si="0"/>
        <v>2180.9437086092717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329322.5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2522699</v>
      </c>
      <c r="H90" s="1111"/>
      <c r="I90" s="950">
        <f t="shared" si="3"/>
        <v>16706.615894039736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2522699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51432</v>
      </c>
      <c r="G91" s="1110">
        <v>100000</v>
      </c>
      <c r="H91" s="1111"/>
      <c r="I91" s="950">
        <f t="shared" si="3"/>
        <v>662.25165562913912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f>M94</f>
        <v>1779837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1779837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392600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2622699</v>
      </c>
      <c r="H97" s="1101"/>
      <c r="I97" s="950">
        <f t="shared" si="3"/>
        <v>17368.867549668874</v>
      </c>
      <c r="J97" s="1102"/>
      <c r="K97" s="1166">
        <f>I97/I250</f>
        <v>2.9307644148524322E-2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2622699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250080.12264474371</v>
      </c>
      <c r="H102" s="1111"/>
      <c r="I102" s="950">
        <f t="shared" si="3"/>
        <v>1656.1597526141968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250080.12264474371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235080.12264474371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4667040.6779040648</v>
      </c>
      <c r="N103" s="1172">
        <v>4701602.4528948739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250080.12264474371</v>
      </c>
      <c r="H114" s="1101"/>
      <c r="I114" s="950">
        <f t="shared" si="3"/>
        <v>1656.1597526141968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250080.12264474371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4144431.4043516535</v>
      </c>
      <c r="H116" s="1177"/>
      <c r="I116" s="950">
        <f t="shared" si="3"/>
        <v>27446.565591732804</v>
      </c>
      <c r="J116" s="1178"/>
      <c r="K116" s="1179" t="s">
        <v>823</v>
      </c>
      <c r="L116" s="1073"/>
      <c r="M116" s="1180">
        <f>0.5*Data!C20*Data!C17/12*Data!C19</f>
        <v>4100813.4623830384</v>
      </c>
      <c r="N116" s="1181">
        <v>4144431.4043516535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4144431.4043516535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587862.61054633383</v>
      </c>
      <c r="H117" s="1094"/>
      <c r="I117" s="950">
        <f t="shared" si="3"/>
        <v>3893.1298711677737</v>
      </c>
      <c r="J117" s="1015"/>
      <c r="K117" s="1184" t="s">
        <v>825</v>
      </c>
      <c r="L117" s="1185"/>
      <c r="M117" s="1186">
        <f>0.01*Data!C20</f>
        <v>581675.66842312587</v>
      </c>
      <c r="N117" s="1172">
        <v>587862.61054633383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587862.61054633383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296251.30599999998</v>
      </c>
      <c r="H120" s="1039"/>
      <c r="I120" s="950">
        <f t="shared" si="3"/>
        <v>1961.929178807947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296251.30599999998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772350.49485000013</v>
      </c>
      <c r="H121" s="1117"/>
      <c r="I121" s="950">
        <f t="shared" si="3"/>
        <v>5114.9039394039746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772350.49485000013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772350.49485000013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98179.391581950069</v>
      </c>
      <c r="H125" s="1111"/>
      <c r="I125" s="950">
        <f t="shared" si="3"/>
        <v>650.19464623807994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98179.391581950069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88179.391581950069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87251.350263468892</v>
      </c>
      <c r="N126" s="1172">
        <v>88179.391581950069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101.98675496688742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5914475.2073299373</v>
      </c>
      <c r="H148" s="1128"/>
      <c r="I148" s="950">
        <f t="shared" si="6"/>
        <v>39168.709982317465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5914475.2073299373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562224.77195673715</v>
      </c>
      <c r="H151" s="1093"/>
      <c r="I151" s="950">
        <f t="shared" ref="I151:I158" si="7">G151/$F$9</f>
        <v>3723.3428606406433</v>
      </c>
      <c r="J151" s="1094"/>
      <c r="K151" s="1244" t="s">
        <v>863</v>
      </c>
      <c r="L151" s="1245"/>
      <c r="M151" s="1558">
        <f>Data!C31*Data!C30</f>
        <v>568489.29023646354</v>
      </c>
      <c r="N151" s="1345">
        <v>562224.77195673715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5235081.0158081334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397.35099337748346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331.12582781456956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728.47682119205297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4172980.0329985875</v>
      </c>
      <c r="H178" s="1093"/>
      <c r="I178" s="950">
        <f t="shared" si="6"/>
        <v>27635.62935760654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4172980.0329985875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4172980.0329985875</v>
      </c>
      <c r="H181" s="1128"/>
      <c r="I181" s="950">
        <f t="shared" si="6"/>
        <v>27635.62935760654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4172980.0329985875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86.092715231788077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79.47019867549669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165.56291390728478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96.026490066225165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617.5496688741722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331.12582781456956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1860.9271523178809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693165.34314866341</v>
      </c>
      <c r="H233" s="1111"/>
      <c r="I233" s="950">
        <f t="shared" si="8"/>
        <v>4590.4989612494264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693165.34314866341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1131915.3431486634</v>
      </c>
      <c r="H234" s="1282"/>
      <c r="I234" s="950">
        <f t="shared" si="8"/>
        <v>7496.1281003222739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1131915.3431486634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16556.291390728478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137.41721854304635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16693.708609271522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4.4150110375275933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13.245033112582782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17.660044150110373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89488564.372788593</v>
      </c>
      <c r="H250" s="1298"/>
      <c r="I250" s="1299">
        <f>G250/F9</f>
        <v>592639.49915754038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608.16998567925702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J20" sqref="J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151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147144</v>
      </c>
      <c r="D5" t="s">
        <v>428</v>
      </c>
      <c r="G5" s="510"/>
    </row>
    <row r="6" spans="1:15">
      <c r="B6" s="1350" t="s">
        <v>12</v>
      </c>
      <c r="C6" s="700">
        <f>'Construction Calculation'!C14</f>
        <v>147144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24524</v>
      </c>
      <c r="D8" t="s">
        <v>428</v>
      </c>
      <c r="G8" s="510"/>
    </row>
    <row r="9" spans="1:15">
      <c r="B9" s="1350" t="s">
        <v>430</v>
      </c>
      <c r="C9" s="700">
        <f>'Construction Calculation'!C47</f>
        <v>75.5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1101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58167566.842312589</v>
      </c>
      <c r="D20" s="1375">
        <f>MIN(D22,GapCalc!D24)</f>
        <v>58167566.842312589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58167566.842312589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6.0499999999999998E-2</v>
      </c>
      <c r="D24" s="1425">
        <f>PMT(C24/12,C25*12,C30)*12</f>
        <v>-3946480.0329985684</v>
      </c>
      <c r="E24" s="1384"/>
      <c r="G24" s="1377"/>
      <c r="H24" s="1385"/>
      <c r="K24" s="1425"/>
    </row>
    <row r="25" spans="1:13">
      <c r="A25" s="1371"/>
      <c r="B25" t="s">
        <v>1102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3946480.0329985875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74475561.599999994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56848929.023646347</v>
      </c>
      <c r="D30" s="1376">
        <f>-PV($C$24/12,$C$29*12,C27/12)</f>
        <v>56848929.023646347</v>
      </c>
      <c r="E30" s="1384"/>
      <c r="F30" t="s">
        <v>438</v>
      </c>
      <c r="G30" s="1381"/>
      <c r="H30" s="1376">
        <f>PV(G23,G29,-'Cash Flow'!E41*H28,)</f>
        <v>6362269.188128503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1102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3946480.0329985875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1039</v>
      </c>
      <c r="E38" s="1391">
        <f>C37*GapCalc!D24</f>
        <v>71590851.498230875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64906822.776493698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6527364</v>
      </c>
      <c r="F12" s="89">
        <f>E12*(1+$D$12)</f>
        <v>6690548.0999999996</v>
      </c>
      <c r="G12" s="89">
        <f t="shared" ref="G12:AH12" si="0">F12*(1+$D$12)</f>
        <v>6857811.8024999993</v>
      </c>
      <c r="H12" s="89">
        <f t="shared" si="0"/>
        <v>7029257.0975624984</v>
      </c>
      <c r="I12" s="89">
        <f t="shared" si="0"/>
        <v>7204988.5250015603</v>
      </c>
      <c r="J12" s="89">
        <f t="shared" si="0"/>
        <v>7385113.2381265983</v>
      </c>
      <c r="K12" s="89">
        <f t="shared" si="0"/>
        <v>7569741.0690797623</v>
      </c>
      <c r="L12" s="89">
        <f t="shared" si="0"/>
        <v>7758984.5958067561</v>
      </c>
      <c r="M12" s="89">
        <f t="shared" si="0"/>
        <v>7952959.2107019238</v>
      </c>
      <c r="N12" s="89">
        <f t="shared" si="0"/>
        <v>8151783.1909694709</v>
      </c>
      <c r="O12" s="89">
        <f t="shared" si="0"/>
        <v>8355577.7707437072</v>
      </c>
      <c r="P12" s="89">
        <f t="shared" si="0"/>
        <v>8564467.2150122989</v>
      </c>
      <c r="Q12" s="89">
        <f t="shared" si="0"/>
        <v>8778578.8953876048</v>
      </c>
      <c r="R12" s="89">
        <f t="shared" si="0"/>
        <v>8998043.3677722942</v>
      </c>
      <c r="S12" s="90">
        <f t="shared" si="0"/>
        <v>9222994.4519666005</v>
      </c>
      <c r="T12" s="89">
        <f t="shared" si="0"/>
        <v>9453569.3132657651</v>
      </c>
      <c r="U12" s="89">
        <f t="shared" si="0"/>
        <v>9689908.546097409</v>
      </c>
      <c r="V12" s="89">
        <f t="shared" si="0"/>
        <v>9932156.2597498428</v>
      </c>
      <c r="W12" s="89">
        <f t="shared" si="0"/>
        <v>10180460.166243589</v>
      </c>
      <c r="X12" s="89">
        <f t="shared" si="0"/>
        <v>10434971.670399677</v>
      </c>
      <c r="Y12" s="89">
        <f t="shared" si="0"/>
        <v>10695845.962159667</v>
      </c>
      <c r="Z12" s="89">
        <f t="shared" si="0"/>
        <v>10963242.111213658</v>
      </c>
      <c r="AA12" s="89">
        <f t="shared" si="0"/>
        <v>11237323.163993999</v>
      </c>
      <c r="AB12" s="89">
        <f t="shared" si="0"/>
        <v>11518256.243093848</v>
      </c>
      <c r="AC12" s="89">
        <f t="shared" si="0"/>
        <v>11806212.649171194</v>
      </c>
      <c r="AD12" s="89">
        <f t="shared" si="0"/>
        <v>12101367.965400472</v>
      </c>
      <c r="AE12" s="89">
        <f t="shared" si="0"/>
        <v>12403902.164535483</v>
      </c>
      <c r="AF12" s="89">
        <f t="shared" si="0"/>
        <v>12713999.71864887</v>
      </c>
      <c r="AG12" s="89">
        <f t="shared" si="0"/>
        <v>13031849.711615089</v>
      </c>
      <c r="AH12" s="89">
        <f t="shared" si="0"/>
        <v>13357645.954405466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-326647.2</v>
      </c>
      <c r="F14" s="100">
        <f t="shared" ref="F14:AH14" si="2">-((F12+F13)*$C$14)</f>
        <v>-334813.38</v>
      </c>
      <c r="G14" s="100">
        <f t="shared" si="2"/>
        <v>-343183.7145</v>
      </c>
      <c r="H14" s="100">
        <f t="shared" si="2"/>
        <v>-351763.30736249994</v>
      </c>
      <c r="I14" s="100">
        <f t="shared" si="2"/>
        <v>-360557.39004656242</v>
      </c>
      <c r="J14" s="100">
        <f t="shared" si="2"/>
        <v>-369571.32479772641</v>
      </c>
      <c r="K14" s="100">
        <f t="shared" si="2"/>
        <v>-378810.60791766952</v>
      </c>
      <c r="L14" s="100">
        <f t="shared" si="2"/>
        <v>-388280.87311561126</v>
      </c>
      <c r="M14" s="100">
        <f t="shared" si="2"/>
        <v>-397987.89494350151</v>
      </c>
      <c r="N14" s="100">
        <f t="shared" si="2"/>
        <v>-407937.59231708897</v>
      </c>
      <c r="O14" s="100">
        <f t="shared" si="2"/>
        <v>-418136.03212501621</v>
      </c>
      <c r="P14" s="100">
        <f t="shared" si="2"/>
        <v>-428589.4329281415</v>
      </c>
      <c r="Q14" s="100">
        <f t="shared" si="2"/>
        <v>-439304.16875134496</v>
      </c>
      <c r="R14" s="100">
        <f t="shared" si="2"/>
        <v>-450286.77297012857</v>
      </c>
      <c r="S14" s="101">
        <f t="shared" si="2"/>
        <v>-461543.94229438179</v>
      </c>
      <c r="T14" s="100">
        <f t="shared" si="2"/>
        <v>-473082.54085174121</v>
      </c>
      <c r="U14" s="100">
        <f t="shared" si="2"/>
        <v>-484909.60437303479</v>
      </c>
      <c r="V14" s="100">
        <f t="shared" si="2"/>
        <v>-497032.34448236052</v>
      </c>
      <c r="W14" s="100">
        <f t="shared" si="2"/>
        <v>-509458.15309441957</v>
      </c>
      <c r="X14" s="100">
        <f t="shared" si="2"/>
        <v>-522194.60692177992</v>
      </c>
      <c r="Y14" s="100">
        <f t="shared" si="2"/>
        <v>-535249.47209482442</v>
      </c>
      <c r="Z14" s="100">
        <f t="shared" si="2"/>
        <v>-548630.70889719494</v>
      </c>
      <c r="AA14" s="100">
        <f t="shared" si="2"/>
        <v>-562346.47661962488</v>
      </c>
      <c r="AB14" s="100">
        <f t="shared" si="2"/>
        <v>-576405.1385351154</v>
      </c>
      <c r="AC14" s="100">
        <f t="shared" si="2"/>
        <v>-590815.26699849323</v>
      </c>
      <c r="AD14" s="100">
        <f t="shared" si="2"/>
        <v>-605585.64867345558</v>
      </c>
      <c r="AE14" s="100">
        <f t="shared" si="2"/>
        <v>-620725.28989029187</v>
      </c>
      <c r="AF14" s="100">
        <f t="shared" si="2"/>
        <v>-636243.42213754915</v>
      </c>
      <c r="AG14" s="100">
        <f t="shared" si="2"/>
        <v>-652149.50769098778</v>
      </c>
      <c r="AH14" s="100">
        <f t="shared" si="2"/>
        <v>-668453.2453832624</v>
      </c>
    </row>
    <row r="15" spans="1:34">
      <c r="A15" s="76"/>
      <c r="B15" s="102" t="s">
        <v>312</v>
      </c>
      <c r="C15" s="76"/>
      <c r="D15" s="76"/>
      <c r="E15" s="95">
        <f>SUM(E12:E14)</f>
        <v>6206296.7999999998</v>
      </c>
      <c r="F15" s="95">
        <f t="shared" ref="F15:AH15" si="3">SUM(F12:F14)</f>
        <v>6361454.2199999997</v>
      </c>
      <c r="G15" s="103">
        <f t="shared" si="3"/>
        <v>6520490.5754999993</v>
      </c>
      <c r="H15" s="104">
        <f t="shared" si="3"/>
        <v>6683502.8398874989</v>
      </c>
      <c r="I15" s="104">
        <f t="shared" si="3"/>
        <v>6850590.4108846858</v>
      </c>
      <c r="J15" s="95">
        <f t="shared" si="3"/>
        <v>7021855.1711568013</v>
      </c>
      <c r="K15" s="103">
        <f t="shared" si="3"/>
        <v>7197401.5504357209</v>
      </c>
      <c r="L15" s="95">
        <f t="shared" si="3"/>
        <v>7377336.5891966131</v>
      </c>
      <c r="M15" s="95">
        <f t="shared" si="3"/>
        <v>7561770.0039265277</v>
      </c>
      <c r="N15" s="95">
        <f t="shared" si="3"/>
        <v>7750814.25402469</v>
      </c>
      <c r="O15" s="95">
        <f t="shared" si="3"/>
        <v>7944584.6103753075</v>
      </c>
      <c r="P15" s="95">
        <f t="shared" si="3"/>
        <v>8143199.2256346885</v>
      </c>
      <c r="Q15" s="95">
        <f t="shared" si="3"/>
        <v>8346779.2062755534</v>
      </c>
      <c r="R15" s="95">
        <f t="shared" si="3"/>
        <v>8555448.6864324417</v>
      </c>
      <c r="S15" s="96">
        <f t="shared" si="3"/>
        <v>8769334.9035932533</v>
      </c>
      <c r="T15" s="95">
        <f t="shared" si="3"/>
        <v>8988568.2761830818</v>
      </c>
      <c r="U15" s="95">
        <f t="shared" si="3"/>
        <v>9213282.4830876607</v>
      </c>
      <c r="V15" s="95">
        <f t="shared" si="3"/>
        <v>9443614.5451648496</v>
      </c>
      <c r="W15" s="95">
        <f t="shared" si="3"/>
        <v>9679704.9087939709</v>
      </c>
      <c r="X15" s="95">
        <f t="shared" si="3"/>
        <v>9921697.5315138176</v>
      </c>
      <c r="Y15" s="95">
        <f t="shared" si="3"/>
        <v>10169739.969801662</v>
      </c>
      <c r="Z15" s="95">
        <f t="shared" si="3"/>
        <v>10423983.469046703</v>
      </c>
      <c r="AA15" s="95">
        <f t="shared" si="3"/>
        <v>10684583.055772871</v>
      </c>
      <c r="AB15" s="95">
        <f t="shared" si="3"/>
        <v>10951697.632167192</v>
      </c>
      <c r="AC15" s="95">
        <f t="shared" si="3"/>
        <v>11225490.07297137</v>
      </c>
      <c r="AD15" s="95">
        <f t="shared" si="3"/>
        <v>11506127.324795654</v>
      </c>
      <c r="AE15" s="95">
        <f t="shared" si="3"/>
        <v>11793780.507915545</v>
      </c>
      <c r="AF15" s="95">
        <f t="shared" si="3"/>
        <v>12088625.020613432</v>
      </c>
      <c r="AG15" s="95">
        <f t="shared" si="3"/>
        <v>12390840.646128766</v>
      </c>
      <c r="AH15" s="95">
        <f t="shared" si="3"/>
        <v>12700611.662281984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-906000</v>
      </c>
      <c r="F18" s="89">
        <f>E18*(1+$D$18)</f>
        <v>-937709.99999999988</v>
      </c>
      <c r="G18" s="94">
        <f t="shared" ref="G18:AH18" si="5">F18*(1+$D$18)</f>
        <v>-970529.84999999986</v>
      </c>
      <c r="H18" s="106">
        <f t="shared" si="5"/>
        <v>-1004498.3947499997</v>
      </c>
      <c r="I18" s="106">
        <f t="shared" si="5"/>
        <v>-1039655.8385662497</v>
      </c>
      <c r="J18" s="89">
        <f t="shared" si="5"/>
        <v>-1076043.7929160683</v>
      </c>
      <c r="K18" s="94">
        <f t="shared" si="5"/>
        <v>-1113705.3256681305</v>
      </c>
      <c r="L18" s="89">
        <f t="shared" si="5"/>
        <v>-1152685.0120665149</v>
      </c>
      <c r="M18" s="89">
        <f t="shared" si="5"/>
        <v>-1193028.9874888428</v>
      </c>
      <c r="N18" s="89">
        <f t="shared" si="5"/>
        <v>-1234785.0020509523</v>
      </c>
      <c r="O18" s="89">
        <f t="shared" si="5"/>
        <v>-1278002.4771227355</v>
      </c>
      <c r="P18" s="89">
        <f t="shared" si="5"/>
        <v>-1322732.563822031</v>
      </c>
      <c r="Q18" s="89">
        <f t="shared" si="5"/>
        <v>-1369028.2035558021</v>
      </c>
      <c r="R18" s="89">
        <f t="shared" si="5"/>
        <v>-1416944.1906802552</v>
      </c>
      <c r="S18" s="90">
        <f t="shared" si="5"/>
        <v>-1466537.2373540639</v>
      </c>
      <c r="T18" s="89">
        <f t="shared" si="5"/>
        <v>-1517866.0406614561</v>
      </c>
      <c r="U18" s="89">
        <f t="shared" si="5"/>
        <v>-1570991.3520846069</v>
      </c>
      <c r="V18" s="89">
        <f t="shared" si="5"/>
        <v>-1625976.0494075681</v>
      </c>
      <c r="W18" s="89">
        <f t="shared" si="5"/>
        <v>-1682885.2111368328</v>
      </c>
      <c r="X18" s="89">
        <f t="shared" si="5"/>
        <v>-1741786.1935266219</v>
      </c>
      <c r="Y18" s="89">
        <f t="shared" si="5"/>
        <v>-1802748.7103000535</v>
      </c>
      <c r="Z18" s="89">
        <f t="shared" si="5"/>
        <v>-1865844.9151605552</v>
      </c>
      <c r="AA18" s="89">
        <f t="shared" si="5"/>
        <v>-1931149.4871911744</v>
      </c>
      <c r="AB18" s="89">
        <f t="shared" si="5"/>
        <v>-1998739.7192428655</v>
      </c>
      <c r="AC18" s="89">
        <f t="shared" si="5"/>
        <v>-2068695.6094163656</v>
      </c>
      <c r="AD18" s="89">
        <f t="shared" si="5"/>
        <v>-2141099.9557459382</v>
      </c>
      <c r="AE18" s="89">
        <f t="shared" si="5"/>
        <v>-2216038.4541970459</v>
      </c>
      <c r="AF18" s="89">
        <f t="shared" si="5"/>
        <v>-2293599.8000939423</v>
      </c>
      <c r="AG18" s="89">
        <f t="shared" si="5"/>
        <v>-2373875.7930972301</v>
      </c>
      <c r="AH18" s="89">
        <f t="shared" si="5"/>
        <v>-2456961.4458556329</v>
      </c>
    </row>
    <row r="19" spans="1:34">
      <c r="A19" s="86"/>
      <c r="B19" s="87" t="s">
        <v>315</v>
      </c>
      <c r="C19" s="1713" t="s">
        <v>1100</v>
      </c>
      <c r="D19" s="88">
        <v>1.2500000000000001E-2</v>
      </c>
      <c r="E19" s="95">
        <f>IF(C19="Abatement", 0, -'Tax Calc'!B10)</f>
        <v>-519220.76040169538</v>
      </c>
      <c r="F19" s="89">
        <f>E19*(1+$D$19)</f>
        <v>-525711.01990671654</v>
      </c>
      <c r="G19" s="89">
        <f t="shared" ref="G19:AH19" si="6">F19*(1+$D$19)</f>
        <v>-532282.40765555052</v>
      </c>
      <c r="H19" s="89">
        <f t="shared" si="6"/>
        <v>-538935.93775124487</v>
      </c>
      <c r="I19" s="89">
        <f t="shared" si="6"/>
        <v>-545672.63697313541</v>
      </c>
      <c r="J19" s="89">
        <f t="shared" si="6"/>
        <v>-552493.54493529955</v>
      </c>
      <c r="K19" s="89">
        <f t="shared" si="6"/>
        <v>-559399.71424699074</v>
      </c>
      <c r="L19" s="89">
        <f t="shared" si="6"/>
        <v>-566392.21067507809</v>
      </c>
      <c r="M19" s="89">
        <f t="shared" si="6"/>
        <v>-573472.11330851656</v>
      </c>
      <c r="N19" s="89">
        <f t="shared" si="6"/>
        <v>-580640.51472487301</v>
      </c>
      <c r="O19" s="89">
        <f t="shared" si="6"/>
        <v>-587898.52115893387</v>
      </c>
      <c r="P19" s="89">
        <f t="shared" si="6"/>
        <v>-595247.25267342047</v>
      </c>
      <c r="Q19" s="89">
        <f t="shared" si="6"/>
        <v>-602687.84333183826</v>
      </c>
      <c r="R19" s="89">
        <f t="shared" si="6"/>
        <v>-610221.44137348619</v>
      </c>
      <c r="S19" s="90">
        <f t="shared" si="6"/>
        <v>-617849.20939065469</v>
      </c>
      <c r="T19" s="89">
        <f t="shared" si="6"/>
        <v>-625572.32450803788</v>
      </c>
      <c r="U19" s="89">
        <f t="shared" si="6"/>
        <v>-633391.97856438835</v>
      </c>
      <c r="V19" s="89">
        <f t="shared" si="6"/>
        <v>-641309.37829644314</v>
      </c>
      <c r="W19" s="89">
        <f t="shared" si="6"/>
        <v>-649325.7455251487</v>
      </c>
      <c r="X19" s="89">
        <f t="shared" si="6"/>
        <v>-657442.31734421302</v>
      </c>
      <c r="Y19" s="89">
        <f t="shared" si="6"/>
        <v>-665660.34631101566</v>
      </c>
      <c r="Z19" s="89">
        <f t="shared" si="6"/>
        <v>-673981.10063990334</v>
      </c>
      <c r="AA19" s="89">
        <f t="shared" si="6"/>
        <v>-682405.86439790204</v>
      </c>
      <c r="AB19" s="89">
        <f t="shared" si="6"/>
        <v>-690935.93770287582</v>
      </c>
      <c r="AC19" s="89">
        <f t="shared" si="6"/>
        <v>-699572.63692416169</v>
      </c>
      <c r="AD19" s="89">
        <f t="shared" si="6"/>
        <v>-708317.29488571372</v>
      </c>
      <c r="AE19" s="89">
        <f t="shared" si="6"/>
        <v>-717171.26107178512</v>
      </c>
      <c r="AF19" s="89">
        <f t="shared" si="6"/>
        <v>-726135.90183518245</v>
      </c>
      <c r="AG19" s="89">
        <f t="shared" si="6"/>
        <v>-735212.60060812219</v>
      </c>
      <c r="AH19" s="89">
        <f t="shared" si="6"/>
        <v>-744402.75811572373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-45300</v>
      </c>
      <c r="F20" s="108">
        <f>+E20</f>
        <v>-45300</v>
      </c>
      <c r="G20" s="108">
        <f>F20</f>
        <v>-45300</v>
      </c>
      <c r="H20" s="108">
        <f>G20</f>
        <v>-45300</v>
      </c>
      <c r="I20" s="108">
        <f>H20</f>
        <v>-45300</v>
      </c>
      <c r="J20" s="108">
        <f t="shared" ref="J20:AH20" si="7">I20</f>
        <v>-45300</v>
      </c>
      <c r="K20" s="108">
        <f t="shared" si="7"/>
        <v>-45300</v>
      </c>
      <c r="L20" s="108">
        <f t="shared" si="7"/>
        <v>-45300</v>
      </c>
      <c r="M20" s="108">
        <f t="shared" si="7"/>
        <v>-45300</v>
      </c>
      <c r="N20" s="108">
        <f t="shared" si="7"/>
        <v>-45300</v>
      </c>
      <c r="O20" s="108">
        <f>N20</f>
        <v>-45300</v>
      </c>
      <c r="P20" s="108">
        <f t="shared" si="7"/>
        <v>-45300</v>
      </c>
      <c r="Q20" s="108">
        <f t="shared" si="7"/>
        <v>-45300</v>
      </c>
      <c r="R20" s="108">
        <f t="shared" si="7"/>
        <v>-45300</v>
      </c>
      <c r="S20" s="109">
        <f t="shared" si="7"/>
        <v>-45300</v>
      </c>
      <c r="T20" s="108">
        <f t="shared" si="7"/>
        <v>-45300</v>
      </c>
      <c r="U20" s="108">
        <f t="shared" si="7"/>
        <v>-45300</v>
      </c>
      <c r="V20" s="108">
        <f t="shared" si="7"/>
        <v>-45300</v>
      </c>
      <c r="W20" s="108">
        <f t="shared" si="7"/>
        <v>-45300</v>
      </c>
      <c r="X20" s="108">
        <f t="shared" si="7"/>
        <v>-45300</v>
      </c>
      <c r="Y20" s="108">
        <f t="shared" si="7"/>
        <v>-45300</v>
      </c>
      <c r="Z20" s="108">
        <f t="shared" si="7"/>
        <v>-45300</v>
      </c>
      <c r="AA20" s="108">
        <f t="shared" si="7"/>
        <v>-45300</v>
      </c>
      <c r="AB20" s="108">
        <f t="shared" si="7"/>
        <v>-45300</v>
      </c>
      <c r="AC20" s="108">
        <f t="shared" si="7"/>
        <v>-45300</v>
      </c>
      <c r="AD20" s="108">
        <f t="shared" si="7"/>
        <v>-45300</v>
      </c>
      <c r="AE20" s="108">
        <f t="shared" si="7"/>
        <v>-45300</v>
      </c>
      <c r="AF20" s="108">
        <f t="shared" si="7"/>
        <v>-45300</v>
      </c>
      <c r="AG20" s="108">
        <f t="shared" si="7"/>
        <v>-45300</v>
      </c>
      <c r="AH20" s="108">
        <f t="shared" si="7"/>
        <v>-45300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4735776.0395983048</v>
      </c>
      <c r="F21" s="95">
        <f t="shared" si="8"/>
        <v>4852733.2000932833</v>
      </c>
      <c r="G21" s="95">
        <f t="shared" si="8"/>
        <v>4972378.3178444495</v>
      </c>
      <c r="H21" s="95">
        <f t="shared" si="8"/>
        <v>5094768.5073862541</v>
      </c>
      <c r="I21" s="95">
        <f t="shared" si="8"/>
        <v>5219961.9353453014</v>
      </c>
      <c r="J21" s="95">
        <f t="shared" si="8"/>
        <v>5348017.8333054334</v>
      </c>
      <c r="K21" s="95">
        <f t="shared" si="8"/>
        <v>5478996.5105205989</v>
      </c>
      <c r="L21" s="95">
        <f t="shared" si="8"/>
        <v>5612959.3664550195</v>
      </c>
      <c r="M21" s="95">
        <f t="shared" si="8"/>
        <v>5749968.9031291688</v>
      </c>
      <c r="N21" s="95">
        <f t="shared" si="8"/>
        <v>5890088.737248865</v>
      </c>
      <c r="O21" s="95">
        <f t="shared" si="8"/>
        <v>6033383.6120936386</v>
      </c>
      <c r="P21" s="95">
        <f t="shared" si="8"/>
        <v>6179919.4091392374</v>
      </c>
      <c r="Q21" s="95">
        <f t="shared" si="8"/>
        <v>6329763.1593879135</v>
      </c>
      <c r="R21" s="95">
        <f t="shared" si="8"/>
        <v>6482983.0543787004</v>
      </c>
      <c r="S21" s="96">
        <f t="shared" si="8"/>
        <v>6639648.4568485338</v>
      </c>
      <c r="T21" s="95">
        <f t="shared" si="8"/>
        <v>6799829.9110135883</v>
      </c>
      <c r="U21" s="95">
        <f t="shared" si="8"/>
        <v>6963599.1524386657</v>
      </c>
      <c r="V21" s="95">
        <f t="shared" si="8"/>
        <v>7131029.1174608385</v>
      </c>
      <c r="W21" s="95">
        <f t="shared" si="8"/>
        <v>7302193.9521319894</v>
      </c>
      <c r="X21" s="95">
        <f t="shared" si="8"/>
        <v>7477169.0206429828</v>
      </c>
      <c r="Y21" s="95">
        <f t="shared" si="8"/>
        <v>7656030.913190593</v>
      </c>
      <c r="Z21" s="95">
        <f t="shared" si="8"/>
        <v>7838857.4532462442</v>
      </c>
      <c r="AA21" s="95">
        <f t="shared" si="8"/>
        <v>8025727.7041837946</v>
      </c>
      <c r="AB21" s="95">
        <f t="shared" si="8"/>
        <v>8216721.9752214514</v>
      </c>
      <c r="AC21" s="95">
        <f t="shared" si="8"/>
        <v>8411921.8266308419</v>
      </c>
      <c r="AD21" s="95">
        <f t="shared" si="8"/>
        <v>8611410.0741640031</v>
      </c>
      <c r="AE21" s="95">
        <f t="shared" si="8"/>
        <v>8815270.7926467154</v>
      </c>
      <c r="AF21" s="95">
        <f t="shared" si="8"/>
        <v>9023589.3186843079</v>
      </c>
      <c r="AG21" s="95">
        <f t="shared" si="8"/>
        <v>9236452.252423415</v>
      </c>
      <c r="AH21" s="95">
        <f t="shared" si="8"/>
        <v>9453947.4583106283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-3946480.0329985875</v>
      </c>
      <c r="F22" s="95">
        <f t="shared" ref="F22:AH22" si="9">$E$22</f>
        <v>-3946480.0329985875</v>
      </c>
      <c r="G22" s="95">
        <f t="shared" si="9"/>
        <v>-3946480.0329985875</v>
      </c>
      <c r="H22" s="95">
        <f t="shared" si="9"/>
        <v>-3946480.0329985875</v>
      </c>
      <c r="I22" s="95">
        <f t="shared" si="9"/>
        <v>-3946480.0329985875</v>
      </c>
      <c r="J22" s="95">
        <f t="shared" si="9"/>
        <v>-3946480.0329985875</v>
      </c>
      <c r="K22" s="95">
        <f t="shared" si="9"/>
        <v>-3946480.0329985875</v>
      </c>
      <c r="L22" s="95">
        <f t="shared" si="9"/>
        <v>-3946480.0329985875</v>
      </c>
      <c r="M22" s="95">
        <f t="shared" si="9"/>
        <v>-3946480.0329985875</v>
      </c>
      <c r="N22" s="95">
        <f t="shared" si="9"/>
        <v>-3946480.0329985875</v>
      </c>
      <c r="O22" s="95">
        <f t="shared" si="9"/>
        <v>-3946480.0329985875</v>
      </c>
      <c r="P22" s="95">
        <f t="shared" si="9"/>
        <v>-3946480.0329985875</v>
      </c>
      <c r="Q22" s="95">
        <f t="shared" si="9"/>
        <v>-3946480.0329985875</v>
      </c>
      <c r="R22" s="95">
        <f t="shared" si="9"/>
        <v>-3946480.0329985875</v>
      </c>
      <c r="S22" s="96">
        <f t="shared" si="9"/>
        <v>-3946480.0329985875</v>
      </c>
      <c r="T22" s="95">
        <f t="shared" si="9"/>
        <v>-3946480.0329985875</v>
      </c>
      <c r="U22" s="95">
        <f t="shared" si="9"/>
        <v>-3946480.0329985875</v>
      </c>
      <c r="V22" s="95">
        <f t="shared" si="9"/>
        <v>-3946480.0329985875</v>
      </c>
      <c r="W22" s="95">
        <f t="shared" si="9"/>
        <v>-3946480.0329985875</v>
      </c>
      <c r="X22" s="95">
        <f t="shared" si="9"/>
        <v>-3946480.0329985875</v>
      </c>
      <c r="Y22" s="95">
        <f t="shared" si="9"/>
        <v>-3946480.0329985875</v>
      </c>
      <c r="Z22" s="95">
        <f t="shared" si="9"/>
        <v>-3946480.0329985875</v>
      </c>
      <c r="AA22" s="95">
        <f t="shared" si="9"/>
        <v>-3946480.0329985875</v>
      </c>
      <c r="AB22" s="95">
        <f t="shared" si="9"/>
        <v>-3946480.0329985875</v>
      </c>
      <c r="AC22" s="95">
        <f t="shared" si="9"/>
        <v>-3946480.0329985875</v>
      </c>
      <c r="AD22" s="95">
        <f t="shared" si="9"/>
        <v>-3946480.0329985875</v>
      </c>
      <c r="AE22" s="95">
        <f t="shared" si="9"/>
        <v>-3946480.0329985875</v>
      </c>
      <c r="AF22" s="95">
        <f t="shared" si="9"/>
        <v>-3946480.0329985875</v>
      </c>
      <c r="AG22" s="95">
        <f t="shared" si="9"/>
        <v>-3946480.0329985875</v>
      </c>
      <c r="AH22" s="95">
        <f t="shared" si="9"/>
        <v>-3946480.0329985875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789296.00659971731</v>
      </c>
      <c r="F25" s="119">
        <f t="shared" ref="F25:AH25" si="11">+F21+F22+F23</f>
        <v>906253.16709469585</v>
      </c>
      <c r="G25" s="119">
        <f t="shared" si="11"/>
        <v>1025898.2848458621</v>
      </c>
      <c r="H25" s="119">
        <f t="shared" si="11"/>
        <v>1148288.4743876667</v>
      </c>
      <c r="I25" s="119">
        <f t="shared" si="11"/>
        <v>1273481.9023467139</v>
      </c>
      <c r="J25" s="119">
        <f t="shared" si="11"/>
        <v>1401537.8003068459</v>
      </c>
      <c r="K25" s="119">
        <f t="shared" si="11"/>
        <v>1532516.4775220114</v>
      </c>
      <c r="L25" s="119">
        <f t="shared" si="11"/>
        <v>1666479.333456432</v>
      </c>
      <c r="M25" s="119">
        <f t="shared" si="11"/>
        <v>1803488.8701305813</v>
      </c>
      <c r="N25" s="119">
        <f t="shared" si="11"/>
        <v>1943608.7042502775</v>
      </c>
      <c r="O25" s="119">
        <f t="shared" si="11"/>
        <v>2086903.5790950512</v>
      </c>
      <c r="P25" s="119">
        <f t="shared" si="11"/>
        <v>2233439.3761406499</v>
      </c>
      <c r="Q25" s="119">
        <f t="shared" si="11"/>
        <v>2383283.1263893261</v>
      </c>
      <c r="R25" s="119">
        <f t="shared" si="11"/>
        <v>2536503.021380113</v>
      </c>
      <c r="S25" s="160">
        <f t="shared" si="11"/>
        <v>2693168.4238499464</v>
      </c>
      <c r="T25" s="119">
        <f t="shared" si="11"/>
        <v>2853349.8780150008</v>
      </c>
      <c r="U25" s="119">
        <f t="shared" si="11"/>
        <v>3017119.1194400783</v>
      </c>
      <c r="V25" s="119">
        <f t="shared" si="11"/>
        <v>3184549.084462251</v>
      </c>
      <c r="W25" s="119">
        <f t="shared" si="11"/>
        <v>3355713.9191334019</v>
      </c>
      <c r="X25" s="119">
        <f t="shared" si="11"/>
        <v>3530688.9876443953</v>
      </c>
      <c r="Y25" s="119">
        <f t="shared" si="11"/>
        <v>3709550.8801920055</v>
      </c>
      <c r="Z25" s="119">
        <f t="shared" si="11"/>
        <v>3892377.4202476568</v>
      </c>
      <c r="AA25" s="119">
        <f t="shared" si="11"/>
        <v>4079247.6711852071</v>
      </c>
      <c r="AB25" s="119">
        <f t="shared" si="11"/>
        <v>4270241.9422228634</v>
      </c>
      <c r="AC25" s="119">
        <f t="shared" si="11"/>
        <v>4465441.793632254</v>
      </c>
      <c r="AD25" s="119">
        <f t="shared" si="11"/>
        <v>4664930.0411654152</v>
      </c>
      <c r="AE25" s="119">
        <f t="shared" si="11"/>
        <v>4868790.7596481275</v>
      </c>
      <c r="AF25" s="119">
        <f t="shared" si="11"/>
        <v>5077109.2856857199</v>
      </c>
      <c r="AG25" s="119">
        <f t="shared" si="11"/>
        <v>5289972.219424827</v>
      </c>
      <c r="AH25" s="119">
        <f t="shared" si="11"/>
        <v>5507467.4253120404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1.229635817112221</v>
      </c>
      <c r="G27" s="122">
        <f t="shared" si="12"/>
        <v>1.2599527366837762</v>
      </c>
      <c r="H27" s="122">
        <f t="shared" si="12"/>
        <v>1.2909652309871644</v>
      </c>
      <c r="I27" s="122">
        <f t="shared" si="12"/>
        <v>1.3226880388848961</v>
      </c>
      <c r="J27" s="122">
        <f t="shared" si="12"/>
        <v>1.3551361690893793</v>
      </c>
      <c r="K27" s="122">
        <f t="shared" si="12"/>
        <v>1.3883249033842406</v>
      </c>
      <c r="L27" s="122">
        <f t="shared" si="12"/>
        <v>1.4222697998018805</v>
      </c>
      <c r="M27" s="122">
        <f t="shared" si="12"/>
        <v>1.4569866957518258</v>
      </c>
      <c r="N27" s="122">
        <f t="shared" si="12"/>
        <v>1.492491711094126</v>
      </c>
      <c r="O27" s="122">
        <f t="shared" si="12"/>
        <v>1.5288012511517497</v>
      </c>
      <c r="P27" s="122">
        <f t="shared" si="12"/>
        <v>1.5659320096556153</v>
      </c>
      <c r="Q27" s="122">
        <f t="shared" si="12"/>
        <v>1.6039009716155781</v>
      </c>
      <c r="R27" s="122">
        <f t="shared" si="12"/>
        <v>1.6427254161103266</v>
      </c>
      <c r="S27" s="161">
        <f t="shared" si="12"/>
        <v>1.6824229189888087</v>
      </c>
      <c r="T27" s="122">
        <f t="shared" si="12"/>
        <v>1.7230113554754229</v>
      </c>
      <c r="U27" s="122">
        <f t="shared" si="12"/>
        <v>1.7645089026708267</v>
      </c>
      <c r="V27" s="122">
        <f t="shared" si="12"/>
        <v>1.8069340419397963</v>
      </c>
      <c r="W27" s="122">
        <f t="shared" si="12"/>
        <v>1.8503055611771806</v>
      </c>
      <c r="X27" s="122">
        <f t="shared" si="12"/>
        <v>1.8946425569425043</v>
      </c>
      <c r="Y27" s="122">
        <f t="shared" si="12"/>
        <v>1.9399644364533728</v>
      </c>
      <c r="Z27" s="122">
        <f t="shared" si="12"/>
        <v>1.9862909194272997</v>
      </c>
      <c r="AA27" s="122">
        <f t="shared" si="12"/>
        <v>2.0336420397611237</v>
      </c>
      <c r="AB27" s="122">
        <f t="shared" si="12"/>
        <v>2.0820381470366334</v>
      </c>
      <c r="AC27" s="122">
        <f t="shared" si="12"/>
        <v>2.1314999078404946</v>
      </c>
      <c r="AD27" s="122">
        <f t="shared" si="12"/>
        <v>2.1820483068860077</v>
      </c>
      <c r="AE27" s="122">
        <f t="shared" si="12"/>
        <v>2.2337046479236222</v>
      </c>
      <c r="AF27" s="122">
        <f t="shared" si="12"/>
        <v>2.2864905544265648</v>
      </c>
      <c r="AG27" s="122">
        <f t="shared" si="12"/>
        <v>2.3404279700372479</v>
      </c>
      <c r="AH27" s="122">
        <f t="shared" si="12"/>
        <v>2.3955391587595072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789296.00659971731</v>
      </c>
      <c r="F41" s="129">
        <f t="shared" ref="F41:S41" si="20">F25+F37</f>
        <v>906253.16709469585</v>
      </c>
      <c r="G41" s="129">
        <f t="shared" si="20"/>
        <v>1025898.2848458621</v>
      </c>
      <c r="H41" s="129">
        <f t="shared" si="20"/>
        <v>1148288.4743876667</v>
      </c>
      <c r="I41" s="129">
        <f t="shared" si="20"/>
        <v>1273481.9023467139</v>
      </c>
      <c r="J41" s="129">
        <f t="shared" si="20"/>
        <v>1401537.8003068459</v>
      </c>
      <c r="K41" s="129">
        <f t="shared" si="20"/>
        <v>1532516.4775220114</v>
      </c>
      <c r="L41" s="129">
        <f t="shared" si="20"/>
        <v>1666479.333456432</v>
      </c>
      <c r="M41" s="129">
        <f t="shared" si="20"/>
        <v>1803488.8701305813</v>
      </c>
      <c r="N41" s="129">
        <f t="shared" si="20"/>
        <v>1943608.7042502775</v>
      </c>
      <c r="O41" s="129">
        <f t="shared" si="20"/>
        <v>2086903.5790950512</v>
      </c>
      <c r="P41" s="129">
        <f t="shared" si="20"/>
        <v>2233439.3761406499</v>
      </c>
      <c r="Q41" s="129">
        <f t="shared" si="20"/>
        <v>2383283.1263893261</v>
      </c>
      <c r="R41" s="129">
        <f t="shared" si="20"/>
        <v>2536503.021380113</v>
      </c>
      <c r="S41" s="130">
        <f t="shared" si="20"/>
        <v>2693168.4238499464</v>
      </c>
      <c r="T41" s="130">
        <f t="shared" ref="T41:AH41" si="21">T25+T37</f>
        <v>2853349.8780150008</v>
      </c>
      <c r="U41" s="130">
        <f t="shared" si="21"/>
        <v>3017119.1194400783</v>
      </c>
      <c r="V41" s="130">
        <f t="shared" si="21"/>
        <v>3184549.084462251</v>
      </c>
      <c r="W41" s="130">
        <f t="shared" si="21"/>
        <v>3355713.9191334019</v>
      </c>
      <c r="X41" s="130">
        <f t="shared" si="21"/>
        <v>3530688.9876443953</v>
      </c>
      <c r="Y41" s="130">
        <f t="shared" si="21"/>
        <v>3709550.8801920055</v>
      </c>
      <c r="Z41" s="130">
        <f t="shared" si="21"/>
        <v>3892377.4202476568</v>
      </c>
      <c r="AA41" s="130">
        <f t="shared" si="21"/>
        <v>4079247.6711852071</v>
      </c>
      <c r="AB41" s="130">
        <f t="shared" si="21"/>
        <v>4270241.9422228634</v>
      </c>
      <c r="AC41" s="130">
        <f t="shared" si="21"/>
        <v>4465441.793632254</v>
      </c>
      <c r="AD41" s="130">
        <f t="shared" si="21"/>
        <v>4664930.0411654152</v>
      </c>
      <c r="AE41" s="130">
        <f t="shared" si="21"/>
        <v>4868790.7596481275</v>
      </c>
      <c r="AF41" s="130">
        <f t="shared" si="21"/>
        <v>5077109.2856857199</v>
      </c>
      <c r="AG41" s="130">
        <f t="shared" si="21"/>
        <v>5289972.219424827</v>
      </c>
      <c r="AH41" s="130">
        <f t="shared" si="21"/>
        <v>5507467.4253120404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670901.60560975969</v>
      </c>
      <c r="F42" s="129">
        <f t="shared" ref="F42:S42" si="22">((F41*$C$42))</f>
        <v>770315.19203049142</v>
      </c>
      <c r="G42" s="129">
        <f t="shared" si="22"/>
        <v>872013.54211898276</v>
      </c>
      <c r="H42" s="129">
        <f t="shared" si="22"/>
        <v>976045.20322951663</v>
      </c>
      <c r="I42" s="129">
        <f t="shared" si="22"/>
        <v>1082459.6169947069</v>
      </c>
      <c r="J42" s="129">
        <f t="shared" si="22"/>
        <v>1191307.1302608191</v>
      </c>
      <c r="K42" s="129">
        <f t="shared" si="22"/>
        <v>1302639.0058937096</v>
      </c>
      <c r="L42" s="129">
        <f t="shared" si="22"/>
        <v>1416507.4334379672</v>
      </c>
      <c r="M42" s="129">
        <f t="shared" si="22"/>
        <v>1532965.539610994</v>
      </c>
      <c r="N42" s="129">
        <f t="shared" si="22"/>
        <v>1652067.3986127358</v>
      </c>
      <c r="O42" s="129">
        <f t="shared" si="22"/>
        <v>1773868.0422307935</v>
      </c>
      <c r="P42" s="129">
        <f t="shared" si="22"/>
        <v>1898423.4697195524</v>
      </c>
      <c r="Q42" s="129">
        <f t="shared" si="22"/>
        <v>2025790.657430927</v>
      </c>
      <c r="R42" s="129">
        <f t="shared" si="22"/>
        <v>2156027.568173096</v>
      </c>
      <c r="S42" s="129">
        <f t="shared" si="22"/>
        <v>2289193.1602724544</v>
      </c>
      <c r="T42" s="129">
        <f t="shared" ref="T42:AH42" si="23">((T41*$C$42))</f>
        <v>2425347.3963127509</v>
      </c>
      <c r="U42" s="129">
        <f t="shared" si="23"/>
        <v>2564551.2515240666</v>
      </c>
      <c r="V42" s="129">
        <f t="shared" si="23"/>
        <v>2706866.7217929135</v>
      </c>
      <c r="W42" s="129">
        <f t="shared" si="23"/>
        <v>2852356.8312633918</v>
      </c>
      <c r="X42" s="129">
        <f t="shared" si="23"/>
        <v>3001085.639497736</v>
      </c>
      <c r="Y42" s="129">
        <f t="shared" si="23"/>
        <v>3153118.2481632046</v>
      </c>
      <c r="Z42" s="129">
        <f t="shared" si="23"/>
        <v>3308520.8072105083</v>
      </c>
      <c r="AA42" s="129">
        <f t="shared" si="23"/>
        <v>3467360.520507426</v>
      </c>
      <c r="AB42" s="129">
        <f t="shared" si="23"/>
        <v>3629705.6508894339</v>
      </c>
      <c r="AC42" s="129">
        <f t="shared" si="23"/>
        <v>3795625.5245874156</v>
      </c>
      <c r="AD42" s="129">
        <f t="shared" si="23"/>
        <v>3965190.5349906026</v>
      </c>
      <c r="AE42" s="129">
        <f t="shared" si="23"/>
        <v>4138472.1457009083</v>
      </c>
      <c r="AF42" s="129">
        <f t="shared" si="23"/>
        <v>4315542.8928328622</v>
      </c>
      <c r="AG42" s="129">
        <f t="shared" si="23"/>
        <v>4496476.3865111033</v>
      </c>
      <c r="AH42" s="129">
        <f t="shared" si="23"/>
        <v>4681347.3115152344</v>
      </c>
    </row>
    <row r="43" spans="1:34">
      <c r="A43" s="86"/>
      <c r="B43" s="132" t="s">
        <v>331</v>
      </c>
      <c r="C43" s="324">
        <f>GapCalc!I32</f>
        <v>0.15</v>
      </c>
      <c r="D43" s="133" t="s">
        <v>1049</v>
      </c>
      <c r="E43" s="108">
        <f>$C$43*(E41)</f>
        <v>118394.40098995759</v>
      </c>
      <c r="F43" s="108">
        <f t="shared" ref="F43:S43" si="24">$C$43*(F41)</f>
        <v>135937.97506420437</v>
      </c>
      <c r="G43" s="108">
        <f t="shared" si="24"/>
        <v>153884.74272687931</v>
      </c>
      <c r="H43" s="108">
        <f t="shared" si="24"/>
        <v>172243.27115814999</v>
      </c>
      <c r="I43" s="108">
        <f t="shared" si="24"/>
        <v>191022.28535200708</v>
      </c>
      <c r="J43" s="108">
        <f t="shared" si="24"/>
        <v>210230.67004602688</v>
      </c>
      <c r="K43" s="108">
        <f t="shared" si="24"/>
        <v>229877.47162830169</v>
      </c>
      <c r="L43" s="108">
        <f t="shared" si="24"/>
        <v>249971.90001846477</v>
      </c>
      <c r="M43" s="108">
        <f t="shared" si="24"/>
        <v>270523.33051958721</v>
      </c>
      <c r="N43" s="108">
        <f t="shared" si="24"/>
        <v>291541.30563754163</v>
      </c>
      <c r="O43" s="108">
        <f t="shared" si="24"/>
        <v>313035.53686425765</v>
      </c>
      <c r="P43" s="108">
        <f t="shared" si="24"/>
        <v>335015.90642109746</v>
      </c>
      <c r="Q43" s="108">
        <f t="shared" si="24"/>
        <v>357492.46895839891</v>
      </c>
      <c r="R43" s="108">
        <f t="shared" si="24"/>
        <v>380475.45320701692</v>
      </c>
      <c r="S43" s="108">
        <f t="shared" si="24"/>
        <v>403975.26357749192</v>
      </c>
      <c r="T43" s="108">
        <f t="shared" ref="T43:AH43" si="25">$C$43*(T41)</f>
        <v>428002.48170225014</v>
      </c>
      <c r="U43" s="108">
        <f t="shared" si="25"/>
        <v>452567.86791601172</v>
      </c>
      <c r="V43" s="108">
        <f t="shared" si="25"/>
        <v>477682.36266933766</v>
      </c>
      <c r="W43" s="108">
        <f t="shared" si="25"/>
        <v>503357.08787001029</v>
      </c>
      <c r="X43" s="108">
        <f t="shared" si="25"/>
        <v>529603.34814665932</v>
      </c>
      <c r="Y43" s="108">
        <f t="shared" si="25"/>
        <v>556432.63202880078</v>
      </c>
      <c r="Z43" s="108">
        <f t="shared" si="25"/>
        <v>583856.61303714849</v>
      </c>
      <c r="AA43" s="108">
        <f t="shared" si="25"/>
        <v>611887.15067778109</v>
      </c>
      <c r="AB43" s="108">
        <f t="shared" si="25"/>
        <v>640536.29133342952</v>
      </c>
      <c r="AC43" s="108">
        <f t="shared" si="25"/>
        <v>669816.26904483803</v>
      </c>
      <c r="AD43" s="108">
        <f t="shared" si="25"/>
        <v>699739.50617481221</v>
      </c>
      <c r="AE43" s="108">
        <f t="shared" si="25"/>
        <v>730318.6139472191</v>
      </c>
      <c r="AF43" s="108">
        <f t="shared" si="25"/>
        <v>761566.39285285794</v>
      </c>
      <c r="AG43" s="108">
        <f t="shared" si="25"/>
        <v>793495.83291372401</v>
      </c>
      <c r="AH43" s="108">
        <f t="shared" si="25"/>
        <v>826120.11379680608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2.8449568361998898E-2</v>
      </c>
      <c r="F47" s="142">
        <f>F41/GapCalc!$H$33</f>
        <v>3.2665199386488056E-2</v>
      </c>
      <c r="G47" s="142">
        <f>G41/GapCalc!$H$33</f>
        <v>3.6977715765868953E-2</v>
      </c>
      <c r="H47" s="142">
        <f>H41/GapCalc!$H$33</f>
        <v>4.1389176149670692E-2</v>
      </c>
      <c r="I47" s="142">
        <f>I41/GapCalc!$H$33</f>
        <v>4.5901677109276048E-2</v>
      </c>
      <c r="J47" s="142">
        <f>J41/GapCalc!$H$33</f>
        <v>5.0517353601633501E-2</v>
      </c>
      <c r="K47" s="142">
        <f>K41/GapCalc!$H$33</f>
        <v>5.5238379427482873E-2</v>
      </c>
      <c r="L47" s="142">
        <f>L41/GapCalc!$H$33</f>
        <v>6.006696768335594E-2</v>
      </c>
      <c r="M47" s="142">
        <f>M41/GapCalc!$H$33</f>
        <v>6.5005371206577817E-2</v>
      </c>
      <c r="N47" s="142">
        <f>N41/GapCalc!$H$33</f>
        <v>7.0055883012450762E-2</v>
      </c>
      <c r="O47" s="142">
        <f>O41/GapCalc!$H$33</f>
        <v>7.5220836722761253E-2</v>
      </c>
      <c r="P47" s="142">
        <f>P41/GapCalc!$H$33</f>
        <v>8.0502606984704267E-2</v>
      </c>
      <c r="Q47" s="142">
        <f>Q41/GapCalc!$H$33</f>
        <v>8.5903609879274756E-2</v>
      </c>
      <c r="R47" s="142">
        <f>R41/GapCalc!$H$33</f>
        <v>9.1426303318124652E-2</v>
      </c>
      <c r="S47" s="142">
        <f>S41/GapCalc!$H$33</f>
        <v>9.7073187427834773E-2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2.4182133107699059E-2</v>
      </c>
      <c r="F48" s="142">
        <f>F43/GapCalc!$H$32</f>
        <v>2.7765419478514842E-2</v>
      </c>
      <c r="G48" s="142">
        <f>G43/GapCalc!$H$32</f>
        <v>3.1431058400988608E-2</v>
      </c>
      <c r="H48" s="142">
        <f>H43/GapCalc!$H$32</f>
        <v>3.5180799727220081E-2</v>
      </c>
      <c r="I48" s="142">
        <f>I43/GapCalc!$H$32</f>
        <v>3.9016425542884633E-2</v>
      </c>
      <c r="J48" s="142">
        <f>J43/GapCalc!$H$32</f>
        <v>4.2939750561388469E-2</v>
      </c>
      <c r="K48" s="142">
        <f>K43/GapCalc!$H$32</f>
        <v>4.695262251336043E-2</v>
      </c>
      <c r="L48" s="142">
        <f>L43/GapCalc!$H$32</f>
        <v>5.105692253085254E-2</v>
      </c>
      <c r="M48" s="142">
        <f>M43/GapCalc!$H$32</f>
        <v>5.5254565525591146E-2</v>
      </c>
      <c r="N48" s="142">
        <f>N43/GapCalc!$H$32</f>
        <v>5.9547500560583153E-2</v>
      </c>
      <c r="O48" s="142">
        <f>O43/GapCalc!$H$32</f>
        <v>6.3937711214347062E-2</v>
      </c>
      <c r="P48" s="142">
        <f>P43/GapCalc!$H$32</f>
        <v>6.8427215936998617E-2</v>
      </c>
      <c r="Q48" s="142">
        <f>Q43/GapCalc!$H$32</f>
        <v>7.3018068397383534E-2</v>
      </c>
      <c r="R48" s="142">
        <f>R43/GapCalc!$H$32</f>
        <v>7.7712357820405947E-2</v>
      </c>
      <c r="S48" s="142">
        <f>S43/GapCalc!$H$32</f>
        <v>8.2512209313659546E-2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21298086.179550789</v>
      </c>
      <c r="D66" s="1544"/>
      <c r="E66" s="1564" t="s">
        <v>285</v>
      </c>
      <c r="G66" s="1520" t="s">
        <v>1073</v>
      </c>
      <c r="H66" s="1565">
        <f>H70/1.63</f>
        <v>3758485.7963913158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6865681.2961379867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1211590.8169655269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0</v>
      </c>
      <c r="D68" s="1545" t="s">
        <v>68</v>
      </c>
      <c r="G68" s="1521" t="s">
        <v>1079</v>
      </c>
      <c r="H68" s="1568">
        <f>IF(GapCalc!D41*C43&lt; 0,0,GapCalc!D41*C43)</f>
        <v>0</v>
      </c>
      <c r="I68" s="1545" t="s">
        <v>68</v>
      </c>
    </row>
    <row r="69" spans="2:10">
      <c r="B69" s="1521" t="s">
        <v>1059</v>
      </c>
      <c r="C69" s="1568">
        <f>'Debt Calc'!E60</f>
        <v>27850199.176529799</v>
      </c>
      <c r="D69" s="1546">
        <v>0.9</v>
      </c>
      <c r="G69" s="1521" t="s">
        <v>1075</v>
      </c>
      <c r="H69" s="1568">
        <f>'Debt Calc'!E59*C43</f>
        <v>4914741.0311523173</v>
      </c>
      <c r="I69" s="1546">
        <v>0.9</v>
      </c>
    </row>
    <row r="70" spans="2:10">
      <c r="B70" s="1523" t="s">
        <v>1042</v>
      </c>
      <c r="C70" s="1577">
        <f>C67+C68+C69</f>
        <v>34715880.472667783</v>
      </c>
      <c r="D70" s="1545" t="s">
        <v>68</v>
      </c>
      <c r="G70" s="1523" t="s">
        <v>1042</v>
      </c>
      <c r="H70" s="1577">
        <f>H67+H68+H69</f>
        <v>6126331.8481178442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1.63</v>
      </c>
      <c r="I71" s="1547"/>
    </row>
    <row r="72" spans="2:10">
      <c r="B72" s="1521" t="s">
        <v>1044</v>
      </c>
      <c r="C72" s="1524">
        <f>(C70-C66)/C66</f>
        <v>0.62999999999999989</v>
      </c>
      <c r="D72" s="1548"/>
      <c r="G72" s="1521" t="s">
        <v>1044</v>
      </c>
      <c r="H72" s="1524">
        <f>(H70-H66)/H66</f>
        <v>0.62999999999999989</v>
      </c>
      <c r="I72" s="1548"/>
    </row>
    <row r="73" spans="2:10">
      <c r="B73" s="1523" t="s">
        <v>1045</v>
      </c>
      <c r="C73" s="1566">
        <f>C72/7</f>
        <v>8.9999999999999983E-2</v>
      </c>
      <c r="D73" s="1548"/>
      <c r="G73" s="1523" t="s">
        <v>1045</v>
      </c>
      <c r="H73" s="1566">
        <f>H72/7</f>
        <v>8.9999999999999983E-2</v>
      </c>
      <c r="I73" s="1548"/>
    </row>
    <row r="74" spans="2:10" ht="13.5" thickBot="1">
      <c r="B74" s="1578" t="s">
        <v>1080</v>
      </c>
      <c r="C74" s="1581">
        <f>GapCalc!H33</f>
        <v>27743690.046770908</v>
      </c>
      <c r="D74" s="1549"/>
      <c r="F74" s="1559"/>
      <c r="G74" s="1578" t="s">
        <v>1082</v>
      </c>
      <c r="H74" s="1581">
        <f>GapCalc!H32</f>
        <v>4895945.3023713371</v>
      </c>
      <c r="I74" s="1549"/>
    </row>
    <row r="75" spans="2:10">
      <c r="B75" s="70" t="s">
        <v>1081</v>
      </c>
      <c r="C75" s="1579">
        <f>(C70-C74)/C74</f>
        <v>0.25130724911296975</v>
      </c>
      <c r="G75" s="70" t="s">
        <v>1081</v>
      </c>
      <c r="H75" s="1579">
        <f>(H70-H74)/H74</f>
        <v>0.25130724911296964</v>
      </c>
    </row>
    <row r="76" spans="2:10">
      <c r="B76" s="70" t="s">
        <v>1045</v>
      </c>
      <c r="C76" s="1579">
        <f>C75/7</f>
        <v>3.5901035587567111E-2</v>
      </c>
      <c r="G76" s="70" t="s">
        <v>1045</v>
      </c>
      <c r="H76" s="1579">
        <f>H75/7</f>
        <v>3.590103558756709E-2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6370678.7043331573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11467221.667799683</v>
      </c>
      <c r="D81" s="1545" t="s">
        <v>68</v>
      </c>
    </row>
    <row r="82" spans="2:10">
      <c r="B82" s="1521" t="s">
        <v>1059</v>
      </c>
      <c r="C82" s="1568">
        <f>C68</f>
        <v>0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11467221.667799683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0.8</v>
      </c>
      <c r="D86" s="1548"/>
    </row>
    <row r="87" spans="2:10">
      <c r="B87" s="1523" t="s">
        <v>1045</v>
      </c>
      <c r="C87" s="1566">
        <f>C86/10</f>
        <v>0.08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31394739.101407934</v>
      </c>
      <c r="D93" s="1544"/>
      <c r="E93" s="1564" t="s">
        <v>288</v>
      </c>
      <c r="G93" s="1520" t="s">
        <v>1073</v>
      </c>
      <c r="H93" s="1565">
        <f>H97/1.63</f>
        <v>4256667.7204254223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11467221.667799683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2023627.3531411206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0</v>
      </c>
      <c r="D95" s="1545" t="s">
        <v>68</v>
      </c>
      <c r="G95" s="1521" t="s">
        <v>1079</v>
      </c>
      <c r="H95" s="1568">
        <f>IF(GapCalc!D41*C43&lt; 0,0,GapCalc!D41*C43)</f>
        <v>0</v>
      </c>
      <c r="I95" s="1545" t="s">
        <v>68</v>
      </c>
    </row>
    <row r="96" spans="2:10">
      <c r="B96" s="1521" t="s">
        <v>1059</v>
      </c>
      <c r="C96" s="1568">
        <f>'Debt Calc'!H60</f>
        <v>39706203.067495249</v>
      </c>
      <c r="D96" s="1546">
        <v>0.9</v>
      </c>
      <c r="G96" s="1521" t="s">
        <v>1075</v>
      </c>
      <c r="H96" s="1568">
        <f>'Debt Calc'!E59*C43</f>
        <v>4914741.0311523173</v>
      </c>
      <c r="I96" s="1546">
        <v>0.9</v>
      </c>
    </row>
    <row r="97" spans="2:9">
      <c r="B97" s="1523" t="s">
        <v>1042</v>
      </c>
      <c r="C97" s="1577">
        <f>C94+C95+C96</f>
        <v>51173424.735294931</v>
      </c>
      <c r="D97" s="1545" t="s">
        <v>68</v>
      </c>
      <c r="G97" s="1523" t="s">
        <v>1042</v>
      </c>
      <c r="H97" s="1577">
        <f>H94+H95+H96</f>
        <v>6938368.3842934379</v>
      </c>
      <c r="I97" s="1545" t="s">
        <v>68</v>
      </c>
    </row>
    <row r="98" spans="2:9">
      <c r="B98" s="1523" t="s">
        <v>1043</v>
      </c>
      <c r="C98" s="1571">
        <f>C97/C93</f>
        <v>1.63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0.62999999999999989</v>
      </c>
      <c r="D99" s="1548"/>
      <c r="G99" s="1521" t="s">
        <v>1044</v>
      </c>
      <c r="H99" s="1524">
        <f>(H97-H93)/H93</f>
        <v>0.62999999999999989</v>
      </c>
      <c r="I99" s="1548"/>
    </row>
    <row r="100" spans="2:9">
      <c r="B100" s="1523" t="s">
        <v>1045</v>
      </c>
      <c r="C100" s="1566">
        <f>C99/7</f>
        <v>8.9999999999999983E-2</v>
      </c>
      <c r="D100" s="1548"/>
      <c r="G100" s="1523" t="s">
        <v>1045</v>
      </c>
      <c r="H100" s="1566">
        <f>H99/7</f>
        <v>8.9999999999999983E-2</v>
      </c>
      <c r="I100" s="1548"/>
    </row>
    <row r="101" spans="2:9" ht="13.5" thickBot="1">
      <c r="B101" s="1578" t="s">
        <v>1080</v>
      </c>
      <c r="C101" s="1581">
        <f>GapCalc!H33</f>
        <v>27743690.046770908</v>
      </c>
      <c r="D101" s="1549"/>
      <c r="G101" s="1578" t="s">
        <v>1082</v>
      </c>
      <c r="H101" s="1581">
        <f>GapCalc!H32</f>
        <v>4895945.3023713371</v>
      </c>
      <c r="I101" s="1549"/>
    </row>
    <row r="102" spans="2:9">
      <c r="B102" s="70" t="s">
        <v>1081</v>
      </c>
      <c r="C102" s="1579">
        <f>(C97-C101)/C101</f>
        <v>0.84450679232018788</v>
      </c>
      <c r="G102" s="70" t="s">
        <v>1081</v>
      </c>
      <c r="H102" s="1579">
        <f>(H97-H101)/H101</f>
        <v>0.4171662377299965</v>
      </c>
    </row>
    <row r="103" spans="2:9">
      <c r="B103" s="70" t="s">
        <v>1045</v>
      </c>
      <c r="C103" s="1579">
        <f>C102/10</f>
        <v>8.4450679232018794E-2</v>
      </c>
      <c r="G103" s="70" t="s">
        <v>1045</v>
      </c>
      <c r="H103" s="1579">
        <f>H102/10</f>
        <v>4.1716623772999652E-2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3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122620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24524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147144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147144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147144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151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75.5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75.5</v>
      </c>
      <c r="D49" s="876"/>
      <c r="E49" s="855" t="s">
        <v>577</v>
      </c>
      <c r="F49" s="855"/>
      <c r="G49" s="923">
        <v>143</v>
      </c>
      <c r="H49" s="884">
        <f>C53*D53</f>
        <v>0</v>
      </c>
      <c r="I49" s="884">
        <f>G49*H49</f>
        <v>0</v>
      </c>
      <c r="J49" s="925">
        <f>IFERROR(I49/C53,0)</f>
        <v>0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0</v>
      </c>
      <c r="I51" s="930">
        <f>SUM(I48:I50)</f>
        <v>0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0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0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0</v>
      </c>
      <c r="D55" s="855"/>
      <c r="E55" s="855"/>
      <c r="F55" s="937"/>
      <c r="G55" s="855"/>
      <c r="H55" s="872" t="s">
        <v>685</v>
      </c>
      <c r="I55" s="939">
        <f>SUM(I53:I54)</f>
        <v>0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75.5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3946480.0329985875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56848929.023646347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56848900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17384119.818369374</v>
      </c>
    </row>
    <row r="15" spans="2:36">
      <c r="B15" s="556"/>
      <c r="C15" s="560" t="s">
        <v>634</v>
      </c>
      <c r="H15" s="561">
        <f>12*PMT(Data!C24/12,Data!C29*12,-'Debt Calc'!H14)</f>
        <v>3946478.0181630608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187799.71510861441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187799.71510861441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56848900</v>
      </c>
      <c r="E21" s="561">
        <f>$H$15</f>
        <v>3946478.0181630608</v>
      </c>
      <c r="F21" s="561">
        <f>E21-G21</f>
        <v>0</v>
      </c>
      <c r="G21" s="561">
        <f>D21-H21</f>
        <v>3946478.0181630626</v>
      </c>
      <c r="H21" s="561">
        <f>D21-E21</f>
        <v>52902421.981836937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52902421.981836937</v>
      </c>
      <c r="E22" s="561">
        <f t="shared" ref="E22:E50" si="1">$H$15</f>
        <v>3946478.0181630608</v>
      </c>
      <c r="F22" s="561">
        <f t="shared" ref="F22:F50" si="2">E22-G22</f>
        <v>0</v>
      </c>
      <c r="G22" s="561">
        <f t="shared" ref="G22:G50" si="3">D22-H22</f>
        <v>3946478.0181630626</v>
      </c>
      <c r="H22" s="561">
        <f t="shared" ref="H22:H39" si="4">D22-E22</f>
        <v>48955943.963673875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48955943.963673875</v>
      </c>
      <c r="E23" s="561">
        <f t="shared" si="1"/>
        <v>3946478.0181630608</v>
      </c>
      <c r="F23" s="561">
        <f t="shared" si="2"/>
        <v>0</v>
      </c>
      <c r="G23" s="561">
        <f t="shared" si="3"/>
        <v>3946478.0181630626</v>
      </c>
      <c r="H23" s="561">
        <f t="shared" si="4"/>
        <v>45009465.945510812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45009465.945510812</v>
      </c>
      <c r="E24" s="561">
        <f t="shared" si="1"/>
        <v>3946478.0181630608</v>
      </c>
      <c r="F24" s="561">
        <f t="shared" si="2"/>
        <v>0</v>
      </c>
      <c r="G24" s="561">
        <f t="shared" si="3"/>
        <v>3946478.0181630626</v>
      </c>
      <c r="H24" s="561">
        <f t="shared" si="4"/>
        <v>41062987.927347749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41062987.927347749</v>
      </c>
      <c r="E25" s="561">
        <f t="shared" si="1"/>
        <v>3946478.0181630608</v>
      </c>
      <c r="F25" s="561">
        <f t="shared" si="2"/>
        <v>0</v>
      </c>
      <c r="G25" s="561">
        <f t="shared" si="3"/>
        <v>3946478.0181630626</v>
      </c>
      <c r="H25" s="561">
        <f t="shared" si="4"/>
        <v>37116509.909184687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37116509.909184687</v>
      </c>
      <c r="E26" s="561">
        <f t="shared" si="1"/>
        <v>3946478.0181630608</v>
      </c>
      <c r="F26" s="561">
        <f t="shared" si="2"/>
        <v>0</v>
      </c>
      <c r="G26" s="561">
        <f t="shared" si="3"/>
        <v>3946478.0181630626</v>
      </c>
      <c r="H26" s="561">
        <f t="shared" si="4"/>
        <v>33170031.891021624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33170031.891021624</v>
      </c>
      <c r="E27" s="561">
        <f t="shared" si="1"/>
        <v>3946478.0181630608</v>
      </c>
      <c r="F27" s="561">
        <f t="shared" si="2"/>
        <v>0</v>
      </c>
      <c r="G27" s="561">
        <f t="shared" si="3"/>
        <v>3946478.0181630626</v>
      </c>
      <c r="H27" s="561">
        <f t="shared" si="4"/>
        <v>29223553.872858562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29223553.872858562</v>
      </c>
      <c r="E28" s="561">
        <f t="shared" si="1"/>
        <v>3946478.0181630608</v>
      </c>
      <c r="F28" s="561">
        <f t="shared" si="2"/>
        <v>0</v>
      </c>
      <c r="G28" s="561">
        <f t="shared" si="3"/>
        <v>3946478.0181630626</v>
      </c>
      <c r="H28" s="561">
        <f t="shared" si="4"/>
        <v>25277075.854695499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25277075.854695499</v>
      </c>
      <c r="E29" s="561">
        <f t="shared" si="1"/>
        <v>3946478.0181630608</v>
      </c>
      <c r="F29" s="561">
        <f t="shared" si="2"/>
        <v>0</v>
      </c>
      <c r="G29" s="561">
        <f t="shared" si="3"/>
        <v>3946478.0181630626</v>
      </c>
      <c r="H29" s="561">
        <f t="shared" si="4"/>
        <v>21330597.836532436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21330597.836532436</v>
      </c>
      <c r="E30" s="561">
        <f t="shared" si="1"/>
        <v>3946478.0181630608</v>
      </c>
      <c r="F30" s="561">
        <f t="shared" si="2"/>
        <v>0</v>
      </c>
      <c r="G30" s="561">
        <f t="shared" si="3"/>
        <v>3946478.0181630626</v>
      </c>
      <c r="H30" s="561">
        <f>D30-E30</f>
        <v>17384119.818369374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17384119.818369374</v>
      </c>
      <c r="E31" s="561">
        <f t="shared" si="1"/>
        <v>3946478.0181630608</v>
      </c>
      <c r="F31" s="561">
        <f t="shared" si="2"/>
        <v>0</v>
      </c>
      <c r="G31" s="561">
        <f t="shared" si="3"/>
        <v>3946478.0181630608</v>
      </c>
      <c r="H31" s="561">
        <f t="shared" si="4"/>
        <v>13437641.800206313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13437641.800206313</v>
      </c>
      <c r="E32" s="561">
        <f t="shared" si="1"/>
        <v>3946478.0181630608</v>
      </c>
      <c r="F32" s="561">
        <f t="shared" si="2"/>
        <v>0</v>
      </c>
      <c r="G32" s="561">
        <f t="shared" si="3"/>
        <v>3946478.0181630608</v>
      </c>
      <c r="H32" s="561">
        <f t="shared" si="4"/>
        <v>9491163.7820432521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9491163.7820432521</v>
      </c>
      <c r="E33" s="561">
        <f t="shared" si="1"/>
        <v>3946478.0181630608</v>
      </c>
      <c r="F33" s="561">
        <f t="shared" si="2"/>
        <v>0</v>
      </c>
      <c r="G33" s="561">
        <f t="shared" si="3"/>
        <v>3946478.0181630608</v>
      </c>
      <c r="H33" s="561">
        <f t="shared" si="4"/>
        <v>5544685.7638801914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5544685.7638801914</v>
      </c>
      <c r="E34" s="561">
        <f t="shared" si="1"/>
        <v>3946478.0181630608</v>
      </c>
      <c r="F34" s="561">
        <f t="shared" si="2"/>
        <v>0</v>
      </c>
      <c r="G34" s="561">
        <f t="shared" si="3"/>
        <v>3946478.0181630608</v>
      </c>
      <c r="H34" s="561">
        <f t="shared" si="4"/>
        <v>1598207.7457171306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1598207.7457171306</v>
      </c>
      <c r="E35" s="561">
        <f t="shared" si="1"/>
        <v>3946478.0181630608</v>
      </c>
      <c r="F35" s="561">
        <f t="shared" si="2"/>
        <v>0</v>
      </c>
      <c r="G35" s="561">
        <f t="shared" si="3"/>
        <v>3946478.0181630608</v>
      </c>
      <c r="H35" s="561">
        <f t="shared" si="4"/>
        <v>-2348270.2724459302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-2348270.2724459302</v>
      </c>
      <c r="E36" s="561">
        <f t="shared" si="1"/>
        <v>3946478.0181630608</v>
      </c>
      <c r="F36" s="561">
        <f t="shared" si="2"/>
        <v>0</v>
      </c>
      <c r="G36" s="561">
        <f t="shared" si="3"/>
        <v>3946478.0181630608</v>
      </c>
      <c r="H36" s="561">
        <f t="shared" si="4"/>
        <v>-6294748.2906089909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-6294748.2906089909</v>
      </c>
      <c r="E37" s="561">
        <f t="shared" si="1"/>
        <v>3946478.0181630608</v>
      </c>
      <c r="F37" s="561">
        <f t="shared" si="2"/>
        <v>0</v>
      </c>
      <c r="G37" s="561">
        <f t="shared" si="3"/>
        <v>3946478.0181630608</v>
      </c>
      <c r="H37" s="561">
        <f t="shared" si="4"/>
        <v>-10241226.308772052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-10241226.308772052</v>
      </c>
      <c r="E38" s="561">
        <f t="shared" si="1"/>
        <v>3946478.0181630608</v>
      </c>
      <c r="F38" s="561">
        <f t="shared" si="2"/>
        <v>0</v>
      </c>
      <c r="G38" s="561">
        <f t="shared" si="3"/>
        <v>3946478.0181630608</v>
      </c>
      <c r="H38" s="561">
        <f>D38-E38</f>
        <v>-14187704.326935112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-14187704.326935112</v>
      </c>
      <c r="E39" s="561">
        <f t="shared" si="1"/>
        <v>3946478.0181630608</v>
      </c>
      <c r="F39" s="561">
        <f t="shared" si="2"/>
        <v>0</v>
      </c>
      <c r="G39" s="561">
        <f t="shared" si="3"/>
        <v>3946478.0181630626</v>
      </c>
      <c r="H39" s="561">
        <f t="shared" si="4"/>
        <v>-18134182.345098175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-18134182.345098175</v>
      </c>
      <c r="E40" s="561">
        <f t="shared" si="1"/>
        <v>3946478.0181630608</v>
      </c>
      <c r="F40" s="561">
        <f t="shared" si="2"/>
        <v>22080660.363261238</v>
      </c>
      <c r="G40" s="561">
        <f t="shared" si="3"/>
        <v>-18134182.345098175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3946478.0181630608</v>
      </c>
      <c r="F41" s="561">
        <f t="shared" si="2"/>
        <v>3946478.0181630608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3946478.0181630608</v>
      </c>
      <c r="F42" s="561">
        <f t="shared" si="2"/>
        <v>3946478.0181630608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3946478.0181630608</v>
      </c>
      <c r="F43" s="561">
        <f t="shared" si="2"/>
        <v>3946478.0181630608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3946478.0181630608</v>
      </c>
      <c r="F44" s="561">
        <f t="shared" si="2"/>
        <v>3946478.0181630608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3946478.0181630608</v>
      </c>
      <c r="F45" s="561">
        <f t="shared" si="2"/>
        <v>3946478.0181630608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3946478.0181630608</v>
      </c>
      <c r="F46" s="561">
        <f t="shared" si="2"/>
        <v>3946478.0181630608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3946478.0181630608</v>
      </c>
      <c r="F47" s="561">
        <f t="shared" si="2"/>
        <v>3946478.0181630608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3946478.0181630608</v>
      </c>
      <c r="F48" s="561">
        <f t="shared" si="2"/>
        <v>3946478.0181630608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3946478.0181630608</v>
      </c>
      <c r="F49" s="561">
        <f t="shared" si="2"/>
        <v>3946478.0181630608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3946478.0181630608</v>
      </c>
      <c r="F50" s="561">
        <f t="shared" si="2"/>
        <v>3946478.0181630608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1088</v>
      </c>
      <c r="H54" s="1659"/>
    </row>
    <row r="55" spans="2:28">
      <c r="D55" s="1655" t="s">
        <v>1064</v>
      </c>
      <c r="E55" s="1664">
        <f>'Cash Flow'!K15/0.05</f>
        <v>143948031.00871441</v>
      </c>
      <c r="F55" s="561"/>
      <c r="G55" s="1663" t="s">
        <v>1064</v>
      </c>
      <c r="H55" s="1667">
        <f>'Cash Flow'!N15/0.05</f>
        <v>155016285.08049378</v>
      </c>
    </row>
    <row r="56" spans="2:28">
      <c r="D56" s="1653" t="s">
        <v>1065</v>
      </c>
      <c r="E56" s="1665">
        <f>'Cash Flow'!K21/1.2</f>
        <v>4565830.4254338322</v>
      </c>
      <c r="F56" s="561"/>
      <c r="G56" s="1661" t="s">
        <v>1065</v>
      </c>
      <c r="H56" s="1668">
        <f>'Cash Flow'!N21/1.2</f>
        <v>4908407.2810407206</v>
      </c>
    </row>
    <row r="57" spans="2:28">
      <c r="D57" s="1653" t="s">
        <v>1066</v>
      </c>
      <c r="E57" s="1665">
        <f>E55*0.6</f>
        <v>86368818.605228648</v>
      </c>
      <c r="F57" s="561"/>
      <c r="G57" s="1661" t="s">
        <v>1066</v>
      </c>
      <c r="H57" s="1668">
        <f>H55*0.6</f>
        <v>93009771.048296258</v>
      </c>
    </row>
    <row r="58" spans="2:28">
      <c r="D58" s="1653" t="s">
        <v>1067</v>
      </c>
      <c r="E58" s="1665">
        <f>-PV(6.5%,34,E56)</f>
        <v>61988494.080540679</v>
      </c>
      <c r="F58" s="561"/>
      <c r="G58" s="1661" t="s">
        <v>1067</v>
      </c>
      <c r="H58" s="1668">
        <f>-PV(6.5%,30,H56)</f>
        <v>64097299.897775553</v>
      </c>
    </row>
    <row r="59" spans="2:28">
      <c r="D59" s="1652" t="s">
        <v>1068</v>
      </c>
      <c r="E59" s="1665">
        <f>E58-H27</f>
        <v>32764940.207682118</v>
      </c>
      <c r="F59" s="561"/>
      <c r="G59" s="1660" t="s">
        <v>1068</v>
      </c>
      <c r="H59" s="1668">
        <f>H58-H30</f>
        <v>46713180.079406179</v>
      </c>
    </row>
    <row r="60" spans="2:28" ht="13.5" thickBot="1">
      <c r="D60" s="1654" t="s">
        <v>1069</v>
      </c>
      <c r="E60" s="1666">
        <f>E59*GapCalc!I33</f>
        <v>27850199.176529799</v>
      </c>
      <c r="F60" s="561"/>
      <c r="G60" s="1662" t="s">
        <v>1069</v>
      </c>
      <c r="H60" s="1669">
        <f>H59*GapCalc!I33</f>
        <v>39706203.067495249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9880000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44143200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118500.5224</v>
      </c>
      <c r="C7" s="1417">
        <f>C4*E4</f>
        <v>529452.65793600003</v>
      </c>
      <c r="D7" s="1409">
        <f>(1-'Rental Income'!O19)</f>
        <v>0.80132450331125826</v>
      </c>
    </row>
    <row r="8" spans="1:5">
      <c r="A8" s="1410" t="s">
        <v>980</v>
      </c>
      <c r="B8" s="1417">
        <f>B7*D7</f>
        <v>94957.372254304631</v>
      </c>
      <c r="C8" s="1417">
        <f>C7*D7</f>
        <v>424263.38814739074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519220.76040169538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59250.261200000001</v>
      </c>
    </row>
    <row r="14" spans="1:5">
      <c r="A14" t="s">
        <v>992</v>
      </c>
      <c r="B14">
        <v>24</v>
      </c>
      <c r="C14" s="1425">
        <f>C3*(E3/12)*B14</f>
        <v>237001.0448</v>
      </c>
    </row>
    <row r="15" spans="1:5">
      <c r="A15" s="40" t="s">
        <v>994</v>
      </c>
      <c r="C15" s="1428">
        <f>SUM(C13+C14)</f>
        <v>296251.30599999998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6527364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-326647.2</v>
      </c>
      <c r="E18" s="50"/>
      <c r="F18" s="55">
        <v>0.05</v>
      </c>
    </row>
    <row r="19" spans="1:25">
      <c r="A19" s="40" t="s">
        <v>165</v>
      </c>
      <c r="D19" s="57">
        <f>SUM(D15:D18)</f>
        <v>6206296.7999999998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1132.5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78761.5</v>
      </c>
      <c r="E22" s="48">
        <v>1043</v>
      </c>
      <c r="F22" s="453" t="s">
        <v>172</v>
      </c>
      <c r="N22" s="428">
        <f>D22*0.8</f>
        <v>63009.200000000004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23320.44</v>
      </c>
      <c r="Y22" s="688">
        <f>T22/5</f>
        <v>154.44</v>
      </c>
    </row>
    <row r="23" spans="1:25">
      <c r="B23" t="s">
        <v>174</v>
      </c>
      <c r="D23" s="48">
        <f>(E23*$D$10-20)/2</f>
        <v>100707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14073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79933.279999999999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906</v>
      </c>
      <c r="Y25" s="688">
        <f>T25/5</f>
        <v>6</v>
      </c>
    </row>
    <row r="26" spans="1:25">
      <c r="A26" s="40" t="s">
        <v>183</v>
      </c>
      <c r="D26" s="51">
        <f>SUM(D22:D25)</f>
        <v>273474.78000000003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28086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15100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60400</v>
      </c>
      <c r="Y30">
        <v>400</v>
      </c>
    </row>
    <row r="31" spans="1:25">
      <c r="B31" t="s">
        <v>192</v>
      </c>
      <c r="D31" s="48">
        <f>E31*$D$10</f>
        <v>24764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140060.04</v>
      </c>
    </row>
    <row r="32" spans="1:25">
      <c r="A32" s="42"/>
      <c r="B32" s="43" t="s">
        <v>194</v>
      </c>
      <c r="C32" s="43"/>
      <c r="D32" s="50">
        <f>E32*$D$10</f>
        <v>4530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72480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6795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17616.666666666668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80030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6795</v>
      </c>
      <c r="Y36" s="688">
        <f>T36/6</f>
        <v>45</v>
      </c>
    </row>
    <row r="37" spans="1:25">
      <c r="B37" t="s">
        <v>202</v>
      </c>
      <c r="D37" s="48">
        <f>E37*$D$10</f>
        <v>119290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18875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63571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50081.666666666672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262891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55719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40116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59796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20536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128350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8305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246027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519220.76040169538</v>
      </c>
      <c r="Y56" s="1309">
        <f>X56/'Rental Income'!D15</f>
        <v>3438.5480821304332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728.09426543046357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2228.0942654304636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126840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264.9006622516556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591804.89373502869</v>
      </c>
    </row>
    <row r="65" spans="1:25">
      <c r="B65" t="s">
        <v>250</v>
      </c>
      <c r="D65" s="48">
        <f>E65*$D$10</f>
        <v>22650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201490</v>
      </c>
      <c r="E67" s="48">
        <f>SUM(E62:E66)</f>
        <v>1439.9006622516556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45300</v>
      </c>
      <c r="E69" s="426">
        <v>300</v>
      </c>
    </row>
    <row r="70" spans="1:25">
      <c r="V70" s="40" t="s">
        <v>256</v>
      </c>
      <c r="X70" s="1307">
        <f>SUM(X68,X64,X54,X39,X31)</f>
        <v>948187.60040169535</v>
      </c>
      <c r="Y70" s="1307">
        <f>X70/D10</f>
        <v>6279.3880821304328</v>
      </c>
    </row>
    <row r="71" spans="1:25">
      <c r="A71" s="40" t="s">
        <v>257</v>
      </c>
      <c r="D71" s="48">
        <f>E71*$D$10</f>
        <v>75500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1382940.0140799999</v>
      </c>
      <c r="E73" s="52">
        <f>E71+E69+E67+E54+E59+E45+E43+E41+E33+E26</f>
        <v>12020.994927682119</v>
      </c>
      <c r="G73" s="147"/>
      <c r="H73">
        <f>('Operating Budget'!D73-'Operating Budget'!D69-'Operating Budget'!D57)*-1</f>
        <v>-1337640.0140799999</v>
      </c>
      <c r="Y73" s="1309">
        <f>Y70-6000</f>
        <v>279.38808213043285</v>
      </c>
    </row>
    <row r="75" spans="1:25">
      <c r="A75" s="44" t="s">
        <v>260</v>
      </c>
      <c r="B75" s="45"/>
      <c r="C75" s="45"/>
      <c r="D75" s="52">
        <f>D19-D73</f>
        <v>4823356.7859199997</v>
      </c>
      <c r="E75" s="52">
        <f>D75/D10</f>
        <v>31942.760171655627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147144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55329000</v>
      </c>
      <c r="C7" s="465">
        <f>'Dev Summary_5-20'!B8</f>
        <v>3190331</v>
      </c>
      <c r="D7" s="465">
        <f t="shared" ref="D7:D14" si="0">B7-C7</f>
        <v>52138669</v>
      </c>
      <c r="E7" s="477">
        <f t="shared" ref="E7:E15" si="1">D7/B7</f>
        <v>0.94233890003434007</v>
      </c>
      <c r="F7" s="477"/>
      <c r="G7" s="472" t="e">
        <f t="shared" ref="G7:G14" si="2">B7/$B$15</f>
        <v>#REF!</v>
      </c>
      <c r="I7" s="147">
        <f>B7/$H$4</f>
        <v>502990.90909090912</v>
      </c>
      <c r="J7" s="53">
        <f>B7/$H$5</f>
        <v>376.01940955798403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250080.12264474371</v>
      </c>
      <c r="C9" s="446">
        <f>'Dev Summary_5-20'!B10</f>
        <v>50000</v>
      </c>
      <c r="D9" s="446">
        <f t="shared" si="0"/>
        <v>200080.12264474371</v>
      </c>
      <c r="E9" s="477">
        <f t="shared" si="1"/>
        <v>0.80006407757953435</v>
      </c>
      <c r="F9" s="477"/>
      <c r="G9" s="473" t="e">
        <f t="shared" si="2"/>
        <v>#REF!</v>
      </c>
      <c r="I9" s="53">
        <f t="shared" si="3"/>
        <v>2273.4556604067611</v>
      </c>
      <c r="J9" s="53">
        <f t="shared" si="4"/>
        <v>1.699560448572444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0.21747403903659002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296251.30599999998</v>
      </c>
      <c r="C12" s="446">
        <f>'Dev Summary_5-20'!B13</f>
        <v>2500000</v>
      </c>
      <c r="D12" s="446">
        <f t="shared" si="0"/>
        <v>-2203748.6940000001</v>
      </c>
      <c r="E12" s="477">
        <f t="shared" si="1"/>
        <v>-7.4387813635495004</v>
      </c>
      <c r="F12" s="477"/>
      <c r="G12" s="473" t="e">
        <f t="shared" si="2"/>
        <v>#REF!</v>
      </c>
      <c r="I12" s="53">
        <f t="shared" si="3"/>
        <v>2693.1936909090909</v>
      </c>
      <c r="J12" s="53">
        <f t="shared" si="4"/>
        <v>2.0133427526776488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2522699</v>
      </c>
      <c r="C14" s="467">
        <f>'Dev Summary_5-20'!B14</f>
        <v>282276.62941911275</v>
      </c>
      <c r="D14" s="467">
        <f t="shared" si="0"/>
        <v>2240422.3705808874</v>
      </c>
      <c r="E14" s="478">
        <f t="shared" si="1"/>
        <v>0.88810530728433612</v>
      </c>
      <c r="F14" s="478"/>
      <c r="G14" s="474" t="e">
        <f t="shared" si="2"/>
        <v>#REF!</v>
      </c>
      <c r="I14" s="53">
        <f t="shared" si="3"/>
        <v>22933.627272727274</v>
      </c>
      <c r="J14" s="53">
        <f t="shared" si="4"/>
        <v>17.144423150111454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56848929.023646347</v>
      </c>
      <c r="C21" s="48">
        <v>18731659</v>
      </c>
      <c r="D21" s="48">
        <f>B21-C21</f>
        <v>38117270.023646347</v>
      </c>
      <c r="E21" s="55">
        <f>D21/B21</f>
        <v>0.67050111019314795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197795.67279993629</v>
      </c>
      <c r="C26" s="48">
        <v>12677529</v>
      </c>
      <c r="D26" s="48">
        <f t="shared" si="5"/>
        <v>-12479733.327200064</v>
      </c>
      <c r="E26" s="55">
        <f t="shared" si="6"/>
        <v>-63.094066470417161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0</v>
      </c>
      <c r="C28" s="50"/>
      <c r="D28" s="50">
        <f t="shared" si="5"/>
        <v>0</v>
      </c>
      <c r="E28" s="476" t="e">
        <f t="shared" si="6"/>
        <v>#DIV/0!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60861900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55275.71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49748.139000000003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453089.39166666672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60861900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13998.237000000001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572111.47766666673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48689520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67486.795880000005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48689520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74574.295880000005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662148</v>
      </c>
      <c r="E10" s="748">
        <f>'PreDev Flow of Funds'!Y10+'PreDev Flow of Funds'!Y12</f>
        <v>1395966</v>
      </c>
      <c r="F10" s="748">
        <f>(D10-E10)/18</f>
        <v>-40767.666666666664</v>
      </c>
      <c r="G10" s="748">
        <f>$F$10</f>
        <v>-40767.666666666664</v>
      </c>
      <c r="H10" s="748">
        <f t="shared" ref="H10:W10" si="2">$F$10</f>
        <v>-40767.666666666664</v>
      </c>
      <c r="I10" s="748">
        <f t="shared" si="2"/>
        <v>-40767.666666666664</v>
      </c>
      <c r="J10" s="748">
        <f t="shared" si="2"/>
        <v>-40767.666666666664</v>
      </c>
      <c r="K10" s="748">
        <f t="shared" si="2"/>
        <v>-40767.666666666664</v>
      </c>
      <c r="L10" s="748">
        <f t="shared" si="2"/>
        <v>-40767.666666666664</v>
      </c>
      <c r="M10" s="748">
        <f t="shared" si="2"/>
        <v>-40767.666666666664</v>
      </c>
      <c r="N10" s="748">
        <f t="shared" si="2"/>
        <v>-40767.666666666664</v>
      </c>
      <c r="O10" s="748">
        <f t="shared" si="2"/>
        <v>-40767.666666666664</v>
      </c>
      <c r="P10" s="748">
        <f t="shared" si="2"/>
        <v>-40767.666666666664</v>
      </c>
      <c r="Q10" s="748">
        <f t="shared" si="2"/>
        <v>-40767.666666666664</v>
      </c>
      <c r="R10" s="748">
        <f t="shared" si="2"/>
        <v>-40767.666666666664</v>
      </c>
      <c r="S10" s="748">
        <f t="shared" si="2"/>
        <v>-40767.666666666664</v>
      </c>
      <c r="T10" s="748">
        <f t="shared" si="2"/>
        <v>-40767.666666666664</v>
      </c>
      <c r="U10" s="748">
        <f t="shared" si="2"/>
        <v>-40767.666666666664</v>
      </c>
      <c r="V10" s="748">
        <f t="shared" si="2"/>
        <v>-40767.666666666664</v>
      </c>
      <c r="W10" s="748">
        <f t="shared" si="2"/>
        <v>-40767.666666666664</v>
      </c>
      <c r="X10" s="748"/>
      <c r="Y10" s="748">
        <f>SUM(E10:W10)</f>
        <v>662147.99999999977</v>
      </c>
    </row>
    <row r="11" spans="1:25" ht="15">
      <c r="A11" s="402"/>
      <c r="B11" s="403" t="s">
        <v>388</v>
      </c>
      <c r="C11" s="748"/>
      <c r="D11" s="748">
        <f>'Development Budget'!G41</f>
        <v>662148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55329000</v>
      </c>
      <c r="E13" s="748">
        <f>'PreDev Flow of Funds'!Y14</f>
        <v>69798.3</v>
      </c>
      <c r="F13" s="748">
        <f>(D13-E13)/18</f>
        <v>3069955.6500000004</v>
      </c>
      <c r="G13" s="748">
        <f>$F$13</f>
        <v>3069955.6500000004</v>
      </c>
      <c r="H13" s="748">
        <f t="shared" ref="H13:W13" si="5">$F$13</f>
        <v>3069955.6500000004</v>
      </c>
      <c r="I13" s="748">
        <f t="shared" si="5"/>
        <v>3069955.6500000004</v>
      </c>
      <c r="J13" s="748">
        <f t="shared" si="5"/>
        <v>3069955.6500000004</v>
      </c>
      <c r="K13" s="748">
        <f t="shared" si="5"/>
        <v>3069955.6500000004</v>
      </c>
      <c r="L13" s="748">
        <f t="shared" si="5"/>
        <v>3069955.6500000004</v>
      </c>
      <c r="M13" s="748">
        <f t="shared" si="5"/>
        <v>3069955.6500000004</v>
      </c>
      <c r="N13" s="748">
        <f t="shared" si="5"/>
        <v>3069955.6500000004</v>
      </c>
      <c r="O13" s="748">
        <f t="shared" si="5"/>
        <v>3069955.6500000004</v>
      </c>
      <c r="P13" s="748">
        <f t="shared" si="5"/>
        <v>3069955.6500000004</v>
      </c>
      <c r="Q13" s="748">
        <f t="shared" si="5"/>
        <v>3069955.6500000004</v>
      </c>
      <c r="R13" s="748">
        <f t="shared" si="5"/>
        <v>3069955.6500000004</v>
      </c>
      <c r="S13" s="748">
        <f t="shared" si="5"/>
        <v>3069955.6500000004</v>
      </c>
      <c r="T13" s="748">
        <f t="shared" si="5"/>
        <v>3069955.6500000004</v>
      </c>
      <c r="U13" s="748">
        <f t="shared" si="5"/>
        <v>3069955.6500000004</v>
      </c>
      <c r="V13" s="748">
        <f t="shared" si="5"/>
        <v>3069955.6500000004</v>
      </c>
      <c r="W13" s="748">
        <f t="shared" si="5"/>
        <v>3069955.6500000004</v>
      </c>
      <c r="X13" s="748"/>
      <c r="Y13" s="748">
        <f t="shared" si="3"/>
        <v>55328999.999999985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55329000</v>
      </c>
      <c r="E15" s="748">
        <f>'PreDev Flow of Funds'!Y16+'PreDev Flow of Funds'!Y17+'PreDev Flow of Funds'!Y19</f>
        <v>72500</v>
      </c>
      <c r="F15" s="748">
        <f>(D15-E15)/18</f>
        <v>3069805.5555555555</v>
      </c>
      <c r="G15" s="748">
        <f>$F$15</f>
        <v>3069805.5555555555</v>
      </c>
      <c r="H15" s="748">
        <f t="shared" ref="H15:W15" si="7">$F$15</f>
        <v>3069805.5555555555</v>
      </c>
      <c r="I15" s="748">
        <f t="shared" si="7"/>
        <v>3069805.5555555555</v>
      </c>
      <c r="J15" s="748">
        <f t="shared" si="7"/>
        <v>3069805.5555555555</v>
      </c>
      <c r="K15" s="748">
        <f t="shared" si="7"/>
        <v>3069805.5555555555</v>
      </c>
      <c r="L15" s="748">
        <f t="shared" si="7"/>
        <v>3069805.5555555555</v>
      </c>
      <c r="M15" s="748">
        <f t="shared" si="7"/>
        <v>3069805.5555555555</v>
      </c>
      <c r="N15" s="748">
        <f t="shared" si="7"/>
        <v>3069805.5555555555</v>
      </c>
      <c r="O15" s="748">
        <f t="shared" si="7"/>
        <v>3069805.5555555555</v>
      </c>
      <c r="P15" s="748">
        <f t="shared" si="7"/>
        <v>3069805.5555555555</v>
      </c>
      <c r="Q15" s="748">
        <f t="shared" si="7"/>
        <v>3069805.5555555555</v>
      </c>
      <c r="R15" s="748">
        <f t="shared" si="7"/>
        <v>3069805.5555555555</v>
      </c>
      <c r="S15" s="748">
        <f t="shared" si="7"/>
        <v>3069805.5555555555</v>
      </c>
      <c r="T15" s="748">
        <f t="shared" si="7"/>
        <v>3069805.5555555555</v>
      </c>
      <c r="U15" s="748">
        <f t="shared" si="7"/>
        <v>3069805.5555555555</v>
      </c>
      <c r="V15" s="748">
        <f t="shared" si="7"/>
        <v>3069805.5555555555</v>
      </c>
      <c r="W15" s="748">
        <f t="shared" si="7"/>
        <v>3069805.5555555555</v>
      </c>
      <c r="X15" s="748"/>
      <c r="Y15" s="748">
        <f t="shared" si="3"/>
        <v>55328999.999999978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10055000</v>
      </c>
      <c r="E26" s="748">
        <v>0</v>
      </c>
      <c r="F26" s="748">
        <f>D26/2</f>
        <v>5027500</v>
      </c>
      <c r="G26" s="748">
        <f>F26</f>
        <v>5027500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10055000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44143200</v>
      </c>
      <c r="E33" s="748">
        <v>0</v>
      </c>
      <c r="F33" s="748">
        <f>D33</f>
        <v>44143200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44143200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138322.5</v>
      </c>
      <c r="E43" s="748">
        <f>D43</f>
        <v>138322.5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138322.5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329322.5</v>
      </c>
      <c r="E52" s="748">
        <f>D52</f>
        <v>329322.5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329322.5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2522699</v>
      </c>
      <c r="E58" s="748">
        <f>'PreDev Flow of Funds'!Y46</f>
        <v>96238.814999999988</v>
      </c>
      <c r="F58" s="748">
        <f>(D58-E58)/18</f>
        <v>134803.34361111111</v>
      </c>
      <c r="G58" s="748">
        <f>$F$58</f>
        <v>134803.34361111111</v>
      </c>
      <c r="H58" s="748">
        <f t="shared" ref="H58:W58" si="18">$F$58</f>
        <v>134803.34361111111</v>
      </c>
      <c r="I58" s="748">
        <f t="shared" si="18"/>
        <v>134803.34361111111</v>
      </c>
      <c r="J58" s="748">
        <f t="shared" si="18"/>
        <v>134803.34361111111</v>
      </c>
      <c r="K58" s="748">
        <f t="shared" si="18"/>
        <v>134803.34361111111</v>
      </c>
      <c r="L58" s="748">
        <f t="shared" si="18"/>
        <v>134803.34361111111</v>
      </c>
      <c r="M58" s="748">
        <f t="shared" si="18"/>
        <v>134803.34361111111</v>
      </c>
      <c r="N58" s="748">
        <f t="shared" si="18"/>
        <v>134803.34361111111</v>
      </c>
      <c r="O58" s="748">
        <f t="shared" si="18"/>
        <v>134803.34361111111</v>
      </c>
      <c r="P58" s="748">
        <f t="shared" si="18"/>
        <v>134803.34361111111</v>
      </c>
      <c r="Q58" s="748">
        <f t="shared" si="18"/>
        <v>134803.34361111111</v>
      </c>
      <c r="R58" s="748">
        <f t="shared" si="18"/>
        <v>134803.34361111111</v>
      </c>
      <c r="S58" s="748">
        <f t="shared" si="18"/>
        <v>134803.34361111111</v>
      </c>
      <c r="T58" s="748">
        <f t="shared" si="18"/>
        <v>134803.34361111111</v>
      </c>
      <c r="U58" s="748">
        <f t="shared" si="18"/>
        <v>134803.34361111111</v>
      </c>
      <c r="V58" s="748">
        <f t="shared" si="18"/>
        <v>134803.34361111111</v>
      </c>
      <c r="W58" s="748">
        <f t="shared" si="18"/>
        <v>134803.34361111111</v>
      </c>
      <c r="X58" s="748"/>
      <c r="Y58" s="748">
        <f t="shared" si="3"/>
        <v>2522699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250080.12264474371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15312798.074999997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58167566.842312589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-10959192.880428601</v>
      </c>
      <c r="E87" s="749">
        <f>E80-E84-E85-E86-E88-E89-E90-E91</f>
        <v>471644.99999999627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15312798.074999997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65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65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6" t="s">
        <v>590</v>
      </c>
      <c r="D74" s="1767"/>
      <c r="E74" s="1767"/>
      <c r="F74" s="1767"/>
      <c r="G74" s="1767"/>
      <c r="H74" s="1767"/>
      <c r="I74" s="1768"/>
      <c r="J74" s="1769" t="s">
        <v>583</v>
      </c>
      <c r="K74" s="1770"/>
      <c r="L74" s="1770"/>
      <c r="M74" s="1770"/>
      <c r="N74" s="1770"/>
      <c r="O74" s="1771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6"/>
      <c r="D78" s="1767"/>
      <c r="E78" s="1767"/>
      <c r="F78" s="1767"/>
      <c r="G78" s="1767"/>
      <c r="H78" s="1767"/>
      <c r="I78" s="1768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6"/>
      <c r="D85" s="1767"/>
      <c r="E85" s="1767"/>
      <c r="F85" s="1767"/>
      <c r="G85" s="1767"/>
      <c r="H85" s="1767"/>
      <c r="I85" s="1768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6"/>
      <c r="D91" s="1767"/>
      <c r="E91" s="1767"/>
      <c r="F91" s="1767"/>
      <c r="G91" s="1767"/>
      <c r="H91" s="1767"/>
      <c r="I91" s="1768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-1200899.0774999999</v>
      </c>
      <c r="K103" s="162">
        <f>J103+(C116*0.25)/2</f>
        <v>-2401798.1549999998</v>
      </c>
      <c r="L103" s="162">
        <f>K103+((C116-K103)/4)</f>
        <v>-4203146.7712500002</v>
      </c>
      <c r="M103" s="162">
        <f>L103+((C116-K103)/4)</f>
        <v>-6004495.3875000002</v>
      </c>
      <c r="N103" s="162">
        <f>M103+((C116-K103)/4)</f>
        <v>-7805844.0037500001</v>
      </c>
      <c r="O103" s="162">
        <f>N103+((C116-K103)/4)</f>
        <v>-9607192.620000001</v>
      </c>
      <c r="P103" s="162">
        <f>O103</f>
        <v>-9607192.620000001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9797222.7408333328</v>
      </c>
      <c r="K104" s="371">
        <f>((C117-1033493)/6)+J104</f>
        <v>19594445.481666666</v>
      </c>
      <c r="L104" s="371">
        <f>((C117-1033493)/6)+K104</f>
        <v>29391668.222499996</v>
      </c>
      <c r="M104" s="371">
        <f>((C117-1033493)/6)+L104</f>
        <v>39188890.963333331</v>
      </c>
      <c r="N104" s="371">
        <f>((C117-1033493)/6)+M104</f>
        <v>48986113.704166666</v>
      </c>
      <c r="O104" s="371">
        <f>((C117-1033493)/6)+N104</f>
        <v>58783336.445</v>
      </c>
      <c r="P104" s="371">
        <f>(286645+100000+646848)+O104</f>
        <v>59816829.445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8596323.6633333322</v>
      </c>
      <c r="K110" s="371">
        <f t="shared" ref="K110:P110" si="9">SUM(K103:K104)</f>
        <v>17192647.326666664</v>
      </c>
      <c r="L110" s="371">
        <f t="shared" si="9"/>
        <v>25188521.451249994</v>
      </c>
      <c r="M110" s="371">
        <f t="shared" si="9"/>
        <v>33184395.575833332</v>
      </c>
      <c r="N110" s="371">
        <f t="shared" si="9"/>
        <v>41180269.700416669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4">
        <f>'PreDev Flow of Funds'!D47</f>
        <v>14824249.954999998</v>
      </c>
      <c r="D114" s="1773"/>
    </row>
    <row r="115" spans="2:19">
      <c r="B115" s="397" t="s">
        <v>601</v>
      </c>
      <c r="C115" s="1775">
        <f>M102</f>
        <v>1323400.22</v>
      </c>
      <c r="D115" s="1773"/>
    </row>
    <row r="116" spans="2:19">
      <c r="B116" s="397" t="s">
        <v>583</v>
      </c>
      <c r="C116" s="1775">
        <f>'Development Budget'!G37-Predevelopment!D27-Predevelopment!D28-Predevelopment!D29-Timeline!M102-Predevelopment!D17</f>
        <v>-9607192.6199999992</v>
      </c>
      <c r="D116" s="1773"/>
    </row>
    <row r="117" spans="2:19" ht="16.5" thickBot="1">
      <c r="B117" s="398" t="s">
        <v>602</v>
      </c>
      <c r="C117" s="1776">
        <f>C118-C114-C116-C115</f>
        <v>59816829.445</v>
      </c>
      <c r="D117" s="1777"/>
    </row>
    <row r="118" spans="2:19" ht="16.5" thickTop="1">
      <c r="B118" s="368" t="s">
        <v>586</v>
      </c>
      <c r="C118" s="1772">
        <v>66357287</v>
      </c>
      <c r="D118" s="1773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customXml/itemProps2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