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Generic NonLIHTC\Gaps\"/>
    </mc:Choice>
  </mc:AlternateContent>
  <xr:revisionPtr revIDLastSave="0" documentId="13_ncr:1_{5A5C1A8B-6580-4C17-8E35-5BE0CA588AA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<sst xmlns="http://schemas.openxmlformats.org/spreadsheetml/2006/main" count="1995" uniqueCount="1106">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</sst>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0" fontId="55" fillId="0" borderId="98" xfId="0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workbookViewId="0">
      <selection activeCell="F12" sqref="F12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7.1402260685641686E-3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7.140226068564179E-3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-18287203.481164686</v>
      </c>
      <c r="E18" s="1754">
        <f ca="1">-D18/D28</f>
        <v>0.14466343528238901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13305000</v>
      </c>
      <c r="E21" s="1531">
        <f>D21/$D$10</f>
        <v>65866.336633663363</v>
      </c>
    </row>
    <row r="22" spans="1:6">
      <c r="A22" s="64"/>
      <c r="B22" s="4" t="s">
        <v>16</v>
      </c>
      <c r="C22" s="4"/>
      <c r="D22" s="1531">
        <f>'Development Budget'!G44</f>
        <v>81146435.312499985</v>
      </c>
      <c r="E22" s="1531">
        <f t="shared" ref="E22:E28" si="0">D22/$D$10</f>
        <v>401715.02629950485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3356436</v>
      </c>
      <c r="E24" s="1531">
        <f t="shared" si="0"/>
        <v>16616.019801980197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8463835.0966323353</v>
      </c>
      <c r="E25" s="1531">
        <f t="shared" si="0"/>
        <v>41900.173745704633</v>
      </c>
    </row>
    <row r="26" spans="1:6">
      <c r="A26" s="64"/>
      <c r="B26" s="4" t="s">
        <v>20</v>
      </c>
      <c r="C26" s="4"/>
      <c r="D26" s="1531">
        <f>'Development Budget'!G181</f>
        <v>5510948.7239028849</v>
      </c>
      <c r="E26" s="1531">
        <f t="shared" si="0"/>
        <v>27281.924375756855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12331169.155824736</v>
      </c>
      <c r="E27" s="1532">
        <f t="shared" si="0"/>
        <v>61045.391860518495</v>
      </c>
    </row>
    <row r="28" spans="1:6" ht="16.5" thickTop="1">
      <c r="A28" s="4"/>
      <c r="B28" s="4"/>
      <c r="C28" s="150" t="s">
        <v>14</v>
      </c>
      <c r="D28" s="1533">
        <f>SUM(D21:D27)</f>
        <v>126412064.28885993</v>
      </c>
      <c r="E28" s="1531">
        <f t="shared" si="0"/>
        <v>625802.29845970264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83205212.517524853</v>
      </c>
      <c r="E32" s="1586">
        <f t="shared" si="1"/>
        <v>411906.99266101414</v>
      </c>
    </row>
    <row r="33" spans="1:5">
      <c r="A33" s="64"/>
      <c r="B33" s="4" t="s">
        <v>1052</v>
      </c>
      <c r="C33" s="4"/>
      <c r="D33" s="1587">
        <f>GapCalc!D29</f>
        <v>6481027.765700263</v>
      </c>
      <c r="E33" s="1586">
        <f>D33/$D$10</f>
        <v>32084.295869803282</v>
      </c>
    </row>
    <row r="34" spans="1:5">
      <c r="A34" s="65"/>
      <c r="B34" s="4" t="s">
        <v>26</v>
      </c>
      <c r="C34" s="4"/>
      <c r="D34" s="1587">
        <f>GapCalc!D30</f>
        <v>36725824.005634822</v>
      </c>
      <c r="E34" s="1586">
        <f>D34/$D$10</f>
        <v>181811.00992888527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126412064.28885993</v>
      </c>
      <c r="E36" s="1586">
        <f>D36/$D$10</f>
        <v>625802.29845970264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75020348.484821707</v>
      </c>
      <c r="E40" s="1586">
        <f t="shared" ref="E40" si="2">D40/$D$10</f>
        <v>371387.86378624605</v>
      </c>
    </row>
    <row r="41" spans="1:5">
      <c r="A41" s="60"/>
      <c r="B41" s="4" t="s">
        <v>1052</v>
      </c>
      <c r="C41" s="4"/>
      <c r="D41" s="1591">
        <f>GapCalc!D29+GapCalc!D38</f>
        <v>7708757.3706057351</v>
      </c>
      <c r="E41" s="1586">
        <f>D41/$D$10</f>
        <v>38162.165201018492</v>
      </c>
    </row>
    <row r="42" spans="1:5">
      <c r="A42" s="60"/>
      <c r="B42" s="1557" t="s">
        <v>26</v>
      </c>
      <c r="C42" s="4"/>
      <c r="D42" s="1592">
        <f>GapCalc!D30+GapCalc!D39</f>
        <v>43682958.433432497</v>
      </c>
      <c r="E42" s="1586">
        <f>D42/$D$10</f>
        <v>216252.26947243811</v>
      </c>
    </row>
    <row r="43" spans="1:5">
      <c r="A43" s="60"/>
      <c r="B43" s="1714" t="s">
        <v>1103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126412064.28885993</v>
      </c>
      <c r="E45" s="1588">
        <f>D45/$D$10</f>
        <v>625802.29845970264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5" zoomScaleNormal="100" workbookViewId="0">
      <selection activeCell="M37" sqref="M37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13305000</v>
      </c>
      <c r="E17" s="1531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81146435.312499985</v>
      </c>
      <c r="E18" s="1531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3356436</v>
      </c>
      <c r="E20" s="1531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8463835.0966323353</v>
      </c>
      <c r="E21" s="1531">
        <f t="shared" si="0"/>
        <v>41900.173745704633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5510948.7239028849</v>
      </c>
      <c r="E22" s="1531">
        <f t="shared" si="0"/>
        <v>27281.924375756855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12331169.155824736</v>
      </c>
      <c r="E23" s="1532">
        <f t="shared" si="0"/>
        <v>61045.391860518495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126412064.28885993</v>
      </c>
      <c r="E24" s="1531">
        <f t="shared" si="0"/>
        <v>625802.29845970264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0.8407357313401862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83205212.517524853</v>
      </c>
      <c r="E28" s="1586">
        <f t="shared" si="1"/>
        <v>411906.99266101414</v>
      </c>
      <c r="F28" s="62"/>
      <c r="G28" s="1419" t="s">
        <v>609</v>
      </c>
      <c r="H28" s="1608">
        <f>H32/D11</f>
        <v>38162.165201018492</v>
      </c>
      <c r="I28" s="703"/>
    </row>
    <row r="29" spans="1:10" ht="15.75">
      <c r="A29" s="64"/>
      <c r="B29" s="4" t="s">
        <v>1052</v>
      </c>
      <c r="C29" s="4"/>
      <c r="D29" s="1587">
        <v>6481027.765700263</v>
      </c>
      <c r="E29" s="1586">
        <f>D29/$D$11</f>
        <v>32084.295869803282</v>
      </c>
      <c r="F29" s="520"/>
      <c r="G29" s="1420" t="s">
        <v>972</v>
      </c>
      <c r="H29" s="1609">
        <f>H33/D11</f>
        <v>216252.26947243811</v>
      </c>
      <c r="I29" s="703"/>
    </row>
    <row r="30" spans="1:10" ht="16.5" thickBot="1">
      <c r="A30" s="65"/>
      <c r="B30" s="4" t="s">
        <v>26</v>
      </c>
      <c r="C30" s="4"/>
      <c r="D30" s="1587">
        <v>36725824.005634822</v>
      </c>
      <c r="E30" s="1586">
        <f>D30/$D$11</f>
        <v>181811.00992888527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7708757.3706057351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126412064.28885993</v>
      </c>
      <c r="E33" s="1586">
        <f>D33/$D$11</f>
        <v>625802.29845970264</v>
      </c>
      <c r="F33" s="62"/>
      <c r="G33" s="1441" t="s">
        <v>972</v>
      </c>
      <c r="H33" s="1611">
        <f>D30+D39</f>
        <v>43682958.433432497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51391715.804038234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0.40654122763634937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75020348.484821707</v>
      </c>
      <c r="E37" s="1586">
        <f t="shared" ref="E37" si="2">D37/$D$11</f>
        <v>371387.86378624605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1227729.6049054717</v>
      </c>
      <c r="E38" s="1586">
        <f>D38/$D$11</f>
        <v>6077.8693312152063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6957134.4277976733</v>
      </c>
      <c r="E39" s="1586">
        <f>D39/$D$11</f>
        <v>34441.259543552835</v>
      </c>
      <c r="F39" s="62"/>
      <c r="G39" s="1435" t="s">
        <v>609</v>
      </c>
      <c r="H39" s="1616">
        <f>-D32*0.15</f>
        <v>0</v>
      </c>
      <c r="I39" s="1596">
        <f>D29+H39</f>
        <v>6481027.765700263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36725824.005634822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83205212.517524853</v>
      </c>
      <c r="E42" s="1586">
        <f>D42/$D$11</f>
        <v>411906.99266101414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0</v>
      </c>
      <c r="I43" s="1596">
        <f>D38+H43</f>
        <v>1227729.6049054717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0</v>
      </c>
      <c r="I44" s="1596">
        <f>D39+H44</f>
        <v>6957134.4277976733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28138835.474442516</v>
      </c>
      <c r="J46" s="1582" t="s">
        <v>1084</v>
      </c>
      <c r="K46" s="1583">
        <f>'Cash Flow'!C76</f>
        <v>7.1402260685641686E-3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8422308.2272744719</v>
      </c>
      <c r="J47" s="1584" t="s">
        <v>1099</v>
      </c>
      <c r="K47" s="1607">
        <f>'Cash Flow'!C70</f>
        <v>45866301.823341295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-15544122.958989982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4965676.8484310322</v>
      </c>
      <c r="J51" s="1585" t="s">
        <v>1084</v>
      </c>
      <c r="K51" s="1618">
        <f>'Cash Flow'!H76</f>
        <v>7.140226068564179E-3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7708757.3706057351</v>
      </c>
      <c r="J52" s="1584" t="s">
        <v>1098</v>
      </c>
      <c r="K52" s="1607">
        <f>'Cash Flow'!H70</f>
        <v>8094053.2629425824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-2743080.522174703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-18287203.481164686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41485008.784277216</v>
      </c>
      <c r="J58" s="1582" t="s">
        <v>1084</v>
      </c>
      <c r="K58" s="1583">
        <f>'Cash Flow'!C103</f>
        <v>5.4798499788921942E-2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67620564.318371862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-2197949.6491552815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5624730.707325682</v>
      </c>
      <c r="J63" s="1585" t="s">
        <v>1084</v>
      </c>
      <c r="K63" s="1618">
        <f>'Cash Flow'!H103</f>
        <v>1.8933708925650584E-2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7708757.3706057351</v>
      </c>
      <c r="J64" s="1584" t="s">
        <v>1098</v>
      </c>
      <c r="K64" s="1607">
        <f>'Cash Flow'!H97</f>
        <v>9168311.0529408604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-2084026.6632800531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-4281976.3124353345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43" zoomScale="130" zoomScaleNormal="130" workbookViewId="0">
      <selection activeCell="L30" sqref="L30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0.79207920792079212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40</v>
      </c>
      <c r="O9" s="332">
        <f t="shared" si="0"/>
        <v>0.19801980198019803</v>
      </c>
    </row>
    <row r="10" spans="2:19" ht="12.75" customHeight="1">
      <c r="B10" s="268"/>
      <c r="C10" s="209" t="s">
        <v>53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62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725124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8000</v>
      </c>
      <c r="K41" s="292">
        <f>E41*I41</f>
        <v>38820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7370</v>
      </c>
      <c r="K42" s="292">
        <f>E42*I42</f>
        <v>22880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9000</v>
      </c>
      <c r="K43" s="292">
        <f>E43*I43</f>
        <v>22464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40</v>
      </c>
      <c r="F46" s="203"/>
      <c r="G46" s="203"/>
      <c r="H46" s="246"/>
      <c r="I46" s="247"/>
      <c r="J46" s="296">
        <f>SUM(J41:J45)</f>
        <v>24370</v>
      </c>
      <c r="K46" s="297">
        <f>SUM(K41:K45)</f>
        <v>84164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1778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9600</v>
      </c>
      <c r="K50" s="292">
        <f>E50*I50</f>
        <v>57600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16080</v>
      </c>
      <c r="K51" s="292">
        <f>E51*I51</f>
        <v>74880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112000</v>
      </c>
      <c r="K52" s="292">
        <f>E52*I52</f>
        <v>508480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9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16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13130000</v>
      </c>
      <c r="F18" s="845"/>
      <c r="G18" s="1392">
        <f>E18</f>
        <v>13130000</v>
      </c>
      <c r="H18" s="950"/>
      <c r="I18" s="950">
        <f>G18/$F$9</f>
        <v>65000</v>
      </c>
      <c r="J18" s="1015"/>
      <c r="K18" s="1016"/>
      <c r="L18" s="1016"/>
      <c r="M18" s="1431">
        <f>F9*N17</f>
        <v>13130000</v>
      </c>
      <c r="N18" s="1674">
        <v>13130000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13130000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13305000</v>
      </c>
      <c r="H28" s="1333"/>
      <c r="I28" s="1325">
        <f t="shared" si="0"/>
        <v>65866.336633663363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13305000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64797148.25</v>
      </c>
      <c r="H32" s="1039"/>
      <c r="I32" s="950">
        <f t="shared" si="0"/>
        <v>320777.96163366339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71276863.075000003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59058000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6479714.8250000002</v>
      </c>
      <c r="G36" s="854">
        <f>F36</f>
        <v>6479714.8250000002</v>
      </c>
      <c r="H36" s="950"/>
      <c r="I36" s="950">
        <f t="shared" si="0"/>
        <v>32077.796163366336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4535800.3775000004</v>
      </c>
      <c r="H37" s="1072"/>
      <c r="I37" s="950">
        <f t="shared" si="0"/>
        <v>22454.457314356438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4535800.3775000004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3239857.4125000001</v>
      </c>
      <c r="H38" s="1072"/>
      <c r="I38" s="950">
        <f t="shared" si="0"/>
        <v>16038.898081683168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3239857.4125000001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971957.22375</v>
      </c>
      <c r="H40" s="1072"/>
      <c r="I40" s="950">
        <f t="shared" si="0"/>
        <v>4811.6694245049503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971957.22375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971957.22375</v>
      </c>
      <c r="H41" s="1072"/>
      <c r="I41" s="950">
        <f t="shared" si="0"/>
        <v>4811.6694245049503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971957.22375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81146435.312499985</v>
      </c>
      <c r="H44" s="1324"/>
      <c r="I44" s="1325">
        <f t="shared" si="0"/>
        <v>401715.02629950485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81146435.312499985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81146435.312499985</v>
      </c>
      <c r="H46" s="1333"/>
      <c r="I46" s="1325">
        <f t="shared" si="0"/>
        <v>401715.02629950485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81146435.312499985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8114643.5312499991</v>
      </c>
      <c r="H47" s="1039"/>
      <c r="I47" s="950">
        <f t="shared" si="0"/>
        <v>40171.50262995049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8114643.5312499991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1904373.9117187499</v>
      </c>
      <c r="H59" s="1128"/>
      <c r="I59" s="950">
        <f t="shared" si="0"/>
        <v>9427.5936223700483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202866.08828124998</v>
      </c>
      <c r="H67" s="1039"/>
      <c r="I67" s="950">
        <f t="shared" si="0"/>
        <v>1004.2875657487623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202866.08828124998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393866.08828124998</v>
      </c>
      <c r="H80" s="1101"/>
      <c r="I80" s="950">
        <f t="shared" si="0"/>
        <v>1949.8321202042077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393866.08828124998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3256436</v>
      </c>
      <c r="H90" s="1111"/>
      <c r="I90" s="950">
        <f t="shared" si="3"/>
        <v>16120.970297029702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3256436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2380974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2380974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3356436</v>
      </c>
      <c r="H97" s="1101"/>
      <c r="I97" s="950">
        <f t="shared" si="3"/>
        <v>16616.019801980197</v>
      </c>
      <c r="J97" s="1102"/>
      <c r="K97" s="1166">
        <f>I97/I250</f>
        <v>2.6551548057393647E-2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3356436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311129.67854023521</v>
      </c>
      <c r="H102" s="1111"/>
      <c r="I102" s="950">
        <f t="shared" si="3"/>
        <v>1540.245933367501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311129.67854023521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296129.67854023521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5866518.7931793602</v>
      </c>
      <c r="N103" s="1172">
        <v>5922593.570804704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311129.67854023521</v>
      </c>
      <c r="H114" s="1101"/>
      <c r="I114" s="950">
        <f t="shared" si="3"/>
        <v>1540.245933367501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311129.67854023521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5865967.482485503</v>
      </c>
      <c r="H116" s="1177"/>
      <c r="I116" s="950">
        <f t="shared" si="3"/>
        <v>29039.4429826015</v>
      </c>
      <c r="J116" s="1178"/>
      <c r="K116" s="1179" t="s">
        <v>823</v>
      </c>
      <c r="L116" s="1073"/>
      <c r="M116" s="1180">
        <f>0.5*Data!C20*Data!C17/12*Data!C19</f>
        <v>5865967.482485503</v>
      </c>
      <c r="N116" s="1181">
        <v>5865967.482485503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5865967.482485503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832052.1251752486</v>
      </c>
      <c r="H117" s="1094"/>
      <c r="I117" s="950">
        <f t="shared" si="3"/>
        <v>4119.0699266101419</v>
      </c>
      <c r="J117" s="1015"/>
      <c r="K117" s="1184" t="s">
        <v>825</v>
      </c>
      <c r="L117" s="1185"/>
      <c r="M117" s="1186">
        <f>0.01*Data!C20</f>
        <v>832052.1251752486</v>
      </c>
      <c r="N117" s="1172">
        <v>832052.1251752486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832052.1251752486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393702.39350000001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393702.39350000001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1111905.2766952969</v>
      </c>
      <c r="H121" s="1117"/>
      <c r="I121" s="950">
        <f t="shared" si="3"/>
        <v>5504.4815677984998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1111905.2766952969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1111905.2766952969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134807.81877628728</v>
      </c>
      <c r="H125" s="1111"/>
      <c r="I125" s="950">
        <f t="shared" si="3"/>
        <v>667.36543948657072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134807.81877628728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124807.81877628728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124807.81877628728</v>
      </c>
      <c r="N126" s="1172">
        <v>124807.81877628728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8353835.0966323363</v>
      </c>
      <c r="H148" s="1128"/>
      <c r="I148" s="950">
        <f t="shared" si="6"/>
        <v>41355.619290259092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8353835.0966323363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750203.48484821711</v>
      </c>
      <c r="H151" s="1093"/>
      <c r="I151" s="950">
        <f t="shared" ref="I151:I158" si="7">G151/$F$9</f>
        <v>3713.8786378624609</v>
      </c>
      <c r="J151" s="1094"/>
      <c r="K151" s="1244" t="s">
        <v>863</v>
      </c>
      <c r="L151" s="1245"/>
      <c r="M151" s="1558">
        <f>Data!C31*Data!C30</f>
        <v>750203.48484821711</v>
      </c>
      <c r="N151" s="1345">
        <v>750203.48484821711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7488469.1265772367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5510948.7239028849</v>
      </c>
      <c r="H178" s="1093"/>
      <c r="I178" s="950">
        <f t="shared" si="6"/>
        <v>27281.924375756855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5510948.7239028849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5510948.7239028849</v>
      </c>
      <c r="H181" s="1128"/>
      <c r="I181" s="950">
        <f t="shared" si="6"/>
        <v>27281.924375756855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5510948.7239028849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924998.27936783549</v>
      </c>
      <c r="H233" s="1111"/>
      <c r="I233" s="950">
        <f t="shared" si="8"/>
        <v>4579.1994028110666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924998.27936783549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1363748.2793678355</v>
      </c>
      <c r="H234" s="1282"/>
      <c r="I234" s="950">
        <f t="shared" si="8"/>
        <v>6751.2291057813636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1363748.2793678355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126412064.28885993</v>
      </c>
      <c r="H250" s="1298"/>
      <c r="I250" s="1299">
        <f>G250/F9</f>
        <v>625802.29845970264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642.14195006024556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L22" sqref="L22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196860</v>
      </c>
      <c r="D5" t="s">
        <v>428</v>
      </c>
      <c r="G5" s="510"/>
    </row>
    <row r="6" spans="1:15">
      <c r="B6" s="1350" t="s">
        <v>12</v>
      </c>
      <c r="C6" s="700">
        <f>'Construction Calculation'!C14</f>
        <v>196860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32810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101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83205212.517524853</v>
      </c>
      <c r="D20" s="1375">
        <f>MIN(D22,GapCalc!D24)</f>
        <v>82167841.787758961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82167841.787758961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-5207948.7239028607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5207948.7239028849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99260575.199999973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75020348.484821707</v>
      </c>
      <c r="D30" s="1376">
        <f>-PV($C$24/12,$C$29*12,C27/12)</f>
        <v>75020348.484821707</v>
      </c>
      <c r="E30" s="1384"/>
      <c r="F30" t="s">
        <v>438</v>
      </c>
      <c r="G30" s="1381"/>
      <c r="H30" s="1376">
        <f>PV(G23,G29,-'Cash Flow'!E41*H28,)</f>
        <v>8395930.4044076335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5207948.7239028849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107119373.72294137</v>
      </c>
      <c r="D38" s="516" t="s">
        <v>1039</v>
      </c>
      <c r="E38" s="1391">
        <f>C37*GapCalc!D24</f>
        <v>101129651.43108796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85653899.684015468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8701488</v>
      </c>
      <c r="F12" s="89">
        <f>E12*(1+$D$12)</f>
        <v>8919025.1999999993</v>
      </c>
      <c r="G12" s="89">
        <f t="shared" ref="G12:AH12" si="0">F12*(1+$D$12)</f>
        <v>9142000.8299999982</v>
      </c>
      <c r="H12" s="89">
        <f t="shared" si="0"/>
        <v>9370550.8507499974</v>
      </c>
      <c r="I12" s="89">
        <f t="shared" si="0"/>
        <v>9604814.622018747</v>
      </c>
      <c r="J12" s="89">
        <f t="shared" si="0"/>
        <v>9844934.9875692148</v>
      </c>
      <c r="K12" s="89">
        <f t="shared" si="0"/>
        <v>10091058.362258444</v>
      </c>
      <c r="L12" s="89">
        <f t="shared" si="0"/>
        <v>10343334.821314903</v>
      </c>
      <c r="M12" s="89">
        <f t="shared" si="0"/>
        <v>10601918.191847775</v>
      </c>
      <c r="N12" s="89">
        <f t="shared" si="0"/>
        <v>10866966.146643968</v>
      </c>
      <c r="O12" s="89">
        <f t="shared" si="0"/>
        <v>11138640.300310066</v>
      </c>
      <c r="P12" s="89">
        <f t="shared" si="0"/>
        <v>11417106.307817817</v>
      </c>
      <c r="Q12" s="89">
        <f t="shared" si="0"/>
        <v>11702533.965513261</v>
      </c>
      <c r="R12" s="89">
        <f t="shared" si="0"/>
        <v>11995097.314651091</v>
      </c>
      <c r="S12" s="90">
        <f t="shared" si="0"/>
        <v>12294974.747517366</v>
      </c>
      <c r="T12" s="89">
        <f t="shared" si="0"/>
        <v>12602349.116205299</v>
      </c>
      <c r="U12" s="89">
        <f t="shared" si="0"/>
        <v>12917407.844110431</v>
      </c>
      <c r="V12" s="89">
        <f t="shared" si="0"/>
        <v>13240343.04021319</v>
      </c>
      <c r="W12" s="89">
        <f t="shared" si="0"/>
        <v>13571351.616218518</v>
      </c>
      <c r="X12" s="89">
        <f t="shared" si="0"/>
        <v>13910635.40662398</v>
      </c>
      <c r="Y12" s="89">
        <f t="shared" si="0"/>
        <v>14258401.291789578</v>
      </c>
      <c r="Z12" s="89">
        <f t="shared" si="0"/>
        <v>14614861.324084317</v>
      </c>
      <c r="AA12" s="89">
        <f t="shared" si="0"/>
        <v>14980232.857186424</v>
      </c>
      <c r="AB12" s="89">
        <f t="shared" si="0"/>
        <v>15354738.678616082</v>
      </c>
      <c r="AC12" s="89">
        <f t="shared" si="0"/>
        <v>15738607.145581484</v>
      </c>
      <c r="AD12" s="89">
        <f t="shared" si="0"/>
        <v>16132072.324221019</v>
      </c>
      <c r="AE12" s="89">
        <f t="shared" si="0"/>
        <v>16535374.132326543</v>
      </c>
      <c r="AF12" s="89">
        <f t="shared" si="0"/>
        <v>16948758.485634707</v>
      </c>
      <c r="AG12" s="89">
        <f t="shared" si="0"/>
        <v>17372477.447775573</v>
      </c>
      <c r="AH12" s="89">
        <f t="shared" si="0"/>
        <v>17806789.383969959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-435353.4</v>
      </c>
      <c r="F14" s="100">
        <f t="shared" ref="F14:AH14" si="2">-((F12+F13)*$C$14)</f>
        <v>-446237.23499999999</v>
      </c>
      <c r="G14" s="100">
        <f t="shared" si="2"/>
        <v>-457393.16587499995</v>
      </c>
      <c r="H14" s="100">
        <f t="shared" si="2"/>
        <v>-468827.99502187484</v>
      </c>
      <c r="I14" s="100">
        <f t="shared" si="2"/>
        <v>-480548.69489742175</v>
      </c>
      <c r="J14" s="100">
        <f t="shared" si="2"/>
        <v>-492562.41226985725</v>
      </c>
      <c r="K14" s="100">
        <f t="shared" si="2"/>
        <v>-504876.47257660358</v>
      </c>
      <c r="L14" s="100">
        <f t="shared" si="2"/>
        <v>-517498.3843910186</v>
      </c>
      <c r="M14" s="100">
        <f t="shared" si="2"/>
        <v>-530435.84400079399</v>
      </c>
      <c r="N14" s="100">
        <f t="shared" si="2"/>
        <v>-543696.74010081391</v>
      </c>
      <c r="O14" s="100">
        <f t="shared" si="2"/>
        <v>-557289.1586033341</v>
      </c>
      <c r="P14" s="100">
        <f t="shared" si="2"/>
        <v>-571221.38756841735</v>
      </c>
      <c r="Q14" s="100">
        <f t="shared" si="2"/>
        <v>-585501.92225762771</v>
      </c>
      <c r="R14" s="100">
        <f t="shared" si="2"/>
        <v>-600139.47031406837</v>
      </c>
      <c r="S14" s="101">
        <f t="shared" si="2"/>
        <v>-615142.95707192004</v>
      </c>
      <c r="T14" s="100">
        <f t="shared" si="2"/>
        <v>-630521.53099871799</v>
      </c>
      <c r="U14" s="100">
        <f t="shared" si="2"/>
        <v>-646284.56927368592</v>
      </c>
      <c r="V14" s="100">
        <f t="shared" si="2"/>
        <v>-662441.68350552791</v>
      </c>
      <c r="W14" s="100">
        <f t="shared" si="2"/>
        <v>-679002.72559316608</v>
      </c>
      <c r="X14" s="100">
        <f t="shared" si="2"/>
        <v>-695977.79373299517</v>
      </c>
      <c r="Y14" s="100">
        <f t="shared" si="2"/>
        <v>-713377.23857632</v>
      </c>
      <c r="Z14" s="100">
        <f t="shared" si="2"/>
        <v>-731211.66954072798</v>
      </c>
      <c r="AA14" s="100">
        <f t="shared" si="2"/>
        <v>-749491.96127924602</v>
      </c>
      <c r="AB14" s="100">
        <f t="shared" si="2"/>
        <v>-768229.26031122718</v>
      </c>
      <c r="AC14" s="100">
        <f t="shared" si="2"/>
        <v>-787434.99181900779</v>
      </c>
      <c r="AD14" s="100">
        <f t="shared" si="2"/>
        <v>-807120.86661448283</v>
      </c>
      <c r="AE14" s="100">
        <f t="shared" si="2"/>
        <v>-827298.88827984489</v>
      </c>
      <c r="AF14" s="100">
        <f t="shared" si="2"/>
        <v>-847981.36048684106</v>
      </c>
      <c r="AG14" s="100">
        <f t="shared" si="2"/>
        <v>-869180.89449901192</v>
      </c>
      <c r="AH14" s="100">
        <f t="shared" si="2"/>
        <v>-890910.41686148709</v>
      </c>
    </row>
    <row r="15" spans="1:34">
      <c r="A15" s="76"/>
      <c r="B15" s="102" t="s">
        <v>312</v>
      </c>
      <c r="C15" s="76"/>
      <c r="D15" s="76"/>
      <c r="E15" s="95">
        <f>SUM(E12:E14)</f>
        <v>8271714.5999999996</v>
      </c>
      <c r="F15" s="95">
        <f t="shared" ref="F15:AH15" si="3">SUM(F12:F14)</f>
        <v>8478507.4649999999</v>
      </c>
      <c r="G15" s="103">
        <f t="shared" si="3"/>
        <v>8690470.1516249999</v>
      </c>
      <c r="H15" s="104">
        <f t="shared" si="3"/>
        <v>8907731.9054156225</v>
      </c>
      <c r="I15" s="104">
        <f t="shared" si="3"/>
        <v>9130425.203051012</v>
      </c>
      <c r="J15" s="95">
        <f t="shared" si="3"/>
        <v>9358685.8331272881</v>
      </c>
      <c r="K15" s="103">
        <f t="shared" si="3"/>
        <v>9592652.9789554682</v>
      </c>
      <c r="L15" s="95">
        <f t="shared" si="3"/>
        <v>9832469.3034293521</v>
      </c>
      <c r="M15" s="95">
        <f t="shared" si="3"/>
        <v>10078281.036015086</v>
      </c>
      <c r="N15" s="95">
        <f t="shared" si="3"/>
        <v>10330238.061915463</v>
      </c>
      <c r="O15" s="95">
        <f t="shared" si="3"/>
        <v>10588494.013463346</v>
      </c>
      <c r="P15" s="95">
        <f t="shared" si="3"/>
        <v>10853206.36379993</v>
      </c>
      <c r="Q15" s="95">
        <f t="shared" si="3"/>
        <v>11124536.522894926</v>
      </c>
      <c r="R15" s="95">
        <f t="shared" si="3"/>
        <v>11402649.935967298</v>
      </c>
      <c r="S15" s="96">
        <f t="shared" si="3"/>
        <v>11687716.18436648</v>
      </c>
      <c r="T15" s="95">
        <f t="shared" si="3"/>
        <v>11979909.08897564</v>
      </c>
      <c r="U15" s="95">
        <f t="shared" si="3"/>
        <v>12279406.816200031</v>
      </c>
      <c r="V15" s="95">
        <f t="shared" si="3"/>
        <v>12586391.98660503</v>
      </c>
      <c r="W15" s="95">
        <f t="shared" si="3"/>
        <v>12901051.786270155</v>
      </c>
      <c r="X15" s="95">
        <f t="shared" si="3"/>
        <v>13223578.080926906</v>
      </c>
      <c r="Y15" s="95">
        <f t="shared" si="3"/>
        <v>13554167.532950077</v>
      </c>
      <c r="Z15" s="95">
        <f t="shared" si="3"/>
        <v>13893021.72127383</v>
      </c>
      <c r="AA15" s="95">
        <f t="shared" si="3"/>
        <v>14240347.264305674</v>
      </c>
      <c r="AB15" s="95">
        <f t="shared" si="3"/>
        <v>14596355.945913315</v>
      </c>
      <c r="AC15" s="95">
        <f t="shared" si="3"/>
        <v>14961264.844561147</v>
      </c>
      <c r="AD15" s="95">
        <f t="shared" si="3"/>
        <v>15335296.465675173</v>
      </c>
      <c r="AE15" s="95">
        <f t="shared" si="3"/>
        <v>15718678.877317052</v>
      </c>
      <c r="AF15" s="95">
        <f t="shared" si="3"/>
        <v>16111645.849249979</v>
      </c>
      <c r="AG15" s="95">
        <f t="shared" si="3"/>
        <v>16514436.995481227</v>
      </c>
      <c r="AH15" s="95">
        <f t="shared" si="3"/>
        <v>16927297.920368254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-749576.13131653797</v>
      </c>
      <c r="F19" s="89">
        <f>E19*(1+$D$19)</f>
        <v>-758945.83295799466</v>
      </c>
      <c r="G19" s="89">
        <f t="shared" ref="G19:AH19" si="6">F19*(1+$D$19)</f>
        <v>-768432.65586996952</v>
      </c>
      <c r="H19" s="89">
        <f t="shared" si="6"/>
        <v>-778038.06406834407</v>
      </c>
      <c r="I19" s="89">
        <f t="shared" si="6"/>
        <v>-787763.53986919834</v>
      </c>
      <c r="J19" s="89">
        <f t="shared" si="6"/>
        <v>-797610.58411756332</v>
      </c>
      <c r="K19" s="89">
        <f t="shared" si="6"/>
        <v>-807580.71641903277</v>
      </c>
      <c r="L19" s="89">
        <f t="shared" si="6"/>
        <v>-817675.4753742707</v>
      </c>
      <c r="M19" s="89">
        <f t="shared" si="6"/>
        <v>-827896.418816449</v>
      </c>
      <c r="N19" s="89">
        <f t="shared" si="6"/>
        <v>-838245.12405165459</v>
      </c>
      <c r="O19" s="89">
        <f t="shared" si="6"/>
        <v>-848723.18810230028</v>
      </c>
      <c r="P19" s="89">
        <f t="shared" si="6"/>
        <v>-859332.22795357904</v>
      </c>
      <c r="Q19" s="89">
        <f t="shared" si="6"/>
        <v>-870073.88080299878</v>
      </c>
      <c r="R19" s="89">
        <f t="shared" si="6"/>
        <v>-880949.80431303626</v>
      </c>
      <c r="S19" s="90">
        <f t="shared" si="6"/>
        <v>-891961.67686694919</v>
      </c>
      <c r="T19" s="89">
        <f t="shared" si="6"/>
        <v>-903111.19782778597</v>
      </c>
      <c r="U19" s="89">
        <f t="shared" si="6"/>
        <v>-914400.08780063328</v>
      </c>
      <c r="V19" s="89">
        <f t="shared" si="6"/>
        <v>-925830.08889814117</v>
      </c>
      <c r="W19" s="89">
        <f t="shared" si="6"/>
        <v>-937402.96500936791</v>
      </c>
      <c r="X19" s="89">
        <f t="shared" si="6"/>
        <v>-949120.50207198493</v>
      </c>
      <c r="Y19" s="89">
        <f t="shared" si="6"/>
        <v>-960984.50834788475</v>
      </c>
      <c r="Z19" s="89">
        <f t="shared" si="6"/>
        <v>-972996.8147022333</v>
      </c>
      <c r="AA19" s="89">
        <f t="shared" si="6"/>
        <v>-985159.27488601115</v>
      </c>
      <c r="AB19" s="89">
        <f t="shared" si="6"/>
        <v>-997473.76582208625</v>
      </c>
      <c r="AC19" s="89">
        <f t="shared" si="6"/>
        <v>-1009942.1878948623</v>
      </c>
      <c r="AD19" s="89">
        <f t="shared" si="6"/>
        <v>-1022566.465243548</v>
      </c>
      <c r="AE19" s="89">
        <f t="shared" si="6"/>
        <v>-1035348.5460590924</v>
      </c>
      <c r="AF19" s="89">
        <f t="shared" si="6"/>
        <v>-1048290.402884831</v>
      </c>
      <c r="AG19" s="89">
        <f t="shared" si="6"/>
        <v>-1061394.0329208912</v>
      </c>
      <c r="AH19" s="89">
        <f t="shared" si="6"/>
        <v>-1074661.4583324022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6249538.4686834617</v>
      </c>
      <c r="F21" s="95">
        <f t="shared" si="8"/>
        <v>6404541.6320420057</v>
      </c>
      <c r="G21" s="95">
        <f t="shared" si="8"/>
        <v>6563112.7957550306</v>
      </c>
      <c r="H21" s="95">
        <f t="shared" si="8"/>
        <v>6725327.7768472778</v>
      </c>
      <c r="I21" s="95">
        <f t="shared" si="8"/>
        <v>6891263.7864243137</v>
      </c>
      <c r="J21" s="95">
        <f t="shared" si="8"/>
        <v>7060999.4465657128</v>
      </c>
      <c r="K21" s="95">
        <f t="shared" si="8"/>
        <v>7234614.8070068834</v>
      </c>
      <c r="L21" s="95">
        <f t="shared" si="8"/>
        <v>7412191.3615819942</v>
      </c>
      <c r="M21" s="95">
        <f t="shared" si="8"/>
        <v>7593812.0643989928</v>
      </c>
      <c r="N21" s="95">
        <f t="shared" si="8"/>
        <v>7779561.3457161766</v>
      </c>
      <c r="O21" s="95">
        <f t="shared" si="8"/>
        <v>7969525.1274882471</v>
      </c>
      <c r="P21" s="95">
        <f t="shared" si="8"/>
        <v>8163790.8385480028</v>
      </c>
      <c r="Q21" s="95">
        <f t="shared" si="8"/>
        <v>8362447.4293881394</v>
      </c>
      <c r="R21" s="95">
        <f t="shared" si="8"/>
        <v>8565585.3865058403</v>
      </c>
      <c r="S21" s="96">
        <f t="shared" si="8"/>
        <v>8773296.7462709155</v>
      </c>
      <c r="T21" s="95">
        <f t="shared" si="8"/>
        <v>8985675.1082762368</v>
      </c>
      <c r="U21" s="95">
        <f t="shared" si="8"/>
        <v>9202815.6481272746</v>
      </c>
      <c r="V21" s="95">
        <f t="shared" si="8"/>
        <v>9424815.1296252403</v>
      </c>
      <c r="W21" s="95">
        <f t="shared" si="8"/>
        <v>9651771.9162962828</v>
      </c>
      <c r="X21" s="95">
        <f t="shared" si="8"/>
        <v>9883785.9822166599</v>
      </c>
      <c r="Y21" s="95">
        <f t="shared" si="8"/>
        <v>10120958.92208159</v>
      </c>
      <c r="Z21" s="95">
        <f t="shared" si="8"/>
        <v>10363393.960462773</v>
      </c>
      <c r="AA21" s="95">
        <f t="shared" si="8"/>
        <v>10611195.960197031</v>
      </c>
      <c r="AB21" s="95">
        <f t="shared" si="8"/>
        <v>10864471.429845806</v>
      </c>
      <c r="AC21" s="95">
        <f t="shared" si="8"/>
        <v>11123328.530162271</v>
      </c>
      <c r="AD21" s="95">
        <f t="shared" si="8"/>
        <v>11387877.079499971</v>
      </c>
      <c r="AE21" s="95">
        <f t="shared" si="8"/>
        <v>11658228.558093699</v>
      </c>
      <c r="AF21" s="95">
        <f t="shared" si="8"/>
        <v>11934496.111140138</v>
      </c>
      <c r="AG21" s="95">
        <f t="shared" si="8"/>
        <v>12216794.550602451</v>
      </c>
      <c r="AH21" s="95">
        <f t="shared" si="8"/>
        <v>12505240.355659442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-5207948.7239028849</v>
      </c>
      <c r="F22" s="95">
        <f t="shared" ref="F22:AH22" si="9">$E$22</f>
        <v>-5207948.7239028849</v>
      </c>
      <c r="G22" s="95">
        <f t="shared" si="9"/>
        <v>-5207948.7239028849</v>
      </c>
      <c r="H22" s="95">
        <f t="shared" si="9"/>
        <v>-5207948.7239028849</v>
      </c>
      <c r="I22" s="95">
        <f t="shared" si="9"/>
        <v>-5207948.7239028849</v>
      </c>
      <c r="J22" s="95">
        <f t="shared" si="9"/>
        <v>-5207948.7239028849</v>
      </c>
      <c r="K22" s="95">
        <f t="shared" si="9"/>
        <v>-5207948.7239028849</v>
      </c>
      <c r="L22" s="95">
        <f t="shared" si="9"/>
        <v>-5207948.7239028849</v>
      </c>
      <c r="M22" s="95">
        <f t="shared" si="9"/>
        <v>-5207948.7239028849</v>
      </c>
      <c r="N22" s="95">
        <f t="shared" si="9"/>
        <v>-5207948.7239028849</v>
      </c>
      <c r="O22" s="95">
        <f t="shared" si="9"/>
        <v>-5207948.7239028849</v>
      </c>
      <c r="P22" s="95">
        <f t="shared" si="9"/>
        <v>-5207948.7239028849</v>
      </c>
      <c r="Q22" s="95">
        <f t="shared" si="9"/>
        <v>-5207948.7239028849</v>
      </c>
      <c r="R22" s="95">
        <f t="shared" si="9"/>
        <v>-5207948.7239028849</v>
      </c>
      <c r="S22" s="96">
        <f t="shared" si="9"/>
        <v>-5207948.7239028849</v>
      </c>
      <c r="T22" s="95">
        <f t="shared" si="9"/>
        <v>-5207948.7239028849</v>
      </c>
      <c r="U22" s="95">
        <f t="shared" si="9"/>
        <v>-5207948.7239028849</v>
      </c>
      <c r="V22" s="95">
        <f t="shared" si="9"/>
        <v>-5207948.7239028849</v>
      </c>
      <c r="W22" s="95">
        <f t="shared" si="9"/>
        <v>-5207948.7239028849</v>
      </c>
      <c r="X22" s="95">
        <f t="shared" si="9"/>
        <v>-5207948.7239028849</v>
      </c>
      <c r="Y22" s="95">
        <f t="shared" si="9"/>
        <v>-5207948.7239028849</v>
      </c>
      <c r="Z22" s="95">
        <f t="shared" si="9"/>
        <v>-5207948.7239028849</v>
      </c>
      <c r="AA22" s="95">
        <f t="shared" si="9"/>
        <v>-5207948.7239028849</v>
      </c>
      <c r="AB22" s="95">
        <f t="shared" si="9"/>
        <v>-5207948.7239028849</v>
      </c>
      <c r="AC22" s="95">
        <f t="shared" si="9"/>
        <v>-5207948.7239028849</v>
      </c>
      <c r="AD22" s="95">
        <f t="shared" si="9"/>
        <v>-5207948.7239028849</v>
      </c>
      <c r="AE22" s="95">
        <f t="shared" si="9"/>
        <v>-5207948.7239028849</v>
      </c>
      <c r="AF22" s="95">
        <f t="shared" si="9"/>
        <v>-5207948.7239028849</v>
      </c>
      <c r="AG22" s="95">
        <f t="shared" si="9"/>
        <v>-5207948.7239028849</v>
      </c>
      <c r="AH22" s="95">
        <f t="shared" si="9"/>
        <v>-5207948.7239028849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1041589.7447805768</v>
      </c>
      <c r="F25" s="119">
        <f t="shared" ref="F25:AH25" si="11">+F21+F22+F23</f>
        <v>1196592.9081391208</v>
      </c>
      <c r="G25" s="119">
        <f t="shared" si="11"/>
        <v>1355164.0718521457</v>
      </c>
      <c r="H25" s="119">
        <f t="shared" si="11"/>
        <v>1517379.0529443929</v>
      </c>
      <c r="I25" s="119">
        <f t="shared" si="11"/>
        <v>1683315.0625214288</v>
      </c>
      <c r="J25" s="119">
        <f t="shared" si="11"/>
        <v>1853050.7226628279</v>
      </c>
      <c r="K25" s="119">
        <f t="shared" si="11"/>
        <v>2026666.0831039986</v>
      </c>
      <c r="L25" s="119">
        <f t="shared" si="11"/>
        <v>2204242.6376791093</v>
      </c>
      <c r="M25" s="119">
        <f t="shared" si="11"/>
        <v>2385863.3404961079</v>
      </c>
      <c r="N25" s="119">
        <f t="shared" si="11"/>
        <v>2571612.6218132917</v>
      </c>
      <c r="O25" s="119">
        <f t="shared" si="11"/>
        <v>2761576.4035853622</v>
      </c>
      <c r="P25" s="119">
        <f t="shared" si="11"/>
        <v>2955842.1146451179</v>
      </c>
      <c r="Q25" s="119">
        <f t="shared" si="11"/>
        <v>3154498.7054852545</v>
      </c>
      <c r="R25" s="119">
        <f t="shared" si="11"/>
        <v>3357636.6626029555</v>
      </c>
      <c r="S25" s="160">
        <f t="shared" si="11"/>
        <v>3565348.0223680306</v>
      </c>
      <c r="T25" s="119">
        <f t="shared" si="11"/>
        <v>3777726.3843733519</v>
      </c>
      <c r="U25" s="119">
        <f t="shared" si="11"/>
        <v>3994866.9242243897</v>
      </c>
      <c r="V25" s="119">
        <f t="shared" si="11"/>
        <v>4216866.4057223555</v>
      </c>
      <c r="W25" s="119">
        <f t="shared" si="11"/>
        <v>4443823.1923933979</v>
      </c>
      <c r="X25" s="119">
        <f t="shared" si="11"/>
        <v>4675837.2583137751</v>
      </c>
      <c r="Y25" s="119">
        <f t="shared" si="11"/>
        <v>4913010.1981787048</v>
      </c>
      <c r="Z25" s="119">
        <f t="shared" si="11"/>
        <v>5155445.2365598883</v>
      </c>
      <c r="AA25" s="119">
        <f t="shared" si="11"/>
        <v>5403247.2362941466</v>
      </c>
      <c r="AB25" s="119">
        <f t="shared" si="11"/>
        <v>5656522.7059429213</v>
      </c>
      <c r="AC25" s="119">
        <f t="shared" si="11"/>
        <v>5915379.8062593862</v>
      </c>
      <c r="AD25" s="119">
        <f t="shared" si="11"/>
        <v>6179928.3555970863</v>
      </c>
      <c r="AE25" s="119">
        <f t="shared" si="11"/>
        <v>6450279.8341908138</v>
      </c>
      <c r="AF25" s="119">
        <f t="shared" si="11"/>
        <v>6726547.3872372527</v>
      </c>
      <c r="AG25" s="119">
        <f t="shared" si="11"/>
        <v>7008845.8266995661</v>
      </c>
      <c r="AH25" s="119">
        <f t="shared" si="11"/>
        <v>7297291.6317565572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1.2297628051995073</v>
      </c>
      <c r="G27" s="122">
        <f t="shared" si="12"/>
        <v>1.2602107170587835</v>
      </c>
      <c r="H27" s="122">
        <f t="shared" si="12"/>
        <v>1.2913582935216104</v>
      </c>
      <c r="I27" s="122">
        <f t="shared" si="12"/>
        <v>1.3232203602150554</v>
      </c>
      <c r="J27" s="122">
        <f t="shared" si="12"/>
        <v>1.3558120136932021</v>
      </c>
      <c r="K27" s="122">
        <f t="shared" si="12"/>
        <v>1.3891486246402973</v>
      </c>
      <c r="L27" s="122">
        <f t="shared" si="12"/>
        <v>1.4232458410280255</v>
      </c>
      <c r="M27" s="122">
        <f t="shared" si="12"/>
        <v>1.4581195912213436</v>
      </c>
      <c r="N27" s="122">
        <f t="shared" si="12"/>
        <v>1.4937860870270054</v>
      </c>
      <c r="O27" s="122">
        <f t="shared" si="12"/>
        <v>1.5302618266786259</v>
      </c>
      <c r="P27" s="122">
        <f t="shared" si="12"/>
        <v>1.567563597751781</v>
      </c>
      <c r="Q27" s="122">
        <f t="shared" si="12"/>
        <v>1.6057084800023231</v>
      </c>
      <c r="R27" s="122">
        <f t="shared" si="12"/>
        <v>1.6447138481207457</v>
      </c>
      <c r="S27" s="161">
        <f t="shared" si="12"/>
        <v>1.6845973743950624</v>
      </c>
      <c r="T27" s="122">
        <f t="shared" si="12"/>
        <v>1.7253770312742804</v>
      </c>
      <c r="U27" s="122">
        <f t="shared" si="12"/>
        <v>1.7670710938241725</v>
      </c>
      <c r="V27" s="122">
        <f t="shared" si="12"/>
        <v>1.8096981420666134</v>
      </c>
      <c r="W27" s="122">
        <f t="shared" si="12"/>
        <v>1.853277063193348</v>
      </c>
      <c r="X27" s="122">
        <f t="shared" si="12"/>
        <v>1.8978270536445796</v>
      </c>
      <c r="Y27" s="122">
        <f t="shared" si="12"/>
        <v>1.9433676210423303</v>
      </c>
      <c r="Z27" s="122">
        <f t="shared" si="12"/>
        <v>1.9899185859680182</v>
      </c>
      <c r="AA27" s="122">
        <f t="shared" si="12"/>
        <v>2.0375000835731929</v>
      </c>
      <c r="AB27" s="122">
        <f t="shared" si="12"/>
        <v>2.0861325650118672</v>
      </c>
      <c r="AC27" s="122">
        <f t="shared" si="12"/>
        <v>2.135836798682293</v>
      </c>
      <c r="AD27" s="122">
        <f t="shared" si="12"/>
        <v>2.1866338712654971</v>
      </c>
      <c r="AE27" s="122">
        <f t="shared" si="12"/>
        <v>2.23854518854727</v>
      </c>
      <c r="AF27" s="122">
        <f t="shared" si="12"/>
        <v>2.291592476009694</v>
      </c>
      <c r="AG27" s="122">
        <f t="shared" si="12"/>
        <v>2.3457977791776474</v>
      </c>
      <c r="AH27" s="122">
        <f t="shared" si="12"/>
        <v>2.4011834637050535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1041589.7447805768</v>
      </c>
      <c r="F41" s="129">
        <f t="shared" ref="F41:S41" si="20">F25+F37</f>
        <v>1196592.9081391208</v>
      </c>
      <c r="G41" s="129">
        <f t="shared" si="20"/>
        <v>1355164.0718521457</v>
      </c>
      <c r="H41" s="129">
        <f t="shared" si="20"/>
        <v>1517379.0529443929</v>
      </c>
      <c r="I41" s="129">
        <f t="shared" si="20"/>
        <v>1683315.0625214288</v>
      </c>
      <c r="J41" s="129">
        <f t="shared" si="20"/>
        <v>1853050.7226628279</v>
      </c>
      <c r="K41" s="129">
        <f t="shared" si="20"/>
        <v>2026666.0831039986</v>
      </c>
      <c r="L41" s="129">
        <f t="shared" si="20"/>
        <v>2204242.6376791093</v>
      </c>
      <c r="M41" s="129">
        <f t="shared" si="20"/>
        <v>2385863.3404961079</v>
      </c>
      <c r="N41" s="129">
        <f t="shared" si="20"/>
        <v>2571612.6218132917</v>
      </c>
      <c r="O41" s="129">
        <f t="shared" si="20"/>
        <v>2761576.4035853622</v>
      </c>
      <c r="P41" s="129">
        <f t="shared" si="20"/>
        <v>2955842.1146451179</v>
      </c>
      <c r="Q41" s="129">
        <f t="shared" si="20"/>
        <v>3154498.7054852545</v>
      </c>
      <c r="R41" s="129">
        <f t="shared" si="20"/>
        <v>3357636.6626029555</v>
      </c>
      <c r="S41" s="130">
        <f t="shared" si="20"/>
        <v>3565348.0223680306</v>
      </c>
      <c r="T41" s="130">
        <f t="shared" ref="T41:AH41" si="21">T25+T37</f>
        <v>3777726.3843733519</v>
      </c>
      <c r="U41" s="130">
        <f t="shared" si="21"/>
        <v>3994866.9242243897</v>
      </c>
      <c r="V41" s="130">
        <f t="shared" si="21"/>
        <v>4216866.4057223555</v>
      </c>
      <c r="W41" s="130">
        <f t="shared" si="21"/>
        <v>4443823.1923933979</v>
      </c>
      <c r="X41" s="130">
        <f t="shared" si="21"/>
        <v>4675837.2583137751</v>
      </c>
      <c r="Y41" s="130">
        <f t="shared" si="21"/>
        <v>4913010.1981787048</v>
      </c>
      <c r="Z41" s="130">
        <f t="shared" si="21"/>
        <v>5155445.2365598883</v>
      </c>
      <c r="AA41" s="130">
        <f t="shared" si="21"/>
        <v>5403247.2362941466</v>
      </c>
      <c r="AB41" s="130">
        <f t="shared" si="21"/>
        <v>5656522.7059429213</v>
      </c>
      <c r="AC41" s="130">
        <f t="shared" si="21"/>
        <v>5915379.8062593862</v>
      </c>
      <c r="AD41" s="130">
        <f t="shared" si="21"/>
        <v>6179928.3555970863</v>
      </c>
      <c r="AE41" s="130">
        <f t="shared" si="21"/>
        <v>6450279.8341908138</v>
      </c>
      <c r="AF41" s="130">
        <f t="shared" si="21"/>
        <v>6726547.3872372527</v>
      </c>
      <c r="AG41" s="130">
        <f t="shared" si="21"/>
        <v>7008845.8266995661</v>
      </c>
      <c r="AH41" s="130">
        <f t="shared" si="21"/>
        <v>7297291.6317565572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885351.28306349029</v>
      </c>
      <c r="F42" s="129">
        <f t="shared" ref="F42:S42" si="22">((F41*$C$42))</f>
        <v>1017103.9719182526</v>
      </c>
      <c r="G42" s="129">
        <f t="shared" si="22"/>
        <v>1151889.4610743239</v>
      </c>
      <c r="H42" s="129">
        <f t="shared" si="22"/>
        <v>1289772.195002734</v>
      </c>
      <c r="I42" s="129">
        <f t="shared" si="22"/>
        <v>1430817.8031432144</v>
      </c>
      <c r="J42" s="129">
        <f t="shared" si="22"/>
        <v>1575093.1142634037</v>
      </c>
      <c r="K42" s="129">
        <f t="shared" si="22"/>
        <v>1722666.1706383987</v>
      </c>
      <c r="L42" s="129">
        <f t="shared" si="22"/>
        <v>1873606.2420272429</v>
      </c>
      <c r="M42" s="129">
        <f t="shared" si="22"/>
        <v>2027983.8394216916</v>
      </c>
      <c r="N42" s="129">
        <f t="shared" si="22"/>
        <v>2185870.7285412978</v>
      </c>
      <c r="O42" s="129">
        <f t="shared" si="22"/>
        <v>2347339.943047558</v>
      </c>
      <c r="P42" s="129">
        <f t="shared" si="22"/>
        <v>2512465.7974483501</v>
      </c>
      <c r="Q42" s="129">
        <f t="shared" si="22"/>
        <v>2681323.8996624663</v>
      </c>
      <c r="R42" s="129">
        <f t="shared" si="22"/>
        <v>2853991.1632125122</v>
      </c>
      <c r="S42" s="129">
        <f t="shared" si="22"/>
        <v>3030545.8190128258</v>
      </c>
      <c r="T42" s="129">
        <f t="shared" ref="T42:AH42" si="23">((T41*$C$42))</f>
        <v>3211067.4267173489</v>
      </c>
      <c r="U42" s="129">
        <f t="shared" si="23"/>
        <v>3395636.8855907312</v>
      </c>
      <c r="V42" s="129">
        <f t="shared" si="23"/>
        <v>3584336.4448640021</v>
      </c>
      <c r="W42" s="129">
        <f t="shared" si="23"/>
        <v>3777249.7135343882</v>
      </c>
      <c r="X42" s="129">
        <f t="shared" si="23"/>
        <v>3974461.6695667086</v>
      </c>
      <c r="Y42" s="129">
        <f t="shared" si="23"/>
        <v>4176058.6684518992</v>
      </c>
      <c r="Z42" s="129">
        <f t="shared" si="23"/>
        <v>4382128.451075905</v>
      </c>
      <c r="AA42" s="129">
        <f t="shared" si="23"/>
        <v>4592760.1508500241</v>
      </c>
      <c r="AB42" s="129">
        <f t="shared" si="23"/>
        <v>4808044.3000514833</v>
      </c>
      <c r="AC42" s="129">
        <f t="shared" si="23"/>
        <v>5028072.8353204783</v>
      </c>
      <c r="AD42" s="129">
        <f t="shared" si="23"/>
        <v>5252939.1022575228</v>
      </c>
      <c r="AE42" s="129">
        <f t="shared" si="23"/>
        <v>5482737.859062192</v>
      </c>
      <c r="AF42" s="129">
        <f t="shared" si="23"/>
        <v>5717565.279151665</v>
      </c>
      <c r="AG42" s="129">
        <f t="shared" si="23"/>
        <v>5957518.9526946312</v>
      </c>
      <c r="AH42" s="129">
        <f t="shared" si="23"/>
        <v>6202697.8869930739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156238.46171708652</v>
      </c>
      <c r="F43" s="108">
        <f t="shared" ref="F43:S43" si="24">$C$43*(F41)</f>
        <v>179488.93622086811</v>
      </c>
      <c r="G43" s="108">
        <f t="shared" si="24"/>
        <v>203274.61077782186</v>
      </c>
      <c r="H43" s="108">
        <f t="shared" si="24"/>
        <v>227606.85794165893</v>
      </c>
      <c r="I43" s="108">
        <f t="shared" si="24"/>
        <v>252497.25937821431</v>
      </c>
      <c r="J43" s="108">
        <f t="shared" si="24"/>
        <v>277957.60839942418</v>
      </c>
      <c r="K43" s="108">
        <f t="shared" si="24"/>
        <v>303999.91246559977</v>
      </c>
      <c r="L43" s="108">
        <f t="shared" si="24"/>
        <v>330636.39565186639</v>
      </c>
      <c r="M43" s="108">
        <f t="shared" si="24"/>
        <v>357879.50107441616</v>
      </c>
      <c r="N43" s="108">
        <f t="shared" si="24"/>
        <v>385741.89327199373</v>
      </c>
      <c r="O43" s="108">
        <f t="shared" si="24"/>
        <v>414236.46053780435</v>
      </c>
      <c r="P43" s="108">
        <f t="shared" si="24"/>
        <v>443376.31719676766</v>
      </c>
      <c r="Q43" s="108">
        <f t="shared" si="24"/>
        <v>473174.80582278816</v>
      </c>
      <c r="R43" s="108">
        <f t="shared" si="24"/>
        <v>503645.49939044332</v>
      </c>
      <c r="S43" s="108">
        <f t="shared" si="24"/>
        <v>534802.20335520455</v>
      </c>
      <c r="T43" s="108">
        <f t="shared" ref="T43:AH43" si="25">$C$43*(T41)</f>
        <v>566658.95765600272</v>
      </c>
      <c r="U43" s="108">
        <f t="shared" si="25"/>
        <v>599230.03863365843</v>
      </c>
      <c r="V43" s="108">
        <f t="shared" si="25"/>
        <v>632529.9608583533</v>
      </c>
      <c r="W43" s="108">
        <f t="shared" si="25"/>
        <v>666573.47885900969</v>
      </c>
      <c r="X43" s="108">
        <f t="shared" si="25"/>
        <v>701375.58874706621</v>
      </c>
      <c r="Y43" s="108">
        <f t="shared" si="25"/>
        <v>736951.52972680575</v>
      </c>
      <c r="Z43" s="108">
        <f t="shared" si="25"/>
        <v>773316.78548398323</v>
      </c>
      <c r="AA43" s="108">
        <f t="shared" si="25"/>
        <v>810487.08544412197</v>
      </c>
      <c r="AB43" s="108">
        <f t="shared" si="25"/>
        <v>848478.40589143813</v>
      </c>
      <c r="AC43" s="108">
        <f t="shared" si="25"/>
        <v>887306.97093890794</v>
      </c>
      <c r="AD43" s="108">
        <f t="shared" si="25"/>
        <v>926989.25333956291</v>
      </c>
      <c r="AE43" s="108">
        <f t="shared" si="25"/>
        <v>967541.97512862203</v>
      </c>
      <c r="AF43" s="108">
        <f t="shared" si="25"/>
        <v>1008982.1080855879</v>
      </c>
      <c r="AG43" s="108">
        <f t="shared" si="25"/>
        <v>1051326.8740049349</v>
      </c>
      <c r="AH43" s="108">
        <f t="shared" si="25"/>
        <v>1094593.7447634835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5.8341812983779801E-2</v>
      </c>
      <c r="F46" s="1529">
        <f>F21/Data!$C$38</f>
        <v>5.978882632946507E-2</v>
      </c>
      <c r="G46" s="1529">
        <f>G21/Data!$C$38</f>
        <v>6.1269148312332156E-2</v>
      </c>
      <c r="H46" s="1529">
        <f>H21/Data!$C$38</f>
        <v>6.2783486713075681E-2</v>
      </c>
      <c r="I46" s="1529">
        <f>I21/Data!$C$38</f>
        <v>6.4332562326663761E-2</v>
      </c>
      <c r="J46" s="1529">
        <f>J21/Data!$C$38</f>
        <v>6.5917109120042255E-2</v>
      </c>
      <c r="K46" s="1529">
        <f>K21/Data!$C$38</f>
        <v>6.7537874387865959E-2</v>
      </c>
      <c r="L46" s="1529">
        <f>L21/Data!$C$38</f>
        <v>6.9195618905999554E-2</v>
      </c>
      <c r="M46" s="1529">
        <f>M21/Data!$C$38</f>
        <v>7.0891117082517566E-2</v>
      </c>
      <c r="N46" s="1529">
        <f>N21/Data!$C$38</f>
        <v>7.2625157105918145E-2</v>
      </c>
      <c r="O46" s="1529">
        <f>O21/Data!$C$38</f>
        <v>7.4398541090251374E-2</v>
      </c>
      <c r="P46" s="1529">
        <f>P21/Data!$C$38</f>
        <v>7.6212085216846193E-2</v>
      </c>
      <c r="Q46" s="1529">
        <f>Q21/Data!$C$38</f>
        <v>7.8066619872304052E-2</v>
      </c>
      <c r="R46" s="1529">
        <f>R21/Data!$C$38</f>
        <v>7.9962989782411134E-2</v>
      </c>
      <c r="S46" s="1529">
        <f>S21/Data!$C$38</f>
        <v>8.1902054141602676E-2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2.3844304097851626E-2</v>
      </c>
      <c r="F47" s="142">
        <f>F41/GapCalc!$H$33</f>
        <v>2.739267098776248E-2</v>
      </c>
      <c r="G47" s="142">
        <f>G41/GapCalc!$H$33</f>
        <v>3.1022717335348303E-2</v>
      </c>
      <c r="H47" s="142">
        <f>H41/GapCalc!$H$33</f>
        <v>3.4736178760801963E-2</v>
      </c>
      <c r="I47" s="142">
        <f>I41/GapCalc!$H$33</f>
        <v>3.8534822797924632E-2</v>
      </c>
      <c r="J47" s="142">
        <f>J41/GapCalc!$H$33</f>
        <v>4.2420449280848302E-2</v>
      </c>
      <c r="K47" s="142">
        <f>K41/GapCalc!$H$33</f>
        <v>4.6394890725919825E-2</v>
      </c>
      <c r="L47" s="142">
        <f>L41/GapCalc!$H$33</f>
        <v>5.0460012708116057E-2</v>
      </c>
      <c r="M47" s="142">
        <f>M41/GapCalc!$H$33</f>
        <v>5.4617714231325991E-2</v>
      </c>
      <c r="N47" s="142">
        <f>N41/GapCalc!$H$33</f>
        <v>5.8869928091800736E-2</v>
      </c>
      <c r="O47" s="142">
        <f>O41/GapCalc!$H$33</f>
        <v>6.3218621234037251E-2</v>
      </c>
      <c r="P47" s="142">
        <f>P41/GapCalc!$H$33</f>
        <v>6.7665795098321033E-2</v>
      </c>
      <c r="Q47" s="142">
        <f>Q41/GapCalc!$H$33</f>
        <v>7.2213485959114379E-2</v>
      </c>
      <c r="R47" s="142">
        <f>R41/GapCalc!$H$33</f>
        <v>7.6863765253435939E-2</v>
      </c>
      <c r="S47" s="142">
        <f>S41/GapCalc!$H$33</f>
        <v>8.1618739898333265E-2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2.0267658483173884E-2</v>
      </c>
      <c r="F48" s="142">
        <f>F43/GapCalc!$H$32</f>
        <v>2.3283770339598109E-2</v>
      </c>
      <c r="G48" s="142">
        <f>G43/GapCalc!$H$32</f>
        <v>2.6369309735046056E-2</v>
      </c>
      <c r="H48" s="142">
        <f>H43/GapCalc!$H$32</f>
        <v>2.9525751946681666E-2</v>
      </c>
      <c r="I48" s="142">
        <f>I43/GapCalc!$H$32</f>
        <v>3.2754599378235938E-2</v>
      </c>
      <c r="J48" s="142">
        <f>J43/GapCalc!$H$32</f>
        <v>3.6057381888721055E-2</v>
      </c>
      <c r="K48" s="142">
        <f>K43/GapCalc!$H$32</f>
        <v>3.9435657117031848E-2</v>
      </c>
      <c r="L48" s="142">
        <f>L43/GapCalc!$H$32</f>
        <v>4.2891010801898645E-2</v>
      </c>
      <c r="M48" s="142">
        <f>M43/GapCalc!$H$32</f>
        <v>4.6425057096627087E-2</v>
      </c>
      <c r="N48" s="142">
        <f>N43/GapCalc!$H$32</f>
        <v>5.0039438878030619E-2</v>
      </c>
      <c r="O48" s="142">
        <f>O43/GapCalc!$H$32</f>
        <v>5.3735828048931664E-2</v>
      </c>
      <c r="P48" s="142">
        <f>P43/GapCalc!$H$32</f>
        <v>5.7515925833572866E-2</v>
      </c>
      <c r="Q48" s="142">
        <f>Q43/GapCalc!$H$32</f>
        <v>6.1381463065247215E-2</v>
      </c>
      <c r="R48" s="142">
        <f>R43/GapCalc!$H$32</f>
        <v>6.5334200465420544E-2</v>
      </c>
      <c r="S48" s="142">
        <f>S43/GapCalc!$H$32</f>
        <v>6.9375928913583268E-2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28138835.474442516</v>
      </c>
      <c r="D66" s="1544"/>
      <c r="E66" s="1564" t="s">
        <v>285</v>
      </c>
      <c r="G66" s="1520" t="s">
        <v>1073</v>
      </c>
      <c r="H66" s="1565">
        <f>H70/1.63</f>
        <v>4965676.8484310322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9072693.9991038181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1601063.6469006739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0</v>
      </c>
      <c r="D68" s="1545" t="s">
        <v>68</v>
      </c>
      <c r="G68" s="1521" t="s">
        <v>1079</v>
      </c>
      <c r="H68" s="1568">
        <f>IF(GapCalc!D41*C43&lt; 0,0,GapCalc!D41*C43)</f>
        <v>0</v>
      </c>
      <c r="I68" s="1545" t="s">
        <v>68</v>
      </c>
    </row>
    <row r="69" spans="2:10">
      <c r="B69" s="1521" t="s">
        <v>1059</v>
      </c>
      <c r="C69" s="1568">
        <f>'Debt Calc'!E60</f>
        <v>36793607.824237481</v>
      </c>
      <c r="D69" s="1546">
        <v>0.9</v>
      </c>
      <c r="G69" s="1521" t="s">
        <v>1075</v>
      </c>
      <c r="H69" s="1568">
        <f>'Debt Calc'!E59*C43</f>
        <v>6492989.616041909</v>
      </c>
      <c r="I69" s="1546">
        <v>0.9</v>
      </c>
    </row>
    <row r="70" spans="2:10">
      <c r="B70" s="1523" t="s">
        <v>1042</v>
      </c>
      <c r="C70" s="1577">
        <f>C67+C68+C69</f>
        <v>45866301.823341295</v>
      </c>
      <c r="D70" s="1545" t="s">
        <v>68</v>
      </c>
      <c r="G70" s="1523" t="s">
        <v>1042</v>
      </c>
      <c r="H70" s="1577">
        <f>H67+H68+H69</f>
        <v>8094053.2629425824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0.62999999999999978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8.9999999999999969E-2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43682958.433432497</v>
      </c>
      <c r="D74" s="1549"/>
      <c r="F74" s="1559"/>
      <c r="G74" s="1578" t="s">
        <v>1082</v>
      </c>
      <c r="H74" s="1581">
        <f>GapCalc!H32</f>
        <v>7708757.3706057351</v>
      </c>
      <c r="I74" s="1549"/>
    </row>
    <row r="75" spans="2:10">
      <c r="B75" s="70" t="s">
        <v>1081</v>
      </c>
      <c r="C75" s="1579">
        <f>(C70-C74)/C74</f>
        <v>4.9981582479949181E-2</v>
      </c>
      <c r="G75" s="70" t="s">
        <v>1081</v>
      </c>
      <c r="H75" s="1579">
        <f>(H70-H74)/H74</f>
        <v>4.9981582479949251E-2</v>
      </c>
    </row>
    <row r="76" spans="2:10">
      <c r="B76" s="70" t="s">
        <v>1045</v>
      </c>
      <c r="C76" s="1579">
        <f>C75/7</f>
        <v>7.1402260685641686E-3</v>
      </c>
      <c r="G76" s="70" t="s">
        <v>1045</v>
      </c>
      <c r="H76" s="1579">
        <f>H75/7</f>
        <v>7.140226068564179E-3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8422308.2272744719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15160154.809094051</v>
      </c>
      <c r="D81" s="1545" t="s">
        <v>68</v>
      </c>
    </row>
    <row r="82" spans="2:10">
      <c r="B82" s="1521" t="s">
        <v>1059</v>
      </c>
      <c r="C82" s="1568">
        <f>C68</f>
        <v>0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15160154.809094051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0.80000000000000016</v>
      </c>
      <c r="D86" s="1548"/>
    </row>
    <row r="87" spans="2:10">
      <c r="B87" s="1523" t="s">
        <v>1045</v>
      </c>
      <c r="C87" s="1566">
        <f>C86/10</f>
        <v>8.0000000000000016E-2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41485008.784277216</v>
      </c>
      <c r="D93" s="1544"/>
      <c r="E93" s="1564" t="s">
        <v>288</v>
      </c>
      <c r="G93" s="1520" t="s">
        <v>1073</v>
      </c>
      <c r="H93" s="1565">
        <f>H97/1.63</f>
        <v>5624730.707325682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15160154.809094051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2675321.4368989505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0</v>
      </c>
      <c r="D95" s="1545" t="s">
        <v>68</v>
      </c>
      <c r="G95" s="1521" t="s">
        <v>1079</v>
      </c>
      <c r="H95" s="1568">
        <f>IF(GapCalc!D41*C43&lt; 0,0,GapCalc!D41*C43)</f>
        <v>0</v>
      </c>
      <c r="I95" s="1545" t="s">
        <v>68</v>
      </c>
    </row>
    <row r="96" spans="2:10">
      <c r="B96" s="1521" t="s">
        <v>1059</v>
      </c>
      <c r="C96" s="1568">
        <f>'Debt Calc'!H60</f>
        <v>52460409.509277813</v>
      </c>
      <c r="D96" s="1546">
        <v>0.9</v>
      </c>
      <c r="G96" s="1521" t="s">
        <v>1075</v>
      </c>
      <c r="H96" s="1568">
        <f>'Debt Calc'!E59*C43</f>
        <v>6492989.616041909</v>
      </c>
      <c r="I96" s="1546">
        <v>0.9</v>
      </c>
    </row>
    <row r="97" spans="2:9">
      <c r="B97" s="1523" t="s">
        <v>1042</v>
      </c>
      <c r="C97" s="1577">
        <f>C94+C95+C96</f>
        <v>67620564.318371862</v>
      </c>
      <c r="D97" s="1545" t="s">
        <v>68</v>
      </c>
      <c r="G97" s="1523" t="s">
        <v>1042</v>
      </c>
      <c r="H97" s="1577">
        <f>H94+H95+H96</f>
        <v>9168311.0529408604</v>
      </c>
      <c r="I97" s="1545" t="s">
        <v>68</v>
      </c>
    </row>
    <row r="98" spans="2:9">
      <c r="B98" s="1523" t="s">
        <v>1043</v>
      </c>
      <c r="C98" s="1571">
        <f>C97/C93</f>
        <v>1.6300000000000001</v>
      </c>
      <c r="D98" s="1547"/>
      <c r="G98" s="1523" t="s">
        <v>1043</v>
      </c>
      <c r="H98" s="1571">
        <f>H97/H93</f>
        <v>1.6299999999999997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0.62999999999999978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8.9999999999999969E-2</v>
      </c>
      <c r="I100" s="1548"/>
    </row>
    <row r="101" spans="2:9" ht="13.5" thickBot="1">
      <c r="B101" s="1578" t="s">
        <v>1080</v>
      </c>
      <c r="C101" s="1581">
        <f>GapCalc!H33</f>
        <v>43682958.433432497</v>
      </c>
      <c r="D101" s="1549"/>
      <c r="G101" s="1578" t="s">
        <v>1082</v>
      </c>
      <c r="H101" s="1581">
        <f>GapCalc!H32</f>
        <v>7708757.3706057351</v>
      </c>
      <c r="I101" s="1549"/>
    </row>
    <row r="102" spans="2:9">
      <c r="B102" s="70" t="s">
        <v>1081</v>
      </c>
      <c r="C102" s="1579">
        <f>(C97-C101)/C101</f>
        <v>0.54798499788921939</v>
      </c>
      <c r="G102" s="70" t="s">
        <v>1081</v>
      </c>
      <c r="H102" s="1579">
        <f>(H97-H101)/H101</f>
        <v>0.18933708925650583</v>
      </c>
    </row>
    <row r="103" spans="2:9">
      <c r="B103" s="70" t="s">
        <v>1045</v>
      </c>
      <c r="C103" s="1579">
        <f>C102/10</f>
        <v>5.4798499788921942E-2</v>
      </c>
      <c r="G103" s="70" t="s">
        <v>1045</v>
      </c>
      <c r="H103" s="1579">
        <f>H102/10</f>
        <v>1.8933708925650584E-2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164050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32810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196860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196860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196860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101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101</v>
      </c>
      <c r="D49" s="876"/>
      <c r="E49" s="855" t="s">
        <v>577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101</v>
      </c>
      <c r="D55" s="855"/>
      <c r="E55" s="855"/>
      <c r="F55" s="937"/>
      <c r="G55" s="855"/>
      <c r="H55" s="872" t="s">
        <v>685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5207948.7239028849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75020348.484821707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75020300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22940846.419368155</v>
      </c>
    </row>
    <row r="15" spans="2:36">
      <c r="B15" s="556"/>
      <c r="C15" s="560" t="s">
        <v>634</v>
      </c>
      <c r="H15" s="561">
        <f>12*PMT(Data!C24/12,Data!C29*12,-'Debt Calc'!H14)</f>
        <v>5207945.3580631856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-5368926.8858901672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-5368926.8858901672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75020300</v>
      </c>
      <c r="E21" s="561">
        <f>$H$15</f>
        <v>5207945.3580631856</v>
      </c>
      <c r="F21" s="561">
        <f>E21-G21</f>
        <v>0</v>
      </c>
      <c r="G21" s="561">
        <f>D21-H21</f>
        <v>5207945.3580631912</v>
      </c>
      <c r="H21" s="561">
        <f>D21-E21</f>
        <v>69812354.641936809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69812354.641936809</v>
      </c>
      <c r="E22" s="561">
        <f t="shared" ref="E22:E50" si="1">$H$15</f>
        <v>5207945.3580631856</v>
      </c>
      <c r="F22" s="561">
        <f t="shared" ref="F22:F50" si="2">E22-G22</f>
        <v>0</v>
      </c>
      <c r="G22" s="561">
        <f t="shared" ref="G22:G50" si="3">D22-H22</f>
        <v>5207945.3580631837</v>
      </c>
      <c r="H22" s="561">
        <f t="shared" ref="H22:H39" si="4">D22-E22</f>
        <v>64604409.283873625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64604409.283873625</v>
      </c>
      <c r="E23" s="561">
        <f t="shared" si="1"/>
        <v>5207945.3580631856</v>
      </c>
      <c r="F23" s="561">
        <f t="shared" si="2"/>
        <v>0</v>
      </c>
      <c r="G23" s="561">
        <f t="shared" si="3"/>
        <v>5207945.3580631837</v>
      </c>
      <c r="H23" s="561">
        <f t="shared" si="4"/>
        <v>59396463.925810441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59396463.925810441</v>
      </c>
      <c r="E24" s="561">
        <f t="shared" si="1"/>
        <v>5207945.3580631856</v>
      </c>
      <c r="F24" s="561">
        <f t="shared" si="2"/>
        <v>0</v>
      </c>
      <c r="G24" s="561">
        <f t="shared" si="3"/>
        <v>5207945.3580631837</v>
      </c>
      <c r="H24" s="561">
        <f t="shared" si="4"/>
        <v>54188518.567747258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54188518.567747258</v>
      </c>
      <c r="E25" s="561">
        <f t="shared" si="1"/>
        <v>5207945.3580631856</v>
      </c>
      <c r="F25" s="561">
        <f t="shared" si="2"/>
        <v>0</v>
      </c>
      <c r="G25" s="561">
        <f t="shared" si="3"/>
        <v>5207945.3580631837</v>
      </c>
      <c r="H25" s="561">
        <f t="shared" si="4"/>
        <v>48980573.209684074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48980573.209684074</v>
      </c>
      <c r="E26" s="561">
        <f t="shared" si="1"/>
        <v>5207945.3580631856</v>
      </c>
      <c r="F26" s="561">
        <f t="shared" si="2"/>
        <v>0</v>
      </c>
      <c r="G26" s="561">
        <f t="shared" si="3"/>
        <v>5207945.3580631837</v>
      </c>
      <c r="H26" s="561">
        <f t="shared" si="4"/>
        <v>43772627.85162089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43772627.85162089</v>
      </c>
      <c r="E27" s="561">
        <f t="shared" si="1"/>
        <v>5207945.3580631856</v>
      </c>
      <c r="F27" s="561">
        <f t="shared" si="2"/>
        <v>0</v>
      </c>
      <c r="G27" s="561">
        <f t="shared" si="3"/>
        <v>5207945.3580631837</v>
      </c>
      <c r="H27" s="561">
        <f t="shared" si="4"/>
        <v>38564682.493557706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38564682.493557706</v>
      </c>
      <c r="E28" s="561">
        <f t="shared" si="1"/>
        <v>5207945.3580631856</v>
      </c>
      <c r="F28" s="561">
        <f t="shared" si="2"/>
        <v>0</v>
      </c>
      <c r="G28" s="561">
        <f t="shared" si="3"/>
        <v>5207945.3580631837</v>
      </c>
      <c r="H28" s="561">
        <f t="shared" si="4"/>
        <v>33356737.135494523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33356737.135494523</v>
      </c>
      <c r="E29" s="561">
        <f t="shared" si="1"/>
        <v>5207945.3580631856</v>
      </c>
      <c r="F29" s="561">
        <f t="shared" si="2"/>
        <v>0</v>
      </c>
      <c r="G29" s="561">
        <f t="shared" si="3"/>
        <v>5207945.3580631837</v>
      </c>
      <c r="H29" s="561">
        <f t="shared" si="4"/>
        <v>28148791.777431339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28148791.777431339</v>
      </c>
      <c r="E30" s="561">
        <f t="shared" si="1"/>
        <v>5207945.3580631856</v>
      </c>
      <c r="F30" s="561">
        <f t="shared" si="2"/>
        <v>0</v>
      </c>
      <c r="G30" s="561">
        <f t="shared" si="3"/>
        <v>5207945.3580631837</v>
      </c>
      <c r="H30" s="561">
        <f>D30-E30</f>
        <v>22940846.419368155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22940846.419368155</v>
      </c>
      <c r="E31" s="561">
        <f t="shared" si="1"/>
        <v>5207945.3580631856</v>
      </c>
      <c r="F31" s="561">
        <f t="shared" si="2"/>
        <v>0</v>
      </c>
      <c r="G31" s="561">
        <f t="shared" si="3"/>
        <v>5207945.3580631837</v>
      </c>
      <c r="H31" s="561">
        <f t="shared" si="4"/>
        <v>17732901.061304972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17732901.061304972</v>
      </c>
      <c r="E32" s="561">
        <f t="shared" si="1"/>
        <v>5207945.3580631856</v>
      </c>
      <c r="F32" s="561">
        <f t="shared" si="2"/>
        <v>0</v>
      </c>
      <c r="G32" s="561">
        <f t="shared" si="3"/>
        <v>5207945.3580631856</v>
      </c>
      <c r="H32" s="561">
        <f t="shared" si="4"/>
        <v>12524955.703241786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12524955.703241786</v>
      </c>
      <c r="E33" s="561">
        <f t="shared" si="1"/>
        <v>5207945.3580631856</v>
      </c>
      <c r="F33" s="561">
        <f t="shared" si="2"/>
        <v>0</v>
      </c>
      <c r="G33" s="561">
        <f t="shared" si="3"/>
        <v>5207945.3580631856</v>
      </c>
      <c r="H33" s="561">
        <f t="shared" si="4"/>
        <v>7317010.3451786004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7317010.3451786004</v>
      </c>
      <c r="E34" s="561">
        <f t="shared" si="1"/>
        <v>5207945.3580631856</v>
      </c>
      <c r="F34" s="561">
        <f t="shared" si="2"/>
        <v>0</v>
      </c>
      <c r="G34" s="561">
        <f t="shared" si="3"/>
        <v>5207945.3580631856</v>
      </c>
      <c r="H34" s="561">
        <f t="shared" si="4"/>
        <v>2109064.9871154148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2109064.9871154148</v>
      </c>
      <c r="E35" s="561">
        <f t="shared" si="1"/>
        <v>5207945.3580631856</v>
      </c>
      <c r="F35" s="561">
        <f t="shared" si="2"/>
        <v>0</v>
      </c>
      <c r="G35" s="561">
        <f t="shared" si="3"/>
        <v>5207945.3580631856</v>
      </c>
      <c r="H35" s="561">
        <f t="shared" si="4"/>
        <v>-3098880.3709477708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-3098880.3709477708</v>
      </c>
      <c r="E36" s="561">
        <f t="shared" si="1"/>
        <v>5207945.3580631856</v>
      </c>
      <c r="F36" s="561">
        <f t="shared" si="2"/>
        <v>0</v>
      </c>
      <c r="G36" s="561">
        <f t="shared" si="3"/>
        <v>5207945.3580631856</v>
      </c>
      <c r="H36" s="561">
        <f t="shared" si="4"/>
        <v>-8306825.7290109564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-8306825.7290109564</v>
      </c>
      <c r="E37" s="561">
        <f t="shared" si="1"/>
        <v>5207945.3580631856</v>
      </c>
      <c r="F37" s="561">
        <f t="shared" si="2"/>
        <v>0</v>
      </c>
      <c r="G37" s="561">
        <f t="shared" si="3"/>
        <v>5207945.3580631856</v>
      </c>
      <c r="H37" s="561">
        <f t="shared" si="4"/>
        <v>-13514771.087074142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-13514771.087074142</v>
      </c>
      <c r="E38" s="561">
        <f t="shared" si="1"/>
        <v>5207945.3580631856</v>
      </c>
      <c r="F38" s="561">
        <f t="shared" si="2"/>
        <v>0</v>
      </c>
      <c r="G38" s="561">
        <f t="shared" si="3"/>
        <v>5207945.3580631875</v>
      </c>
      <c r="H38" s="561">
        <f>D38-E38</f>
        <v>-18722716.445137329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-18722716.445137329</v>
      </c>
      <c r="E39" s="561">
        <f t="shared" si="1"/>
        <v>5207945.3580631856</v>
      </c>
      <c r="F39" s="561">
        <f t="shared" si="2"/>
        <v>0</v>
      </c>
      <c r="G39" s="561">
        <f t="shared" si="3"/>
        <v>5207945.3580631837</v>
      </c>
      <c r="H39" s="561">
        <f t="shared" si="4"/>
        <v>-23930661.803200513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-23930661.803200513</v>
      </c>
      <c r="E40" s="561">
        <f t="shared" si="1"/>
        <v>5207945.3580631856</v>
      </c>
      <c r="F40" s="561">
        <f t="shared" si="2"/>
        <v>29138607.161263697</v>
      </c>
      <c r="G40" s="561">
        <f t="shared" si="3"/>
        <v>-23930661.803200513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5207945.3580631856</v>
      </c>
      <c r="F41" s="561">
        <f t="shared" si="2"/>
        <v>5207945.3580631856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5207945.3580631856</v>
      </c>
      <c r="F42" s="561">
        <f t="shared" si="2"/>
        <v>5207945.3580631856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5207945.3580631856</v>
      </c>
      <c r="F43" s="561">
        <f t="shared" si="2"/>
        <v>5207945.3580631856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5207945.3580631856</v>
      </c>
      <c r="F44" s="561">
        <f t="shared" si="2"/>
        <v>5207945.3580631856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5207945.3580631856</v>
      </c>
      <c r="F45" s="561">
        <f t="shared" si="2"/>
        <v>5207945.3580631856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5207945.3580631856</v>
      </c>
      <c r="F46" s="561">
        <f t="shared" si="2"/>
        <v>5207945.3580631856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5207945.3580631856</v>
      </c>
      <c r="F47" s="561">
        <f t="shared" si="2"/>
        <v>5207945.3580631856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5207945.3580631856</v>
      </c>
      <c r="F48" s="561">
        <f t="shared" si="2"/>
        <v>5207945.3580631856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5207945.3580631856</v>
      </c>
      <c r="F49" s="561">
        <f t="shared" si="2"/>
        <v>5207945.3580631856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5207945.3580631856</v>
      </c>
      <c r="F50" s="561">
        <f t="shared" si="2"/>
        <v>5207945.3580631856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191853059.57910934</v>
      </c>
      <c r="F55" s="561"/>
      <c r="G55" s="1663" t="s">
        <v>1064</v>
      </c>
      <c r="H55" s="1667">
        <f>'Cash Flow'!N15/0.05</f>
        <v>206604761.23830923</v>
      </c>
    </row>
    <row r="56" spans="2:28">
      <c r="D56" s="1653" t="s">
        <v>1065</v>
      </c>
      <c r="E56" s="1665">
        <f>'Cash Flow'!K21/1.2</f>
        <v>6028845.6725057364</v>
      </c>
      <c r="F56" s="561"/>
      <c r="G56" s="1661" t="s">
        <v>1065</v>
      </c>
      <c r="H56" s="1668">
        <f>'Cash Flow'!N21/1.2</f>
        <v>6482967.7880968144</v>
      </c>
    </row>
    <row r="57" spans="2:28">
      <c r="D57" s="1653" t="s">
        <v>1066</v>
      </c>
      <c r="E57" s="1665">
        <f>E55*0.6</f>
        <v>115111835.7474656</v>
      </c>
      <c r="F57" s="561"/>
      <c r="G57" s="1661" t="s">
        <v>1066</v>
      </c>
      <c r="H57" s="1668">
        <f>H55*0.6</f>
        <v>123962856.74298553</v>
      </c>
    </row>
    <row r="58" spans="2:28">
      <c r="D58" s="1653" t="s">
        <v>1067</v>
      </c>
      <c r="E58" s="1665">
        <f>-PV(6.5%,34,E56)</f>
        <v>81851279.933837101</v>
      </c>
      <c r="F58" s="561"/>
      <c r="G58" s="1661" t="s">
        <v>1067</v>
      </c>
      <c r="H58" s="1668">
        <f>-PV(6.5%,30,H56)</f>
        <v>84658975.253812641</v>
      </c>
    </row>
    <row r="59" spans="2:28">
      <c r="D59" s="1652" t="s">
        <v>1068</v>
      </c>
      <c r="E59" s="1665">
        <f>E58-H27</f>
        <v>43286597.440279394</v>
      </c>
      <c r="F59" s="561"/>
      <c r="G59" s="1660" t="s">
        <v>1068</v>
      </c>
      <c r="H59" s="1668">
        <f>H58-H30</f>
        <v>61718128.834444486</v>
      </c>
    </row>
    <row r="60" spans="2:28" ht="13.5" thickBot="1">
      <c r="D60" s="1654" t="s">
        <v>1069</v>
      </c>
      <c r="E60" s="1666">
        <f>E59*GapCalc!I33</f>
        <v>36793607.824237481</v>
      </c>
      <c r="F60" s="561"/>
      <c r="G60" s="1662" t="s">
        <v>1069</v>
      </c>
      <c r="H60" s="1669">
        <f>H59*GapCalc!I33</f>
        <v>52460409.509277813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13130000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64797148.25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157480.95739999998</v>
      </c>
      <c r="C7" s="1417">
        <f>C4*E4</f>
        <v>777175.70016753499</v>
      </c>
      <c r="D7" s="1409">
        <f>(1-'Rental Income'!O19)</f>
        <v>0.80198019801980203</v>
      </c>
    </row>
    <row r="8" spans="1:5">
      <c r="A8" s="1410" t="s">
        <v>980</v>
      </c>
      <c r="B8" s="1417">
        <f>B7*D7</f>
        <v>126296.6094</v>
      </c>
      <c r="C8" s="1417">
        <f>C7*D7</f>
        <v>623279.52191653801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749576.13131653797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78740.478700000007</v>
      </c>
    </row>
    <row r="14" spans="1:5">
      <c r="A14" t="s">
        <v>992</v>
      </c>
      <c r="B14">
        <v>24</v>
      </c>
      <c r="C14" s="1425">
        <f>C3*(E3/12)*B14</f>
        <v>314961.91480000003</v>
      </c>
    </row>
    <row r="15" spans="1:5">
      <c r="A15" s="40" t="s">
        <v>994</v>
      </c>
      <c r="C15" s="1428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8701488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-435353.4</v>
      </c>
      <c r="E18" s="50"/>
      <c r="F18" s="55">
        <v>0.05</v>
      </c>
    </row>
    <row r="19" spans="1:25">
      <c r="A19" s="40" t="s">
        <v>165</v>
      </c>
      <c r="D19" s="57">
        <f>SUM(D15:D18)</f>
        <v>8271714.5999999996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105358</v>
      </c>
      <c r="E22" s="48">
        <v>1043</v>
      </c>
      <c r="F22" s="453" t="s">
        <v>172</v>
      </c>
      <c r="N22" s="428">
        <f>D22*0.8</f>
        <v>84286.400000000009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174</v>
      </c>
      <c r="D23" s="48">
        <f>(E23*$D$10-20)/2</f>
        <v>134724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18816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100847.36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183</v>
      </c>
      <c r="D26" s="51">
        <f>SUM(D22:D25)</f>
        <v>359745.36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37572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20200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192</v>
      </c>
      <c r="D31" s="48">
        <f>E31*$D$10</f>
        <v>33128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194</v>
      </c>
      <c r="C32" s="43"/>
      <c r="D32" s="50">
        <f>E32*$D$10</f>
        <v>6060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96960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107060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202</v>
      </c>
      <c r="D37" s="48">
        <f>E37*$D$10</f>
        <v>159580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85042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351682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74538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53682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79992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27472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171700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11110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319314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749576.13131653797</v>
      </c>
      <c r="Y56" s="1309">
        <f>X56/'Rental Income'!D15</f>
        <v>3710.7729273095938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544.26848554455444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169680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198.01980198019803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250</v>
      </c>
      <c r="D65" s="48">
        <f>E65*$D$10</f>
        <v>30300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251980</v>
      </c>
      <c r="E67" s="48">
        <f>SUM(E62:E66)</f>
        <v>1373.0198019801981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60600</v>
      </c>
      <c r="E69" s="426">
        <v>300</v>
      </c>
    </row>
    <row r="70" spans="1:25">
      <c r="V70" s="40" t="s">
        <v>256</v>
      </c>
      <c r="X70" s="1307">
        <f>SUM(X68,X64,X54,X39,X31)</f>
        <v>1224422.911316538</v>
      </c>
      <c r="Y70" s="1307">
        <f>X70/D10</f>
        <v>6061.4995609729604</v>
      </c>
    </row>
    <row r="71" spans="1:25">
      <c r="A71" s="40" t="s">
        <v>257</v>
      </c>
      <c r="D71" s="48">
        <f>E71*$D$10</f>
        <v>101000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61.499560972960353</v>
      </c>
    </row>
    <row r="75" spans="1:25">
      <c r="A75" s="44" t="s">
        <v>260</v>
      </c>
      <c r="B75" s="45"/>
      <c r="C75" s="45"/>
      <c r="D75" s="52">
        <f>D19-D73</f>
        <v>6492271.0059200004</v>
      </c>
      <c r="E75" s="52">
        <f>D75/D10</f>
        <v>32139.955474851486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196860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311129.67854023521</v>
      </c>
      <c r="C9" s="446">
        <f>'Dev Summary_5-20'!B10</f>
        <v>50000</v>
      </c>
      <c r="D9" s="446">
        <f t="shared" si="0"/>
        <v>261129.67854023521</v>
      </c>
      <c r="E9" s="477">
        <f t="shared" si="1"/>
        <v>0.83929530530616347</v>
      </c>
      <c r="F9" s="477"/>
      <c r="G9" s="473" t="e">
        <f t="shared" si="2"/>
        <v>#REF!</v>
      </c>
      <c r="I9" s="53">
        <f t="shared" si="3"/>
        <v>2828.4516230930471</v>
      </c>
      <c r="J9" s="53">
        <f t="shared" si="4"/>
        <v>1.5804616404563405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75020348.484821707</v>
      </c>
      <c r="C21" s="48">
        <v>18731659</v>
      </c>
      <c r="D21" s="48">
        <f>B21-C21</f>
        <v>56288689.484821707</v>
      </c>
      <c r="E21" s="55">
        <f>D21/B21</f>
        <v>0.75031229022096813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1227729.6049054717</v>
      </c>
      <c r="C26" s="48">
        <v>12677529</v>
      </c>
      <c r="D26" s="48">
        <f t="shared" si="5"/>
        <v>-11449799.395094529</v>
      </c>
      <c r="E26" s="55">
        <f t="shared" si="6"/>
        <v>-9.3259943796631823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89261078.843749985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80834.970959374987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72751.473863437495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649517.04533593741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89261078.843749985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20530.048134062497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823633.53829281242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71408863.074999988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98157.90903124999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71408863.074999988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105245.40903124999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388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311129.67854023521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83205212.517524853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-9176314.7442997377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-8161416.2424999988</v>
      </c>
      <c r="D116" s="1769"/>
    </row>
    <row r="117" spans="2:19" ht="16.5" thickBot="1">
      <c r="B117" s="398" t="s">
        <v>602</v>
      </c>
      <c r="C117" s="1772">
        <f>C118-C114-C116-C115</f>
        <v>58371053.067500003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