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02C27134-18C0-4504-82E4-3EF27BDF1A6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40" i="28" l="1"/>
  <c r="D37" i="2" l="1"/>
  <c r="I59" i="2" l="1"/>
  <c r="E55" i="23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E43" i="28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<sst xmlns="http://schemas.openxmlformats.org/spreadsheetml/2006/main" count="1992" uniqueCount="1105">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</sst>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36" workbookViewId="0">
      <selection activeCell="H15" sqref="H15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1.0956179870598352E-2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1.095617987059835E-2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-21285017.502115652</v>
      </c>
      <c r="E18" s="1754">
        <f ca="1">-D18/D28</f>
        <v>0.13598474555723672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101264161.87499999</v>
      </c>
      <c r="E22" s="1531">
        <f t="shared" ref="E22:E28" si="0">D22/$D$10</f>
        <v>401841.91220238089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10372001.025158519</v>
      </c>
      <c r="E25" s="1531">
        <f t="shared" si="0"/>
        <v>41158.734226819521</v>
      </c>
    </row>
    <row r="26" spans="1:6">
      <c r="A26" s="64"/>
      <c r="B26" s="4" t="s">
        <v>20</v>
      </c>
      <c r="C26" s="4"/>
      <c r="D26" s="1531">
        <f>'Development Budget'!G181</f>
        <v>6893905.5314799119</v>
      </c>
      <c r="E26" s="1531">
        <f t="shared" si="0"/>
        <v>27356.767982063142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14639943.835662484</v>
      </c>
      <c r="E27" s="1532">
        <f t="shared" si="0"/>
        <v>58095.015220882873</v>
      </c>
    </row>
    <row r="28" spans="1:6" ht="16.5" thickTop="1">
      <c r="A28" s="4"/>
      <c r="B28" s="4"/>
      <c r="C28" s="150" t="s">
        <v>14</v>
      </c>
      <c r="D28" s="1533">
        <f>SUM(D21:D27)</f>
        <v>156525038.2673009</v>
      </c>
      <c r="E28" s="1531">
        <f t="shared" si="0"/>
        <v>621131.10423532105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101741274.87374559</v>
      </c>
      <c r="E32" s="1586">
        <f t="shared" si="1"/>
        <v>403735.21775295871</v>
      </c>
    </row>
    <row r="33" spans="1:5">
      <c r="A33" s="64"/>
      <c r="B33" s="4" t="s">
        <v>1051</v>
      </c>
      <c r="C33" s="4"/>
      <c r="D33" s="1587">
        <f>GapCalc!D29</f>
        <v>8217564.5090332963</v>
      </c>
      <c r="E33" s="1586">
        <f>D33/$D$10</f>
        <v>32609.382972354349</v>
      </c>
    </row>
    <row r="34" spans="1:5">
      <c r="A34" s="65"/>
      <c r="B34" s="4" t="s">
        <v>26</v>
      </c>
      <c r="C34" s="4"/>
      <c r="D34" s="1587">
        <f>GapCalc!D30</f>
        <v>46566198.884522006</v>
      </c>
      <c r="E34" s="1586">
        <f>D34/$D$10</f>
        <v>184786.50351000795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156525038.2673009</v>
      </c>
      <c r="E36" s="1586">
        <f>D36/$D$10</f>
        <v>621131.10423532105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93820979.264422208</v>
      </c>
      <c r="E40" s="1586">
        <f t="shared" ref="E40" si="2">D40/$D$10</f>
        <v>372305.47327151668</v>
      </c>
    </row>
    <row r="41" spans="1:5">
      <c r="A41" s="60"/>
      <c r="B41" s="4" t="s">
        <v>1051</v>
      </c>
      <c r="C41" s="4"/>
      <c r="D41" s="1591">
        <f>GapCalc!D29+GapCalc!D38</f>
        <v>9405608.8504318036</v>
      </c>
      <c r="E41" s="1586">
        <f>D41/$D$10</f>
        <v>37323.84464457065</v>
      </c>
    </row>
    <row r="42" spans="1:5">
      <c r="A42" s="60"/>
      <c r="B42" s="1557" t="s">
        <v>26</v>
      </c>
      <c r="C42" s="4"/>
      <c r="D42" s="1592">
        <f>GapCalc!D30+GapCalc!D39</f>
        <v>53298450.152446881</v>
      </c>
      <c r="E42" s="1586">
        <f>D42/$D$10</f>
        <v>211501.78631923365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156525038.2673009</v>
      </c>
      <c r="E45" s="1588">
        <f>D45/$D$10</f>
        <v>621131.10423532105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43" zoomScaleNormal="100" workbookViewId="0">
      <selection activeCell="F41" sqref="F41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101264161.87499999</v>
      </c>
      <c r="E18" s="1531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10372001.025158519</v>
      </c>
      <c r="E21" s="1531">
        <f t="shared" si="0"/>
        <v>41158.734226819521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6893905.5314799119</v>
      </c>
      <c r="E22" s="1531">
        <f t="shared" si="0"/>
        <v>27356.767982063142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14639943.835662484</v>
      </c>
      <c r="E23" s="1532">
        <f t="shared" si="0"/>
        <v>58095.015220882873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156525038.2673009</v>
      </c>
      <c r="E24" s="1531">
        <f t="shared" si="0"/>
        <v>621131.10423532105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0.87368767293103355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101741274.87374559</v>
      </c>
      <c r="E28" s="1586">
        <f t="shared" si="1"/>
        <v>403735.21775295871</v>
      </c>
      <c r="F28" s="62"/>
      <c r="G28" s="1419" t="s">
        <v>608</v>
      </c>
      <c r="H28" s="1608">
        <f>H32/D11</f>
        <v>37323.84464457065</v>
      </c>
      <c r="I28" s="703"/>
    </row>
    <row r="29" spans="1:10" ht="15.75">
      <c r="A29" s="64"/>
      <c r="B29" s="4" t="s">
        <v>1051</v>
      </c>
      <c r="C29" s="4"/>
      <c r="D29" s="1587">
        <v>8217564.5090332963</v>
      </c>
      <c r="E29" s="1586">
        <f>D29/$D$11</f>
        <v>32609.382972354349</v>
      </c>
      <c r="F29" s="520"/>
      <c r="G29" s="1420" t="s">
        <v>971</v>
      </c>
      <c r="H29" s="1609">
        <f>H33/D11</f>
        <v>211501.78631923365</v>
      </c>
      <c r="I29" s="703"/>
    </row>
    <row r="30" spans="1:10" ht="16.5" thickBot="1">
      <c r="A30" s="65"/>
      <c r="B30" s="4" t="s">
        <v>26</v>
      </c>
      <c r="C30" s="4"/>
      <c r="D30" s="1587">
        <v>46566198.884522006</v>
      </c>
      <c r="E30" s="1586">
        <f>D30/$D$11</f>
        <v>184786.50351000795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9405608.8504318036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156525038.2673009</v>
      </c>
      <c r="E33" s="1586">
        <f>D33/$D$11</f>
        <v>621131.10423532105</v>
      </c>
      <c r="F33" s="62"/>
      <c r="G33" s="1441" t="s">
        <v>971</v>
      </c>
      <c r="H33" s="1611">
        <f>D30+D39</f>
        <v>53298450.152446881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62704059.002878681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0.40060082206015962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93820979.264422208</v>
      </c>
      <c r="E37" s="1586">
        <f t="shared" ref="E37" si="2">D37/$D$11</f>
        <v>372305.47327151668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1188044.3413985071</v>
      </c>
      <c r="E38" s="1586">
        <f>D38/$D$11</f>
        <v>4714.4616722162982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6732251.2679248741</v>
      </c>
      <c r="E39" s="1586">
        <f>D39/$D$11</f>
        <v>26715.28280922569</v>
      </c>
      <c r="F39" s="62"/>
      <c r="G39" s="1435" t="s">
        <v>608</v>
      </c>
      <c r="H39" s="1616">
        <f>-D32*0.15</f>
        <v>0</v>
      </c>
      <c r="I39" s="1596">
        <f>D29+H39</f>
        <v>8217564.5090332963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46566198.884522006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101741274.87374559</v>
      </c>
      <c r="E42" s="1586">
        <f>D42/$D$11</f>
        <v>403735.21775295871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0</v>
      </c>
      <c r="I43" s="1596">
        <f>D38+H43</f>
        <v>1188044.3413985071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0</v>
      </c>
      <c r="I44" s="1596">
        <f>D39+H44</f>
        <v>6732251.2679248741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35206185.275648579</v>
      </c>
      <c r="J46" s="1582" t="s">
        <v>1083</v>
      </c>
      <c r="K46" s="1583">
        <f>'Cash Flow'!C76</f>
        <v>1.0956179870598352E-2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10537733.653195115</v>
      </c>
      <c r="J47" s="1584" t="s">
        <v>1099</v>
      </c>
      <c r="K47" s="1607">
        <f>'Cash Flow'!C70</f>
        <v>57386081.999307178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-18092264.876798302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6212856.2251144554</v>
      </c>
      <c r="J51" s="1585" t="s">
        <v>1083</v>
      </c>
      <c r="K51" s="1618">
        <f>'Cash Flow'!H76</f>
        <v>1.095617987059835E-2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9405608.8504318036</v>
      </c>
      <c r="J52" s="1584" t="s">
        <v>1098</v>
      </c>
      <c r="K52" s="1607">
        <f>'Cash Flow'!H70</f>
        <v>10126955.646936562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-3192752.6253173482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-21285017.502115652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51904596.018572189</v>
      </c>
      <c r="J58" s="1582" t="s">
        <v>1083</v>
      </c>
      <c r="K58" s="1583">
        <f>'Cash Flow'!C103</f>
        <v>5.8737245207473553E-2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1098</v>
      </c>
      <c r="K59" s="1607">
        <f>'Cash Flow'!C97</f>
        <v>84604491.510272667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-1393854.133874692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7037452.1139591262</v>
      </c>
      <c r="J63" s="1585" t="s">
        <v>1083</v>
      </c>
      <c r="K63" s="1618">
        <f>'Cash Flow'!H103</f>
        <v>2.195964267881232E-2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9405608.8504318036</v>
      </c>
      <c r="J64" s="1584" t="s">
        <v>1098</v>
      </c>
      <c r="K64" s="1607">
        <f>'Cash Flow'!H97</f>
        <v>11471046.945753375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-2368156.7364726774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-3762010.8703473695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8" zoomScale="130" zoomScaleNormal="130" workbookViewId="0">
      <selection activeCell="L42" sqref="L42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0.79365079365079361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1087</v>
      </c>
      <c r="N9" s="298">
        <f>E46+E183</f>
        <v>50</v>
      </c>
      <c r="O9" s="332">
        <f t="shared" si="0"/>
        <v>0.1984126984126984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12000</v>
      </c>
      <c r="K50" s="292">
        <f>E50*I50</f>
        <v>72000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20100</v>
      </c>
      <c r="K51" s="292">
        <f>E51*I51</f>
        <v>93600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140000</v>
      </c>
      <c r="K52" s="292">
        <f>E52*I52</f>
        <v>635600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1" zoomScaleNormal="100" workbookViewId="0">
      <selection activeCell="M164" sqref="M164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80891329.5</v>
      </c>
      <c r="H32" s="1039"/>
      <c r="I32" s="950">
        <f t="shared" si="0"/>
        <v>320997.33928571426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88980462.450000003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73731600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8089132.9500000002</v>
      </c>
      <c r="G36" s="854">
        <f>F36</f>
        <v>8089132.9500000002</v>
      </c>
      <c r="H36" s="950"/>
      <c r="I36" s="950">
        <f t="shared" si="0"/>
        <v>32099.73392857143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5662393.0650000004</v>
      </c>
      <c r="H37" s="1072"/>
      <c r="I37" s="950">
        <f t="shared" si="0"/>
        <v>22469.813750000001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5662393.0650000004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4044566.4750000001</v>
      </c>
      <c r="H38" s="1072"/>
      <c r="I38" s="950">
        <f t="shared" si="0"/>
        <v>16049.866964285715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4044566.4750000001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1213369.9424999999</v>
      </c>
      <c r="H40" s="1072"/>
      <c r="I40" s="950">
        <f t="shared" si="0"/>
        <v>4814.9600892857143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1213369.9424999999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1213369.9424999999</v>
      </c>
      <c r="H41" s="1072"/>
      <c r="I41" s="950">
        <f t="shared" si="0"/>
        <v>4814.9600892857143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1213369.9424999999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101264161.87499999</v>
      </c>
      <c r="H44" s="1324"/>
      <c r="I44" s="1325">
        <f t="shared" si="0"/>
        <v>401841.91220238089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101264161.87499999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101264161.87499999</v>
      </c>
      <c r="H46" s="1333"/>
      <c r="I46" s="1325">
        <f t="shared" si="0"/>
        <v>401841.91220238089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101264161.87499999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10126416.1875</v>
      </c>
      <c r="H47" s="1039"/>
      <c r="I47" s="950">
        <f t="shared" si="0"/>
        <v>40184.191220238092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10126416.1875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2280079.5953124999</v>
      </c>
      <c r="H59" s="1128"/>
      <c r="I59" s="950">
        <f t="shared" si="0"/>
        <v>9047.9349020337304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253160.40468749998</v>
      </c>
      <c r="H67" s="1039"/>
      <c r="I67" s="950">
        <f t="shared" si="0"/>
        <v>1004.6047805059522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253160.40468749998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444160.40468749998</v>
      </c>
      <c r="H80" s="1101"/>
      <c r="I80" s="950">
        <f t="shared" si="0"/>
        <v>1762.5412884424602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444160.40468749998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2970324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2.6039195039452408E-2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367142.69850430451</v>
      </c>
      <c r="H102" s="1111"/>
      <c r="I102" s="950">
        <f t="shared" si="3"/>
        <v>1456.9154702551766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367142.69850430451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352142.69850430451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7040009.2003253093</v>
      </c>
      <c r="N103" s="1172">
        <v>7042853.9700860903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367142.69850430451</v>
      </c>
      <c r="H114" s="1101"/>
      <c r="I114" s="950">
        <f t="shared" si="3"/>
        <v>1456.9154702551766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367142.69850430451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7195256.5751076061</v>
      </c>
      <c r="H116" s="1177"/>
      <c r="I116" s="950">
        <f t="shared" si="3"/>
        <v>28552.605456776215</v>
      </c>
      <c r="J116" s="1178"/>
      <c r="K116" s="1179" t="s">
        <v>822</v>
      </c>
      <c r="L116" s="1073"/>
      <c r="M116" s="1180">
        <f>0.5*Data!C20*Data!C17/12*Data!C19</f>
        <v>7172759.8785990644</v>
      </c>
      <c r="N116" s="1181">
        <v>7195256.5751076061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7195256.5751076061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1020603.7695188092</v>
      </c>
      <c r="H117" s="1094"/>
      <c r="I117" s="950">
        <f t="shared" si="3"/>
        <v>4050.0149584079727</v>
      </c>
      <c r="J117" s="1015"/>
      <c r="K117" s="1184" t="s">
        <v>824</v>
      </c>
      <c r="L117" s="1185"/>
      <c r="M117" s="1186">
        <f>0.01*Data!C20</f>
        <v>1017412.7487374559</v>
      </c>
      <c r="N117" s="1172">
        <v>1020603.7695188092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1020603.7695188092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1376496.634104281</v>
      </c>
      <c r="H121" s="1117"/>
      <c r="I121" s="950">
        <f t="shared" si="3"/>
        <v>5462.2882305725434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1376496.634104281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1376496.634104281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163090.56542782139</v>
      </c>
      <c r="H125" s="1111"/>
      <c r="I125" s="950">
        <f t="shared" si="3"/>
        <v>647.18478344373568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163090.56542782139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153090.56542782139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152611.91231061838</v>
      </c>
      <c r="N126" s="1172">
        <v>153090.56542782139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10262001.025158519</v>
      </c>
      <c r="H148" s="1128"/>
      <c r="I148" s="950">
        <f t="shared" si="6"/>
        <v>40722.226290311584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10262001.025158519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938209.79264422215</v>
      </c>
      <c r="H151" s="1093"/>
      <c r="I151" s="950">
        <f t="shared" ref="I151:I158" si="7">G151/$F$9</f>
        <v>3723.0547327151671</v>
      </c>
      <c r="J151" s="1094"/>
      <c r="K151" s="1244" t="s">
        <v>862</v>
      </c>
      <c r="L151" s="1245"/>
      <c r="M151" s="1558">
        <f>Data!C31*Data!C30</f>
        <v>938209.79264422215</v>
      </c>
      <c r="N151" s="1345">
        <v>938209.79264422215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9156714.7386371028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6893905.5314799119</v>
      </c>
      <c r="H178" s="1093"/>
      <c r="I178" s="950">
        <f t="shared" si="6"/>
        <v>27356.767982063142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6893905.5314799119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6893905.5314799119</v>
      </c>
      <c r="H181" s="1128"/>
      <c r="I181" s="950">
        <f t="shared" si="6"/>
        <v>27356.767982063142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6893905.5314799119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1130837.2829915117</v>
      </c>
      <c r="H233" s="1111"/>
      <c r="I233" s="950">
        <f t="shared" si="8"/>
        <v>4487.4495356806019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1130837.2829915117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1569587.2829915117</v>
      </c>
      <c r="H234" s="1282"/>
      <c r="I234" s="950">
        <f t="shared" si="8"/>
        <v>6228.5209642520304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1569587.2829915117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156525038.2673009</v>
      </c>
      <c r="H250" s="1298"/>
      <c r="I250" s="1299">
        <f>G250/F9</f>
        <v>621131.10423532105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636.87091396619996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G16" sqref="G16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245772</v>
      </c>
      <c r="D5" t="s">
        <v>427</v>
      </c>
      <c r="G5" s="510"/>
    </row>
    <row r="6" spans="1:15">
      <c r="B6" s="1350" t="s">
        <v>12</v>
      </c>
      <c r="C6" s="700">
        <f>'Construction Calculation'!C14</f>
        <v>245772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40962</v>
      </c>
      <c r="D8" t="s">
        <v>427</v>
      </c>
      <c r="G8" s="510"/>
    </row>
    <row r="9" spans="1:15">
      <c r="B9" s="1350" t="s">
        <v>429</v>
      </c>
      <c r="C9" s="700">
        <f>'Construction Calculation'!C47</f>
        <v>126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101741274.87374559</v>
      </c>
      <c r="D20" s="1375">
        <f>MIN(D22,GapCalc!D24)</f>
        <v>101741274.87374559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101741274.87374559</v>
      </c>
      <c r="G22" s="147"/>
    </row>
    <row r="23" spans="1:13">
      <c r="A23" s="1430" t="s">
        <v>438</v>
      </c>
      <c r="B23" s="1370"/>
      <c r="C23" s="1370" t="s">
        <v>68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-6513097.5675795767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6515905.5314799119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124102497.59999999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93820979.264422208</v>
      </c>
      <c r="D30" s="1376">
        <f>-PV($C$24/12,$C$29*12,C27/12)</f>
        <v>93861427.901976362</v>
      </c>
      <c r="E30" s="1384"/>
      <c r="F30" t="s">
        <v>437</v>
      </c>
      <c r="G30" s="1381"/>
      <c r="H30" s="1376">
        <f>PV(G23,G29,-'Cash Flow'!E41*H28,)</f>
        <v>10504536.865524683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6515905.5314799119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107119373.72294137</v>
      </c>
      <c r="D38" s="516" t="s">
        <v>1038</v>
      </c>
      <c r="E38" s="1391">
        <f>C37*GapCalc!D24</f>
        <v>125220030.61384073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107165555.64042634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311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314</v>
      </c>
      <c r="C19" s="1713" t="s">
        <v>1100</v>
      </c>
      <c r="D19" s="88">
        <v>1.2500000000000001E-2</v>
      </c>
      <c r="E19" s="95">
        <f>IF(C19="Abatement", 0, -'Tax Calc'!B10)</f>
        <v>-935188.16222410637</v>
      </c>
      <c r="F19" s="89">
        <f>E19*(1+$D$19)</f>
        <v>-946878.01425190771</v>
      </c>
      <c r="G19" s="89">
        <f t="shared" ref="G19:AH19" si="6">F19*(1+$D$19)</f>
        <v>-958713.98943005654</v>
      </c>
      <c r="H19" s="89">
        <f t="shared" si="6"/>
        <v>-970697.91429793218</v>
      </c>
      <c r="I19" s="89">
        <f t="shared" si="6"/>
        <v>-982831.63822665624</v>
      </c>
      <c r="J19" s="89">
        <f t="shared" si="6"/>
        <v>-995117.03370448935</v>
      </c>
      <c r="K19" s="89">
        <f t="shared" si="6"/>
        <v>-1007555.9966257954</v>
      </c>
      <c r="L19" s="89">
        <f t="shared" si="6"/>
        <v>-1020150.4465836178</v>
      </c>
      <c r="M19" s="89">
        <f t="shared" si="6"/>
        <v>-1032902.327165913</v>
      </c>
      <c r="N19" s="89">
        <f t="shared" si="6"/>
        <v>-1045813.6062554868</v>
      </c>
      <c r="O19" s="89">
        <f t="shared" si="6"/>
        <v>-1058886.2763336804</v>
      </c>
      <c r="P19" s="89">
        <f t="shared" si="6"/>
        <v>-1072122.3547878512</v>
      </c>
      <c r="Q19" s="89">
        <f t="shared" si="6"/>
        <v>-1085523.8842226993</v>
      </c>
      <c r="R19" s="89">
        <f t="shared" si="6"/>
        <v>-1099092.932775483</v>
      </c>
      <c r="S19" s="90">
        <f t="shared" si="6"/>
        <v>-1112831.5944351766</v>
      </c>
      <c r="T19" s="89">
        <f t="shared" si="6"/>
        <v>-1126741.9893656163</v>
      </c>
      <c r="U19" s="89">
        <f t="shared" si="6"/>
        <v>-1140826.2642326865</v>
      </c>
      <c r="V19" s="89">
        <f t="shared" si="6"/>
        <v>-1155086.5925355949</v>
      </c>
      <c r="W19" s="89">
        <f t="shared" si="6"/>
        <v>-1169525.1749422899</v>
      </c>
      <c r="X19" s="89">
        <f t="shared" si="6"/>
        <v>-1184144.2396290684</v>
      </c>
      <c r="Y19" s="89">
        <f t="shared" si="6"/>
        <v>-1198946.0426244317</v>
      </c>
      <c r="Z19" s="89">
        <f t="shared" si="6"/>
        <v>-1213932.8681572371</v>
      </c>
      <c r="AA19" s="89">
        <f t="shared" si="6"/>
        <v>-1229107.0290092025</v>
      </c>
      <c r="AB19" s="89">
        <f t="shared" si="6"/>
        <v>-1244470.8668718175</v>
      </c>
      <c r="AC19" s="89">
        <f t="shared" si="6"/>
        <v>-1260026.7527077151</v>
      </c>
      <c r="AD19" s="89">
        <f t="shared" si="6"/>
        <v>-1275777.0871165616</v>
      </c>
      <c r="AE19" s="89">
        <f t="shared" si="6"/>
        <v>-1291724.3007055186</v>
      </c>
      <c r="AF19" s="89">
        <f t="shared" si="6"/>
        <v>-1307870.8544643375</v>
      </c>
      <c r="AG19" s="89">
        <f t="shared" si="6"/>
        <v>-1324219.2401451417</v>
      </c>
      <c r="AH19" s="89">
        <f t="shared" si="6"/>
        <v>-1340771.980646956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7819086.6377758943</v>
      </c>
      <c r="F21" s="95">
        <f t="shared" si="8"/>
        <v>8013023.6557480926</v>
      </c>
      <c r="G21" s="95">
        <f t="shared" si="8"/>
        <v>8211426.0223199427</v>
      </c>
      <c r="H21" s="95">
        <f t="shared" si="8"/>
        <v>8414388.675745815</v>
      </c>
      <c r="I21" s="95">
        <f t="shared" si="8"/>
        <v>8622008.3022981826</v>
      </c>
      <c r="J21" s="95">
        <f t="shared" si="8"/>
        <v>8834383.3575640209</v>
      </c>
      <c r="K21" s="95">
        <f t="shared" si="8"/>
        <v>9051614.0874830447</v>
      </c>
      <c r="L21" s="95">
        <f t="shared" si="8"/>
        <v>9273802.5490936134</v>
      </c>
      <c r="M21" s="95">
        <f t="shared" si="8"/>
        <v>9501052.6309502162</v>
      </c>
      <c r="N21" s="95">
        <f t="shared" si="8"/>
        <v>9733470.0731746592</v>
      </c>
      <c r="O21" s="95">
        <f t="shared" si="8"/>
        <v>9971162.4871009681</v>
      </c>
      <c r="P21" s="95">
        <f t="shared" si="8"/>
        <v>10214239.374472072</v>
      </c>
      <c r="Q21" s="95">
        <f t="shared" si="8"/>
        <v>10462812.146144006</v>
      </c>
      <c r="R21" s="95">
        <f t="shared" si="8"/>
        <v>10716994.140251312</v>
      </c>
      <c r="S21" s="96">
        <f t="shared" si="8"/>
        <v>10976900.639784744</v>
      </c>
      <c r="T21" s="95">
        <f t="shared" si="8"/>
        <v>11242648.889530115</v>
      </c>
      <c r="U21" s="95">
        <f t="shared" si="8"/>
        <v>11514358.112314466</v>
      </c>
      <c r="V21" s="95">
        <f t="shared" si="8"/>
        <v>11792149.524503028</v>
      </c>
      <c r="W21" s="95">
        <f t="shared" si="8"/>
        <v>12076146.350687811</v>
      </c>
      <c r="X21" s="95">
        <f t="shared" si="8"/>
        <v>12366473.837505594</v>
      </c>
      <c r="Y21" s="95">
        <f t="shared" si="8"/>
        <v>12663259.266520139</v>
      </c>
      <c r="Z21" s="95">
        <f t="shared" si="8"/>
        <v>12966631.966100343</v>
      </c>
      <c r="AA21" s="95">
        <f t="shared" si="8"/>
        <v>13276723.322222669</v>
      </c>
      <c r="AB21" s="95">
        <f t="shared" si="8"/>
        <v>13593666.78812282</v>
      </c>
      <c r="AC21" s="95">
        <f t="shared" si="8"/>
        <v>13917597.892718133</v>
      </c>
      <c r="AD21" s="95">
        <f t="shared" si="8"/>
        <v>14248654.247718249</v>
      </c>
      <c r="AE21" s="95">
        <f t="shared" si="8"/>
        <v>14586975.55333804</v>
      </c>
      <c r="AF21" s="95">
        <f t="shared" si="8"/>
        <v>14932703.602522522</v>
      </c>
      <c r="AG21" s="95">
        <f t="shared" si="8"/>
        <v>15285982.283589318</v>
      </c>
      <c r="AH21" s="95">
        <f t="shared" si="8"/>
        <v>15646957.581190102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-6515905.5314799119</v>
      </c>
      <c r="F22" s="95">
        <f t="shared" ref="F22:AH22" si="9">$E$22</f>
        <v>-6515905.5314799119</v>
      </c>
      <c r="G22" s="95">
        <f t="shared" si="9"/>
        <v>-6515905.5314799119</v>
      </c>
      <c r="H22" s="95">
        <f t="shared" si="9"/>
        <v>-6515905.5314799119</v>
      </c>
      <c r="I22" s="95">
        <f t="shared" si="9"/>
        <v>-6515905.5314799119</v>
      </c>
      <c r="J22" s="95">
        <f t="shared" si="9"/>
        <v>-6515905.5314799119</v>
      </c>
      <c r="K22" s="95">
        <f t="shared" si="9"/>
        <v>-6515905.5314799119</v>
      </c>
      <c r="L22" s="95">
        <f t="shared" si="9"/>
        <v>-6515905.5314799119</v>
      </c>
      <c r="M22" s="95">
        <f t="shared" si="9"/>
        <v>-6515905.5314799119</v>
      </c>
      <c r="N22" s="95">
        <f t="shared" si="9"/>
        <v>-6515905.5314799119</v>
      </c>
      <c r="O22" s="95">
        <f t="shared" si="9"/>
        <v>-6515905.5314799119</v>
      </c>
      <c r="P22" s="95">
        <f t="shared" si="9"/>
        <v>-6515905.5314799119</v>
      </c>
      <c r="Q22" s="95">
        <f t="shared" si="9"/>
        <v>-6515905.5314799119</v>
      </c>
      <c r="R22" s="95">
        <f t="shared" si="9"/>
        <v>-6515905.5314799119</v>
      </c>
      <c r="S22" s="96">
        <f t="shared" si="9"/>
        <v>-6515905.5314799119</v>
      </c>
      <c r="T22" s="95">
        <f t="shared" si="9"/>
        <v>-6515905.5314799119</v>
      </c>
      <c r="U22" s="95">
        <f t="shared" si="9"/>
        <v>-6515905.5314799119</v>
      </c>
      <c r="V22" s="95">
        <f t="shared" si="9"/>
        <v>-6515905.5314799119</v>
      </c>
      <c r="W22" s="95">
        <f t="shared" si="9"/>
        <v>-6515905.5314799119</v>
      </c>
      <c r="X22" s="95">
        <f t="shared" si="9"/>
        <v>-6515905.5314799119</v>
      </c>
      <c r="Y22" s="95">
        <f t="shared" si="9"/>
        <v>-6515905.5314799119</v>
      </c>
      <c r="Z22" s="95">
        <f t="shared" si="9"/>
        <v>-6515905.5314799119</v>
      </c>
      <c r="AA22" s="95">
        <f t="shared" si="9"/>
        <v>-6515905.5314799119</v>
      </c>
      <c r="AB22" s="95">
        <f t="shared" si="9"/>
        <v>-6515905.5314799119</v>
      </c>
      <c r="AC22" s="95">
        <f t="shared" si="9"/>
        <v>-6515905.5314799119</v>
      </c>
      <c r="AD22" s="95">
        <f t="shared" si="9"/>
        <v>-6515905.5314799119</v>
      </c>
      <c r="AE22" s="95">
        <f t="shared" si="9"/>
        <v>-6515905.5314799119</v>
      </c>
      <c r="AF22" s="95">
        <f t="shared" si="9"/>
        <v>-6515905.5314799119</v>
      </c>
      <c r="AG22" s="95">
        <f t="shared" si="9"/>
        <v>-6515905.5314799119</v>
      </c>
      <c r="AH22" s="95">
        <f t="shared" si="9"/>
        <v>-6515905.5314799119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1303181.1062959824</v>
      </c>
      <c r="F25" s="119">
        <f t="shared" ref="F25:AH25" si="11">+F21+F22+F23</f>
        <v>1497118.1242681807</v>
      </c>
      <c r="G25" s="119">
        <f t="shared" si="11"/>
        <v>1695520.4908400308</v>
      </c>
      <c r="H25" s="119">
        <f t="shared" si="11"/>
        <v>1898483.1442659032</v>
      </c>
      <c r="I25" s="119">
        <f t="shared" si="11"/>
        <v>2106102.7708182707</v>
      </c>
      <c r="J25" s="119">
        <f t="shared" si="11"/>
        <v>2318477.826084109</v>
      </c>
      <c r="K25" s="119">
        <f t="shared" si="11"/>
        <v>2535708.5560031328</v>
      </c>
      <c r="L25" s="119">
        <f t="shared" si="11"/>
        <v>2757897.0176137015</v>
      </c>
      <c r="M25" s="119">
        <f t="shared" si="11"/>
        <v>2985147.0994703043</v>
      </c>
      <c r="N25" s="119">
        <f t="shared" si="11"/>
        <v>3217564.5416947473</v>
      </c>
      <c r="O25" s="119">
        <f t="shared" si="11"/>
        <v>3455256.9556210563</v>
      </c>
      <c r="P25" s="119">
        <f t="shared" si="11"/>
        <v>3698333.8429921605</v>
      </c>
      <c r="Q25" s="119">
        <f t="shared" si="11"/>
        <v>3946906.6146640945</v>
      </c>
      <c r="R25" s="119">
        <f t="shared" si="11"/>
        <v>4201088.6087714005</v>
      </c>
      <c r="S25" s="160">
        <f t="shared" si="11"/>
        <v>4460995.1083048321</v>
      </c>
      <c r="T25" s="119">
        <f t="shared" si="11"/>
        <v>4726743.358050203</v>
      </c>
      <c r="U25" s="119">
        <f t="shared" si="11"/>
        <v>4998452.5808345545</v>
      </c>
      <c r="V25" s="119">
        <f t="shared" si="11"/>
        <v>5276243.9930231161</v>
      </c>
      <c r="W25" s="119">
        <f t="shared" si="11"/>
        <v>5560240.8192078993</v>
      </c>
      <c r="X25" s="119">
        <f t="shared" si="11"/>
        <v>5850568.306025682</v>
      </c>
      <c r="Y25" s="119">
        <f t="shared" si="11"/>
        <v>6147353.735040227</v>
      </c>
      <c r="Z25" s="119">
        <f t="shared" si="11"/>
        <v>6450726.4346204307</v>
      </c>
      <c r="AA25" s="119">
        <f t="shared" si="11"/>
        <v>6760817.7907427568</v>
      </c>
      <c r="AB25" s="119">
        <f t="shared" si="11"/>
        <v>7077761.2566429079</v>
      </c>
      <c r="AC25" s="119">
        <f t="shared" si="11"/>
        <v>7401692.3612382207</v>
      </c>
      <c r="AD25" s="119">
        <f t="shared" si="11"/>
        <v>7732748.7162383366</v>
      </c>
      <c r="AE25" s="119">
        <f t="shared" si="11"/>
        <v>8071070.0218581278</v>
      </c>
      <c r="AF25" s="119">
        <f t="shared" si="11"/>
        <v>8416798.0710426103</v>
      </c>
      <c r="AG25" s="119">
        <f t="shared" si="11"/>
        <v>8770076.7521094065</v>
      </c>
      <c r="AH25" s="119">
        <f t="shared" si="11"/>
        <v>9131052.0497101899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1.2297636325504171</v>
      </c>
      <c r="G27" s="122">
        <f t="shared" si="12"/>
        <v>1.2602125648766027</v>
      </c>
      <c r="H27" s="122">
        <f t="shared" si="12"/>
        <v>1.2913613672104165</v>
      </c>
      <c r="I27" s="122">
        <f t="shared" si="12"/>
        <v>1.3232248780531239</v>
      </c>
      <c r="J27" s="122">
        <f t="shared" si="12"/>
        <v>1.3558182074437672</v>
      </c>
      <c r="K27" s="122">
        <f t="shared" si="12"/>
        <v>1.3891567401879159</v>
      </c>
      <c r="L27" s="122">
        <f t="shared" si="12"/>
        <v>1.4232561390415555</v>
      </c>
      <c r="M27" s="122">
        <f t="shared" si="12"/>
        <v>1.4581323478445687</v>
      </c>
      <c r="N27" s="122">
        <f t="shared" si="12"/>
        <v>1.4938015945980059</v>
      </c>
      <c r="O27" s="122">
        <f t="shared" si="12"/>
        <v>1.5302803944789984</v>
      </c>
      <c r="P27" s="122">
        <f t="shared" si="12"/>
        <v>1.5675855527868869</v>
      </c>
      <c r="Q27" s="122">
        <f t="shared" si="12"/>
        <v>1.6057341678137653</v>
      </c>
      <c r="R27" s="122">
        <f t="shared" si="12"/>
        <v>1.6447436336323367</v>
      </c>
      <c r="S27" s="161">
        <f t="shared" si="12"/>
        <v>1.6846316427935746</v>
      </c>
      <c r="T27" s="122">
        <f t="shared" si="12"/>
        <v>1.725416188926338</v>
      </c>
      <c r="U27" s="122">
        <f t="shared" si="12"/>
        <v>1.7671155692306808</v>
      </c>
      <c r="V27" s="122">
        <f t="shared" si="12"/>
        <v>1.8097483868561797</v>
      </c>
      <c r="W27" s="122">
        <f t="shared" si="12"/>
        <v>1.8533335531562012</v>
      </c>
      <c r="X27" s="122">
        <f t="shared" si="12"/>
        <v>1.8978902898085577</v>
      </c>
      <c r="Y27" s="122">
        <f t="shared" si="12"/>
        <v>1.9434381307925472</v>
      </c>
      <c r="Z27" s="122">
        <f t="shared" si="12"/>
        <v>1.989996924211902</v>
      </c>
      <c r="AA27" s="122">
        <f t="shared" si="12"/>
        <v>2.0375868339526431</v>
      </c>
      <c r="AB27" s="122">
        <f t="shared" si="12"/>
        <v>2.0862283411643303</v>
      </c>
      <c r="AC27" s="122">
        <f t="shared" si="12"/>
        <v>2.1359422455526493</v>
      </c>
      <c r="AD27" s="122">
        <f t="shared" si="12"/>
        <v>2.186749666470694</v>
      </c>
      <c r="AE27" s="122">
        <f t="shared" si="12"/>
        <v>2.2386720437957304</v>
      </c>
      <c r="AF27" s="122">
        <f t="shared" si="12"/>
        <v>2.2917311385775974</v>
      </c>
      <c r="AG27" s="122">
        <f t="shared" si="12"/>
        <v>2.3459490334442465</v>
      </c>
      <c r="AH27" s="122">
        <f t="shared" si="12"/>
        <v>2.4013481327492969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1303181.1062959824</v>
      </c>
      <c r="F41" s="129">
        <f t="shared" ref="F41:S41" si="20">F25+F37</f>
        <v>1497118.1242681807</v>
      </c>
      <c r="G41" s="129">
        <f t="shared" si="20"/>
        <v>1695520.4908400308</v>
      </c>
      <c r="H41" s="129">
        <f t="shared" si="20"/>
        <v>1898483.1442659032</v>
      </c>
      <c r="I41" s="129">
        <f t="shared" si="20"/>
        <v>2106102.7708182707</v>
      </c>
      <c r="J41" s="129">
        <f t="shared" si="20"/>
        <v>2318477.826084109</v>
      </c>
      <c r="K41" s="129">
        <f t="shared" si="20"/>
        <v>2535708.5560031328</v>
      </c>
      <c r="L41" s="129">
        <f t="shared" si="20"/>
        <v>2757897.0176137015</v>
      </c>
      <c r="M41" s="129">
        <f t="shared" si="20"/>
        <v>2985147.0994703043</v>
      </c>
      <c r="N41" s="129">
        <f t="shared" si="20"/>
        <v>3217564.5416947473</v>
      </c>
      <c r="O41" s="129">
        <f t="shared" si="20"/>
        <v>3455256.9556210563</v>
      </c>
      <c r="P41" s="129">
        <f t="shared" si="20"/>
        <v>3698333.8429921605</v>
      </c>
      <c r="Q41" s="129">
        <f t="shared" si="20"/>
        <v>3946906.6146640945</v>
      </c>
      <c r="R41" s="129">
        <f t="shared" si="20"/>
        <v>4201088.6087714005</v>
      </c>
      <c r="S41" s="130">
        <f t="shared" si="20"/>
        <v>4460995.1083048321</v>
      </c>
      <c r="T41" s="130">
        <f t="shared" ref="T41:AH41" si="21">T25+T37</f>
        <v>4726743.358050203</v>
      </c>
      <c r="U41" s="130">
        <f t="shared" si="21"/>
        <v>4998452.5808345545</v>
      </c>
      <c r="V41" s="130">
        <f t="shared" si="21"/>
        <v>5276243.9930231161</v>
      </c>
      <c r="W41" s="130">
        <f t="shared" si="21"/>
        <v>5560240.8192078993</v>
      </c>
      <c r="X41" s="130">
        <f t="shared" si="21"/>
        <v>5850568.306025682</v>
      </c>
      <c r="Y41" s="130">
        <f t="shared" si="21"/>
        <v>6147353.735040227</v>
      </c>
      <c r="Z41" s="130">
        <f t="shared" si="21"/>
        <v>6450726.4346204307</v>
      </c>
      <c r="AA41" s="130">
        <f t="shared" si="21"/>
        <v>6760817.7907427568</v>
      </c>
      <c r="AB41" s="130">
        <f t="shared" si="21"/>
        <v>7077761.2566429079</v>
      </c>
      <c r="AC41" s="130">
        <f t="shared" si="21"/>
        <v>7401692.3612382207</v>
      </c>
      <c r="AD41" s="130">
        <f t="shared" si="21"/>
        <v>7732748.7162383366</v>
      </c>
      <c r="AE41" s="130">
        <f t="shared" si="21"/>
        <v>8071070.0218581278</v>
      </c>
      <c r="AF41" s="130">
        <f t="shared" si="21"/>
        <v>8416798.0710426103</v>
      </c>
      <c r="AG41" s="130">
        <f t="shared" si="21"/>
        <v>8770076.7521094065</v>
      </c>
      <c r="AH41" s="130">
        <f t="shared" si="21"/>
        <v>9131052.0497101899</v>
      </c>
    </row>
    <row r="42" spans="1:34">
      <c r="A42" s="86"/>
      <c r="B42" s="110" t="s">
        <v>329</v>
      </c>
      <c r="C42" s="323">
        <f>GapCalc!I33</f>
        <v>0.85000000000000009</v>
      </c>
      <c r="D42" s="131" t="s">
        <v>1048</v>
      </c>
      <c r="E42" s="129">
        <f>((E41*$C$42))</f>
        <v>1107703.9403515852</v>
      </c>
      <c r="F42" s="129">
        <f t="shared" ref="F42:S42" si="22">((F41*$C$42))</f>
        <v>1272550.4056279538</v>
      </c>
      <c r="G42" s="129">
        <f t="shared" si="22"/>
        <v>1441192.4172140264</v>
      </c>
      <c r="H42" s="129">
        <f t="shared" si="22"/>
        <v>1613710.6726260178</v>
      </c>
      <c r="I42" s="129">
        <f t="shared" si="22"/>
        <v>1790187.3551955302</v>
      </c>
      <c r="J42" s="129">
        <f t="shared" si="22"/>
        <v>1970706.1521714928</v>
      </c>
      <c r="K42" s="129">
        <f t="shared" si="22"/>
        <v>2155352.2726026629</v>
      </c>
      <c r="L42" s="129">
        <f t="shared" si="22"/>
        <v>2344212.4649716467</v>
      </c>
      <c r="M42" s="129">
        <f t="shared" si="22"/>
        <v>2537375.0345497588</v>
      </c>
      <c r="N42" s="129">
        <f t="shared" si="22"/>
        <v>2734929.8604405355</v>
      </c>
      <c r="O42" s="129">
        <f t="shared" si="22"/>
        <v>2936968.4122778983</v>
      </c>
      <c r="P42" s="129">
        <f t="shared" si="22"/>
        <v>3143583.7665433367</v>
      </c>
      <c r="Q42" s="129">
        <f t="shared" si="22"/>
        <v>3354870.6224644808</v>
      </c>
      <c r="R42" s="129">
        <f t="shared" si="22"/>
        <v>3570925.3174556908</v>
      </c>
      <c r="S42" s="129">
        <f t="shared" si="22"/>
        <v>3791845.8420591075</v>
      </c>
      <c r="T42" s="129">
        <f t="shared" ref="T42:AH42" si="23">((T41*$C$42))</f>
        <v>4017731.854342673</v>
      </c>
      <c r="U42" s="129">
        <f t="shared" si="23"/>
        <v>4248684.6937093716</v>
      </c>
      <c r="V42" s="129">
        <f t="shared" si="23"/>
        <v>4484807.3940696493</v>
      </c>
      <c r="W42" s="129">
        <f t="shared" si="23"/>
        <v>4726204.6963267149</v>
      </c>
      <c r="X42" s="129">
        <f t="shared" si="23"/>
        <v>4972983.0601218306</v>
      </c>
      <c r="Y42" s="129">
        <f t="shared" si="23"/>
        <v>5225250.6747841937</v>
      </c>
      <c r="Z42" s="129">
        <f t="shared" si="23"/>
        <v>5483117.4694273667</v>
      </c>
      <c r="AA42" s="129">
        <f t="shared" si="23"/>
        <v>5746695.1221313439</v>
      </c>
      <c r="AB42" s="129">
        <f t="shared" si="23"/>
        <v>6016097.0681464719</v>
      </c>
      <c r="AC42" s="129">
        <f t="shared" si="23"/>
        <v>6291438.5070524886</v>
      </c>
      <c r="AD42" s="129">
        <f t="shared" si="23"/>
        <v>6572836.4088025866</v>
      </c>
      <c r="AE42" s="129">
        <f t="shared" si="23"/>
        <v>6860409.5185794095</v>
      </c>
      <c r="AF42" s="129">
        <f t="shared" si="23"/>
        <v>7154278.3603862198</v>
      </c>
      <c r="AG42" s="129">
        <f t="shared" si="23"/>
        <v>7454565.239292996</v>
      </c>
      <c r="AH42" s="129">
        <f t="shared" si="23"/>
        <v>7761394.2422536621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195477.16594439739</v>
      </c>
      <c r="F43" s="108">
        <f t="shared" ref="F43:S43" si="24">$C$43*(F41)</f>
        <v>224567.71864022713</v>
      </c>
      <c r="G43" s="108">
        <f t="shared" si="24"/>
        <v>254328.07362600465</v>
      </c>
      <c r="H43" s="108">
        <f t="shared" si="24"/>
        <v>284772.47163988551</v>
      </c>
      <c r="I43" s="108">
        <f t="shared" si="24"/>
        <v>315915.41562274063</v>
      </c>
      <c r="J43" s="108">
        <f t="shared" si="24"/>
        <v>347771.67391261639</v>
      </c>
      <c r="K43" s="108">
        <f t="shared" si="24"/>
        <v>380356.28340046998</v>
      </c>
      <c r="L43" s="108">
        <f t="shared" si="24"/>
        <v>413684.55264205526</v>
      </c>
      <c r="M43" s="108">
        <f t="shared" si="24"/>
        <v>447772.06492054573</v>
      </c>
      <c r="N43" s="108">
        <f t="shared" si="24"/>
        <v>482634.68125421216</v>
      </c>
      <c r="O43" s="108">
        <f t="shared" si="24"/>
        <v>518288.5433431585</v>
      </c>
      <c r="P43" s="108">
        <f t="shared" si="24"/>
        <v>554750.07644882414</v>
      </c>
      <c r="Q43" s="108">
        <f t="shared" si="24"/>
        <v>592035.99219961429</v>
      </c>
      <c r="R43" s="108">
        <f t="shared" si="24"/>
        <v>630163.29131571017</v>
      </c>
      <c r="S43" s="108">
        <f t="shared" si="24"/>
        <v>669149.26624572487</v>
      </c>
      <c r="T43" s="108">
        <f t="shared" ref="T43:AH43" si="25">$C$43*(T41)</f>
        <v>709011.50370753056</v>
      </c>
      <c r="U43" s="108">
        <f t="shared" si="25"/>
        <v>749767.88712518325</v>
      </c>
      <c r="V43" s="108">
        <f t="shared" si="25"/>
        <v>791436.59895346756</v>
      </c>
      <c r="W43" s="108">
        <f t="shared" si="25"/>
        <v>834036.12288118503</v>
      </c>
      <c r="X43" s="108">
        <f t="shared" si="25"/>
        <v>877585.2459038524</v>
      </c>
      <c r="Y43" s="108">
        <f t="shared" si="25"/>
        <v>922103.06025603414</v>
      </c>
      <c r="Z43" s="108">
        <f t="shared" si="25"/>
        <v>967608.96519306477</v>
      </c>
      <c r="AA43" s="108">
        <f t="shared" si="25"/>
        <v>1014122.6686114137</v>
      </c>
      <c r="AB43" s="108">
        <f t="shared" si="25"/>
        <v>1061664.1884964362</v>
      </c>
      <c r="AC43" s="108">
        <f t="shared" si="25"/>
        <v>1110253.8541857332</v>
      </c>
      <c r="AD43" s="108">
        <f t="shared" si="25"/>
        <v>1159912.3074357507</v>
      </c>
      <c r="AE43" s="108">
        <f t="shared" si="25"/>
        <v>1210660.5032787193</v>
      </c>
      <c r="AF43" s="108">
        <f t="shared" si="25"/>
        <v>1262519.7106563917</v>
      </c>
      <c r="AG43" s="108">
        <f t="shared" si="25"/>
        <v>1315511.5128164112</v>
      </c>
      <c r="AH43" s="108">
        <f t="shared" si="25"/>
        <v>1369657.8074565288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7.2994140705112329E-2</v>
      </c>
      <c r="F46" s="1529">
        <f>F21/Data!$C$38</f>
        <v>7.480461635701266E-2</v>
      </c>
      <c r="G46" s="1529">
        <f>G21/Data!$C$38</f>
        <v>7.6656777732461032E-2</v>
      </c>
      <c r="H46" s="1529">
        <f>H21/Data!$C$38</f>
        <v>7.8551511116086145E-2</v>
      </c>
      <c r="I46" s="1529">
        <f>I21/Data!$C$38</f>
        <v>8.0489719110929031E-2</v>
      </c>
      <c r="J46" s="1529">
        <f>J21/Data!$C$38</f>
        <v>8.2472320837252922E-2</v>
      </c>
      <c r="K46" s="1529">
        <f>K21/Data!$C$38</f>
        <v>8.4500252128943257E-2</v>
      </c>
      <c r="L46" s="1529">
        <f>L21/Data!$C$38</f>
        <v>8.6574465727178501E-2</v>
      </c>
      <c r="M46" s="1529">
        <f>M21/Data!$C$38</f>
        <v>8.8695931471035203E-2</v>
      </c>
      <c r="N46" s="1529">
        <f>N21/Data!$C$38</f>
        <v>9.0865636484673329E-2</v>
      </c>
      <c r="O46" s="1529">
        <f>O21/Data!$C$38</f>
        <v>9.3084585360729014E-2</v>
      </c>
      <c r="P46" s="1529">
        <f>P21/Data!$C$38</f>
        <v>9.535380033952276E-2</v>
      </c>
      <c r="Q46" s="1529">
        <f>Q21/Data!$C$38</f>
        <v>9.7674321483670362E-2</v>
      </c>
      <c r="R46" s="1529">
        <f>R21/Data!$C$38</f>
        <v>0.10004720684766376</v>
      </c>
      <c r="S46" s="1529">
        <f>S21/Data!$C$38</f>
        <v>0.1024735326419656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2.4450637918524063E-2</v>
      </c>
      <c r="F47" s="142">
        <f>F41/GapCalc!$H$33</f>
        <v>2.8089336931675292E-2</v>
      </c>
      <c r="G47" s="142">
        <f>G41/GapCalc!$H$33</f>
        <v>3.1811816028241326E-2</v>
      </c>
      <c r="H47" s="142">
        <f>H41/GapCalc!$H$33</f>
        <v>3.5619856465540126E-2</v>
      </c>
      <c r="I47" s="142">
        <f>I41/GapCalc!$H$33</f>
        <v>3.9515272297680155E-2</v>
      </c>
      <c r="J47" s="142">
        <f>J41/GapCalc!$H$33</f>
        <v>4.3499910775129172E-2</v>
      </c>
      <c r="K47" s="142">
        <f>K41/GapCalc!$H$33</f>
        <v>4.7575652739439381E-2</v>
      </c>
      <c r="L47" s="142">
        <f>L41/GapCalc!$H$33</f>
        <v>5.1744413012487736E-2</v>
      </c>
      <c r="M47" s="142">
        <f>M41/GapCalc!$H$33</f>
        <v>5.6008140779554336E-2</v>
      </c>
      <c r="N47" s="142">
        <f>N41/GapCalc!$H$33</f>
        <v>6.0368819965528245E-2</v>
      </c>
      <c r="O47" s="142">
        <f>O41/GapCalc!$H$33</f>
        <v>6.4828469603490507E-2</v>
      </c>
      <c r="P47" s="142">
        <f>P41/GapCalc!$H$33</f>
        <v>6.9389144194887509E-2</v>
      </c>
      <c r="Q47" s="142">
        <f>Q41/GapCalc!$H$33</f>
        <v>7.4052934060464343E-2</v>
      </c>
      <c r="R47" s="142">
        <f>R41/GapCalc!$H$33</f>
        <v>7.8821965681088998E-2</v>
      </c>
      <c r="S47" s="142">
        <f>S41/GapCalc!$H$33</f>
        <v>8.3698402027549995E-2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2.0783042230745456E-2</v>
      </c>
      <c r="F48" s="142">
        <f>F43/GapCalc!$H$32</f>
        <v>2.3875936391923997E-2</v>
      </c>
      <c r="G48" s="142">
        <f>G43/GapCalc!$H$32</f>
        <v>2.7040043624005125E-2</v>
      </c>
      <c r="H48" s="142">
        <f>H43/GapCalc!$H$32</f>
        <v>3.0276877995709106E-2</v>
      </c>
      <c r="I48" s="142">
        <f>I43/GapCalc!$H$32</f>
        <v>3.3587981453028132E-2</v>
      </c>
      <c r="J48" s="142">
        <f>J43/GapCalc!$H$32</f>
        <v>3.6974924158859793E-2</v>
      </c>
      <c r="K48" s="142">
        <f>K43/GapCalc!$H$32</f>
        <v>4.0439304828523474E-2</v>
      </c>
      <c r="L48" s="142">
        <f>L43/GapCalc!$H$32</f>
        <v>4.3982751060614576E-2</v>
      </c>
      <c r="M48" s="142">
        <f>M43/GapCalc!$H$32</f>
        <v>4.7606919662621192E-2</v>
      </c>
      <c r="N48" s="142">
        <f>N43/GapCalc!$H$32</f>
        <v>5.1313496970699014E-2</v>
      </c>
      <c r="O48" s="142">
        <f>O43/GapCalc!$H$32</f>
        <v>5.5104199162966924E-2</v>
      </c>
      <c r="P48" s="142">
        <f>P43/GapCalc!$H$32</f>
        <v>5.8980772565654378E-2</v>
      </c>
      <c r="Q48" s="142">
        <f>Q43/GapCalc!$H$32</f>
        <v>6.294499395139469E-2</v>
      </c>
      <c r="R48" s="142">
        <f>R43/GapCalc!$H$32</f>
        <v>6.6998670828925647E-2</v>
      </c>
      <c r="S48" s="142">
        <f>S43/GapCalc!$H$32</f>
        <v>7.1143641723417486E-2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35206185.275648579</v>
      </c>
      <c r="D66" s="1544"/>
      <c r="E66" s="1564" t="s">
        <v>284</v>
      </c>
      <c r="G66" s="1520" t="s">
        <v>1072</v>
      </c>
      <c r="H66" s="1565">
        <f>H70/1.63</f>
        <v>6212856.2251144554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11351403.215789268</v>
      </c>
      <c r="D67" s="1545" t="s">
        <v>68</v>
      </c>
      <c r="G67" s="1521" t="s">
        <v>1073</v>
      </c>
      <c r="H67" s="1560">
        <f>SUMIFS(E43:AH43, E50:AH50, "&lt;=" &amp; VALUE(RIGHT(E66, LEN(E66)-FIND(" ", E66))))</f>
        <v>2003188.8027863419</v>
      </c>
      <c r="I67" s="1545" t="s">
        <v>68</v>
      </c>
    </row>
    <row r="68" spans="2:10">
      <c r="B68" s="1521" t="s">
        <v>1077</v>
      </c>
      <c r="C68" s="1568">
        <f>IF(GapCalc!D41*C42&lt; 0,0,GapCalc!D41*C42)</f>
        <v>0</v>
      </c>
      <c r="D68" s="1545" t="s">
        <v>68</v>
      </c>
      <c r="G68" s="1521" t="s">
        <v>1078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1058</v>
      </c>
      <c r="C69" s="1568">
        <f>'Debt Calc'!E60</f>
        <v>46034678.783517912</v>
      </c>
      <c r="D69" s="1546">
        <v>0.9</v>
      </c>
      <c r="G69" s="1521" t="s">
        <v>1074</v>
      </c>
      <c r="H69" s="1568">
        <f>'Debt Calc'!E59*C43</f>
        <v>8123766.84415022</v>
      </c>
      <c r="I69" s="1546">
        <v>0.9</v>
      </c>
    </row>
    <row r="70" spans="2:10">
      <c r="B70" s="1523" t="s">
        <v>1041</v>
      </c>
      <c r="C70" s="1577">
        <f>C67+C68+C69</f>
        <v>57386081.999307178</v>
      </c>
      <c r="D70" s="1545" t="s">
        <v>68</v>
      </c>
      <c r="G70" s="1523" t="s">
        <v>1041</v>
      </c>
      <c r="H70" s="1577">
        <f>H67+H68+H69</f>
        <v>10126955.646936562</v>
      </c>
      <c r="I70" s="1545" t="s">
        <v>68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0.62999999999999978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8.9999999999999969E-2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53298450.152446881</v>
      </c>
      <c r="D74" s="1549"/>
      <c r="F74" s="1559"/>
      <c r="G74" s="1578" t="s">
        <v>1081</v>
      </c>
      <c r="H74" s="1581">
        <f>GapCalc!H32</f>
        <v>9405608.8504318036</v>
      </c>
      <c r="I74" s="1549"/>
    </row>
    <row r="75" spans="2:10">
      <c r="B75" s="70" t="s">
        <v>1080</v>
      </c>
      <c r="C75" s="1579">
        <f>(C70-C74)/C74</f>
        <v>7.6693259094188462E-2</v>
      </c>
      <c r="G75" s="70" t="s">
        <v>1080</v>
      </c>
      <c r="H75" s="1579">
        <f>(H70-H74)/H74</f>
        <v>7.6693259094188448E-2</v>
      </c>
    </row>
    <row r="76" spans="2:10">
      <c r="B76" s="70" t="s">
        <v>1044</v>
      </c>
      <c r="C76" s="1579">
        <f>C75/7</f>
        <v>1.0956179870598352E-2</v>
      </c>
      <c r="G76" s="70" t="s">
        <v>1044</v>
      </c>
      <c r="H76" s="1579">
        <f>H75/7</f>
        <v>1.095617987059835E-2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10537733.653195115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18967920.575751208</v>
      </c>
      <c r="D81" s="1545" t="s">
        <v>68</v>
      </c>
    </row>
    <row r="82" spans="2:10">
      <c r="B82" s="1521" t="s">
        <v>1058</v>
      </c>
      <c r="C82" s="1568">
        <f>C68</f>
        <v>0</v>
      </c>
      <c r="D82" s="1545" t="s">
        <v>68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18967920.575751208</v>
      </c>
      <c r="D84" s="1545" t="s">
        <v>68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0.80000000000000016</v>
      </c>
      <c r="D86" s="1548"/>
    </row>
    <row r="87" spans="2:10">
      <c r="B87" s="1523" t="s">
        <v>1044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51904596.018572189</v>
      </c>
      <c r="D93" s="1544"/>
      <c r="E93" s="1564" t="s">
        <v>287</v>
      </c>
      <c r="G93" s="1520" t="s">
        <v>1072</v>
      </c>
      <c r="H93" s="1565">
        <f>H97/1.63</f>
        <v>7037452.1139591262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18967920.575751208</v>
      </c>
      <c r="D94" s="1545" t="s">
        <v>68</v>
      </c>
      <c r="G94" s="1521" t="s">
        <v>1073</v>
      </c>
      <c r="H94" s="1560">
        <f>SUMIFS(E43:AH43, E50:AH50, "&lt;=" &amp; VALUE(RIGHT(J93, LEN(J93)-FIND(" ", J93))))</f>
        <v>3347280.101603155</v>
      </c>
      <c r="I94" s="1545" t="s">
        <v>68</v>
      </c>
    </row>
    <row r="95" spans="2:10">
      <c r="B95" s="1521" t="s">
        <v>1077</v>
      </c>
      <c r="C95" s="1568">
        <f>IF(GapCalc!D41*C42&lt; 0,0,GapCalc!D41*C42)</f>
        <v>0</v>
      </c>
      <c r="D95" s="1545" t="s">
        <v>68</v>
      </c>
      <c r="G95" s="1521" t="s">
        <v>1078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1058</v>
      </c>
      <c r="C96" s="1568">
        <f>'Debt Calc'!H60</f>
        <v>65636570.934521459</v>
      </c>
      <c r="D96" s="1546">
        <v>0.9</v>
      </c>
      <c r="G96" s="1521" t="s">
        <v>1074</v>
      </c>
      <c r="H96" s="1568">
        <f>'Debt Calc'!E59*C43</f>
        <v>8123766.84415022</v>
      </c>
      <c r="I96" s="1546">
        <v>0.9</v>
      </c>
    </row>
    <row r="97" spans="2:9">
      <c r="B97" s="1523" t="s">
        <v>1041</v>
      </c>
      <c r="C97" s="1577">
        <f>C94+C95+C96</f>
        <v>84604491.510272667</v>
      </c>
      <c r="D97" s="1545" t="s">
        <v>68</v>
      </c>
      <c r="G97" s="1523" t="s">
        <v>1041</v>
      </c>
      <c r="H97" s="1577">
        <f>H94+H95+H96</f>
        <v>11471046.945753375</v>
      </c>
      <c r="I97" s="1545" t="s">
        <v>68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0.63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0.09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53298450.152446881</v>
      </c>
      <c r="D101" s="1549"/>
      <c r="G101" s="1578" t="s">
        <v>1081</v>
      </c>
      <c r="H101" s="1581">
        <f>GapCalc!H32</f>
        <v>9405608.8504318036</v>
      </c>
      <c r="I101" s="1549"/>
    </row>
    <row r="102" spans="2:9">
      <c r="B102" s="70" t="s">
        <v>1080</v>
      </c>
      <c r="C102" s="1579">
        <f>(C97-C101)/C101</f>
        <v>0.58737245207473554</v>
      </c>
      <c r="G102" s="70" t="s">
        <v>1080</v>
      </c>
      <c r="H102" s="1579">
        <f>(H97-H101)/H101</f>
        <v>0.21959642678812322</v>
      </c>
    </row>
    <row r="103" spans="2:9">
      <c r="B103" s="70" t="s">
        <v>1044</v>
      </c>
      <c r="C103" s="1579">
        <f>C102/10</f>
        <v>5.8737245207473553E-2</v>
      </c>
      <c r="G103" s="70" t="s">
        <v>1044</v>
      </c>
      <c r="H103" s="1579">
        <f>H102/10</f>
        <v>2.195964267881232E-2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204810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40962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245772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245772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245772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126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126</v>
      </c>
      <c r="D49" s="876"/>
      <c r="E49" s="855" t="s">
        <v>576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126</v>
      </c>
      <c r="D55" s="855"/>
      <c r="E55" s="855"/>
      <c r="F55" s="937"/>
      <c r="G55" s="855"/>
      <c r="H55" s="872" t="s">
        <v>684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6515905.5314799119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93861427.901976362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93861400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28702364.054887589</v>
      </c>
    </row>
    <row r="15" spans="2:36">
      <c r="B15" s="556"/>
      <c r="C15" s="560" t="s">
        <v>633</v>
      </c>
      <c r="H15" s="561">
        <f>12*PMT(Data!C24/12,Data!C29*12,-'Debt Calc'!H14)</f>
        <v>6515903.5945112444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-11130444.521409601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-11130444.521409601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93861400</v>
      </c>
      <c r="E21" s="561">
        <f>$H$15</f>
        <v>6515903.5945112444</v>
      </c>
      <c r="F21" s="561">
        <f>E21-G21</f>
        <v>0</v>
      </c>
      <c r="G21" s="561">
        <f>D21-H21</f>
        <v>6515903.5945112407</v>
      </c>
      <c r="H21" s="561">
        <f>D21-E21</f>
        <v>87345496.405488759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87345496.405488759</v>
      </c>
      <c r="E22" s="561">
        <f t="shared" ref="E22:E50" si="1">$H$15</f>
        <v>6515903.5945112444</v>
      </c>
      <c r="F22" s="561">
        <f t="shared" ref="F22:F50" si="2">E22-G22</f>
        <v>0</v>
      </c>
      <c r="G22" s="561">
        <f t="shared" ref="G22:G50" si="3">D22-H22</f>
        <v>6515903.5945112407</v>
      </c>
      <c r="H22" s="561">
        <f t="shared" ref="H22:H39" si="4">D22-E22</f>
        <v>80829592.810977519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80829592.810977519</v>
      </c>
      <c r="E23" s="561">
        <f t="shared" si="1"/>
        <v>6515903.5945112444</v>
      </c>
      <c r="F23" s="561">
        <f t="shared" si="2"/>
        <v>0</v>
      </c>
      <c r="G23" s="561">
        <f t="shared" si="3"/>
        <v>6515903.5945112407</v>
      </c>
      <c r="H23" s="561">
        <f t="shared" si="4"/>
        <v>74313689.216466278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74313689.216466278</v>
      </c>
      <c r="E24" s="561">
        <f t="shared" si="1"/>
        <v>6515903.5945112444</v>
      </c>
      <c r="F24" s="561">
        <f t="shared" si="2"/>
        <v>0</v>
      </c>
      <c r="G24" s="561">
        <f t="shared" si="3"/>
        <v>6515903.5945112407</v>
      </c>
      <c r="H24" s="561">
        <f t="shared" si="4"/>
        <v>67797785.621955037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67797785.621955037</v>
      </c>
      <c r="E25" s="561">
        <f t="shared" si="1"/>
        <v>6515903.5945112444</v>
      </c>
      <c r="F25" s="561">
        <f t="shared" si="2"/>
        <v>0</v>
      </c>
      <c r="G25" s="561">
        <f t="shared" si="3"/>
        <v>6515903.5945112407</v>
      </c>
      <c r="H25" s="561">
        <f t="shared" si="4"/>
        <v>61281882.027443796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61281882.027443796</v>
      </c>
      <c r="E26" s="561">
        <f t="shared" si="1"/>
        <v>6515903.5945112444</v>
      </c>
      <c r="F26" s="561">
        <f t="shared" si="2"/>
        <v>0</v>
      </c>
      <c r="G26" s="561">
        <f t="shared" si="3"/>
        <v>6515903.5945112407</v>
      </c>
      <c r="H26" s="561">
        <f t="shared" si="4"/>
        <v>54765978.432932556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54765978.432932556</v>
      </c>
      <c r="E27" s="561">
        <f t="shared" si="1"/>
        <v>6515903.5945112444</v>
      </c>
      <c r="F27" s="561">
        <f t="shared" si="2"/>
        <v>0</v>
      </c>
      <c r="G27" s="561">
        <f t="shared" si="3"/>
        <v>6515903.5945112407</v>
      </c>
      <c r="H27" s="561">
        <f t="shared" si="4"/>
        <v>48250074.838421315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48250074.838421315</v>
      </c>
      <c r="E28" s="561">
        <f t="shared" si="1"/>
        <v>6515903.5945112444</v>
      </c>
      <c r="F28" s="561">
        <f t="shared" si="2"/>
        <v>0</v>
      </c>
      <c r="G28" s="561">
        <f t="shared" si="3"/>
        <v>6515903.5945112407</v>
      </c>
      <c r="H28" s="561">
        <f t="shared" si="4"/>
        <v>41734171.243910074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41734171.243910074</v>
      </c>
      <c r="E29" s="561">
        <f t="shared" si="1"/>
        <v>6515903.5945112444</v>
      </c>
      <c r="F29" s="561">
        <f t="shared" si="2"/>
        <v>0</v>
      </c>
      <c r="G29" s="561">
        <f t="shared" si="3"/>
        <v>6515903.5945112407</v>
      </c>
      <c r="H29" s="561">
        <f t="shared" si="4"/>
        <v>35218267.649398834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35218267.649398834</v>
      </c>
      <c r="E30" s="561">
        <f t="shared" si="1"/>
        <v>6515903.5945112444</v>
      </c>
      <c r="F30" s="561">
        <f t="shared" si="2"/>
        <v>0</v>
      </c>
      <c r="G30" s="561">
        <f t="shared" si="3"/>
        <v>6515903.5945112444</v>
      </c>
      <c r="H30" s="561">
        <f>D30-E30</f>
        <v>28702364.054887589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28702364.054887589</v>
      </c>
      <c r="E31" s="561">
        <f t="shared" si="1"/>
        <v>6515903.5945112444</v>
      </c>
      <c r="F31" s="561">
        <f t="shared" si="2"/>
        <v>0</v>
      </c>
      <c r="G31" s="561">
        <f t="shared" si="3"/>
        <v>6515903.5945112444</v>
      </c>
      <c r="H31" s="561">
        <f t="shared" si="4"/>
        <v>22186460.460376345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22186460.460376345</v>
      </c>
      <c r="E32" s="561">
        <f t="shared" si="1"/>
        <v>6515903.5945112444</v>
      </c>
      <c r="F32" s="561">
        <f t="shared" si="2"/>
        <v>0</v>
      </c>
      <c r="G32" s="561">
        <f t="shared" si="3"/>
        <v>6515903.5945112444</v>
      </c>
      <c r="H32" s="561">
        <f t="shared" si="4"/>
        <v>15670556.8658651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15670556.8658651</v>
      </c>
      <c r="E33" s="561">
        <f t="shared" si="1"/>
        <v>6515903.5945112444</v>
      </c>
      <c r="F33" s="561">
        <f t="shared" si="2"/>
        <v>0</v>
      </c>
      <c r="G33" s="561">
        <f t="shared" si="3"/>
        <v>6515903.5945112444</v>
      </c>
      <c r="H33" s="561">
        <f t="shared" si="4"/>
        <v>9154653.2713538557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9154653.2713538557</v>
      </c>
      <c r="E34" s="561">
        <f t="shared" si="1"/>
        <v>6515903.5945112444</v>
      </c>
      <c r="F34" s="561">
        <f t="shared" si="2"/>
        <v>0</v>
      </c>
      <c r="G34" s="561">
        <f t="shared" si="3"/>
        <v>6515903.5945112444</v>
      </c>
      <c r="H34" s="561">
        <f t="shared" si="4"/>
        <v>2638749.6768426113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2638749.6768426113</v>
      </c>
      <c r="E35" s="561">
        <f t="shared" si="1"/>
        <v>6515903.5945112444</v>
      </c>
      <c r="F35" s="561">
        <f t="shared" si="2"/>
        <v>0</v>
      </c>
      <c r="G35" s="561">
        <f t="shared" si="3"/>
        <v>6515903.5945112444</v>
      </c>
      <c r="H35" s="561">
        <f t="shared" si="4"/>
        <v>-3877153.9176686332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-3877153.9176686332</v>
      </c>
      <c r="E36" s="561">
        <f t="shared" si="1"/>
        <v>6515903.5945112444</v>
      </c>
      <c r="F36" s="561">
        <f t="shared" si="2"/>
        <v>0</v>
      </c>
      <c r="G36" s="561">
        <f t="shared" si="3"/>
        <v>6515903.5945112444</v>
      </c>
      <c r="H36" s="561">
        <f t="shared" si="4"/>
        <v>-10393057.512179878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-10393057.512179878</v>
      </c>
      <c r="E37" s="561">
        <f t="shared" si="1"/>
        <v>6515903.5945112444</v>
      </c>
      <c r="F37" s="561">
        <f t="shared" si="2"/>
        <v>0</v>
      </c>
      <c r="G37" s="561">
        <f t="shared" si="3"/>
        <v>6515903.5945112444</v>
      </c>
      <c r="H37" s="561">
        <f t="shared" si="4"/>
        <v>-16908961.106691122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-16908961.106691122</v>
      </c>
      <c r="E38" s="561">
        <f t="shared" si="1"/>
        <v>6515903.5945112444</v>
      </c>
      <c r="F38" s="561">
        <f t="shared" si="2"/>
        <v>0</v>
      </c>
      <c r="G38" s="561">
        <f t="shared" si="3"/>
        <v>6515903.5945112444</v>
      </c>
      <c r="H38" s="561">
        <f>D38-E38</f>
        <v>-23424864.701202367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-23424864.701202367</v>
      </c>
      <c r="E39" s="561">
        <f t="shared" si="1"/>
        <v>6515903.5945112444</v>
      </c>
      <c r="F39" s="561">
        <f t="shared" si="2"/>
        <v>0</v>
      </c>
      <c r="G39" s="561">
        <f t="shared" si="3"/>
        <v>6515903.5945112444</v>
      </c>
      <c r="H39" s="561">
        <f t="shared" si="4"/>
        <v>-29940768.295713611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-29940768.295713611</v>
      </c>
      <c r="E40" s="561">
        <f t="shared" si="1"/>
        <v>6515903.5945112444</v>
      </c>
      <c r="F40" s="561">
        <f t="shared" si="2"/>
        <v>36456671.890224859</v>
      </c>
      <c r="G40" s="561">
        <f t="shared" si="3"/>
        <v>-29940768.295713611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6515903.5945112444</v>
      </c>
      <c r="F41" s="561">
        <f t="shared" si="2"/>
        <v>6515903.5945112444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6515903.5945112444</v>
      </c>
      <c r="F42" s="561">
        <f t="shared" si="2"/>
        <v>6515903.5945112444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6515903.5945112444</v>
      </c>
      <c r="F43" s="561">
        <f t="shared" si="2"/>
        <v>6515903.5945112444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6515903.5945112444</v>
      </c>
      <c r="F44" s="561">
        <f t="shared" si="2"/>
        <v>6515903.5945112444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6515903.5945112444</v>
      </c>
      <c r="F45" s="561">
        <f t="shared" si="2"/>
        <v>6515903.5945112444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6515903.5945112444</v>
      </c>
      <c r="F46" s="561">
        <f t="shared" si="2"/>
        <v>6515903.5945112444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6515903.5945112444</v>
      </c>
      <c r="F47" s="561">
        <f t="shared" si="2"/>
        <v>6515903.5945112444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6515903.5945112444</v>
      </c>
      <c r="F48" s="561">
        <f t="shared" si="2"/>
        <v>6515903.5945112444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6515903.5945112444</v>
      </c>
      <c r="F49" s="561">
        <f t="shared" si="2"/>
        <v>6515903.5945112444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6515903.5945112444</v>
      </c>
      <c r="F50" s="561">
        <f t="shared" si="2"/>
        <v>6515903.5945112444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1088</v>
      </c>
      <c r="H54" s="1659"/>
    </row>
    <row r="55" spans="2:28">
      <c r="D55" s="1655" t="s">
        <v>1063</v>
      </c>
      <c r="E55" s="1664">
        <f>'Cash Flow'!K15/0.05</f>
        <v>239868082.75083497</v>
      </c>
      <c r="F55" s="561"/>
      <c r="G55" s="1663" t="s">
        <v>1063</v>
      </c>
      <c r="H55" s="1667">
        <f>'Cash Flow'!N15/0.05</f>
        <v>258311689.55109826</v>
      </c>
    </row>
    <row r="56" spans="2:28">
      <c r="D56" s="1653" t="s">
        <v>1064</v>
      </c>
      <c r="E56" s="1665">
        <f>'Cash Flow'!K21/1.2</f>
        <v>7543011.7395692039</v>
      </c>
      <c r="F56" s="561"/>
      <c r="G56" s="1661" t="s">
        <v>1064</v>
      </c>
      <c r="H56" s="1668">
        <f>'Cash Flow'!N21/1.2</f>
        <v>8111225.0609788829</v>
      </c>
    </row>
    <row r="57" spans="2:28">
      <c r="D57" s="1653" t="s">
        <v>1065</v>
      </c>
      <c r="E57" s="1665">
        <f>E55*0.6</f>
        <v>143920849.65050098</v>
      </c>
      <c r="F57" s="561"/>
      <c r="G57" s="1661" t="s">
        <v>1065</v>
      </c>
      <c r="H57" s="1668">
        <f>H55*0.6</f>
        <v>154987013.73065895</v>
      </c>
    </row>
    <row r="58" spans="2:28">
      <c r="D58" s="1653" t="s">
        <v>1066</v>
      </c>
      <c r="E58" s="1665">
        <f>-PV(6.5%,34,E56)</f>
        <v>102408520.46608944</v>
      </c>
      <c r="F58" s="561"/>
      <c r="G58" s="1661" t="s">
        <v>1066</v>
      </c>
      <c r="H58" s="1668">
        <f>-PV(6.5%,30,H56)</f>
        <v>105921859.27197166</v>
      </c>
    </row>
    <row r="59" spans="2:28">
      <c r="D59" s="1652" t="s">
        <v>1067</v>
      </c>
      <c r="E59" s="1665">
        <f>E58-H27</f>
        <v>54158445.627668127</v>
      </c>
      <c r="F59" s="561"/>
      <c r="G59" s="1660" t="s">
        <v>1067</v>
      </c>
      <c r="H59" s="1668">
        <f>H58-H30</f>
        <v>77219495.217084065</v>
      </c>
    </row>
    <row r="60" spans="2:28" ht="13.5" thickBot="1">
      <c r="D60" s="1654" t="s">
        <v>1068</v>
      </c>
      <c r="E60" s="1666">
        <f>E59*GapCalc!I33</f>
        <v>46034678.783517912</v>
      </c>
      <c r="F60" s="561"/>
      <c r="G60" s="1662" t="s">
        <v>1068</v>
      </c>
      <c r="H60" s="1669">
        <f>H59*GapCalc!I33</f>
        <v>65636570.934521459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16380000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80891329.5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196461.39239999998</v>
      </c>
      <c r="C7" s="1417">
        <f>C4*E4</f>
        <v>970208.98819641001</v>
      </c>
      <c r="D7" s="1409">
        <f>(1-'Rental Income'!O19)</f>
        <v>0.80158730158730163</v>
      </c>
    </row>
    <row r="8" spans="1:5">
      <c r="A8" s="1410" t="s">
        <v>979</v>
      </c>
      <c r="B8" s="1417">
        <f>B7*D7</f>
        <v>157480.95739999998</v>
      </c>
      <c r="C8" s="1417">
        <f>C7*D7</f>
        <v>777707.20482410642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935188.16222410637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98230.696200000006</v>
      </c>
    </row>
    <row r="14" spans="1:5">
      <c r="A14" t="s">
        <v>991</v>
      </c>
      <c r="B14">
        <v>24</v>
      </c>
      <c r="C14" s="1425">
        <f>C3*(E3/12)*B14</f>
        <v>392922.78480000002</v>
      </c>
    </row>
    <row r="15" spans="1:5">
      <c r="A15" s="40" t="s">
        <v>993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10880604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164</v>
      </c>
      <c r="D19" s="57">
        <f>SUM(D15:D18)</f>
        <v>10341874.800000001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131433</v>
      </c>
      <c r="E22" s="48">
        <v>1043</v>
      </c>
      <c r="F22" s="453" t="s">
        <v>171</v>
      </c>
      <c r="N22" s="428">
        <f>D22*0.8</f>
        <v>105146.40000000001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173</v>
      </c>
      <c r="D23" s="48">
        <f>(E23*$D$10-20)/2</f>
        <v>168074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23466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121351.36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182</v>
      </c>
      <c r="D26" s="51">
        <f>SUM(D22:D25)</f>
        <v>444324.36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46872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191</v>
      </c>
      <c r="D31" s="48">
        <f>E31*$D$10</f>
        <v>41328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193</v>
      </c>
      <c r="C32" s="43"/>
      <c r="D32" s="50">
        <f>E32*$D$10</f>
        <v>7560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120960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133560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201</v>
      </c>
      <c r="D37" s="48">
        <f>E37*$D$10</f>
        <v>199080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106092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438732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92988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66982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99792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34272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214200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13860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391164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935188.16222410637</v>
      </c>
      <c r="Y56" s="1309">
        <f>X56/'Rental Income'!D15</f>
        <v>3711.064135809946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436.27870666666666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211680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158.73015873015873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249</v>
      </c>
      <c r="D65" s="48">
        <f>E65*$D$10</f>
        <v>37800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301480</v>
      </c>
      <c r="E67" s="48">
        <f>SUM(E62:E66)</f>
        <v>1333.7301587301588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75600</v>
      </c>
      <c r="E69" s="426">
        <v>300</v>
      </c>
    </row>
    <row r="70" spans="1:25">
      <c r="V70" s="40" t="s">
        <v>255</v>
      </c>
      <c r="X70" s="1307">
        <f>SUM(X68,X64,X54,X39,X31)</f>
        <v>1455015.2755574398</v>
      </c>
      <c r="Y70" s="1307">
        <f>X70/D10</f>
        <v>5773.8701411009515</v>
      </c>
    </row>
    <row r="71" spans="1:25">
      <c r="A71" s="40" t="s">
        <v>256</v>
      </c>
      <c r="D71" s="48">
        <f>E71*$D$10</f>
        <v>126000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-226.12985889904849</v>
      </c>
    </row>
    <row r="75" spans="1:25">
      <c r="A75" s="44" t="s">
        <v>259</v>
      </c>
      <c r="B75" s="45"/>
      <c r="C75" s="45"/>
      <c r="D75" s="52">
        <f>D19-D73</f>
        <v>8173702.2059200015</v>
      </c>
      <c r="E75" s="52">
        <f>D75/D10</f>
        <v>32435.326213968259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245772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1.4938345234782828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93820979.264422208</v>
      </c>
      <c r="C21" s="48">
        <v>18731659</v>
      </c>
      <c r="D21" s="48">
        <f>B21-C21</f>
        <v>75089320.264422208</v>
      </c>
      <c r="E21" s="55">
        <f>D21/B21</f>
        <v>0.8003467971997259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1188044.3413985071</v>
      </c>
      <c r="C26" s="48">
        <v>12677529</v>
      </c>
      <c r="D26" s="48">
        <f t="shared" si="5"/>
        <v>-11489484.658601493</v>
      </c>
      <c r="E26" s="55">
        <f t="shared" si="6"/>
        <v>-9.6709224211923264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111390578.06249999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100751.52025624999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90676.368230624998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802579.41493229149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111390578.06249999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25619.832954375001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1019627.1363735414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89112462.449999988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122057.76818749998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89112462.449999988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129145.26818749998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387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101741274.87374559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-7439778.0009667045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-7034823.5549999988</v>
      </c>
      <c r="D116" s="1769"/>
    </row>
    <row r="117" spans="2:19" ht="16.5" thickBot="1">
      <c r="B117" s="398" t="s">
        <v>601</v>
      </c>
      <c r="C117" s="1772">
        <f>C118-C114-C116-C115</f>
        <v>57244460.380000003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