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Lowered TDC Per Unit\"/>
    </mc:Choice>
  </mc:AlternateContent>
  <xr:revisionPtr revIDLastSave="0" documentId="13_ncr:1_{E76DE508-3973-4ED5-B4FC-A83E2AB2C45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D28" i="28" l="1"/>
  <c r="E27" i="28"/>
  <c r="D23" i="2"/>
  <c r="D22" i="6"/>
  <c r="G254" i="1"/>
  <c r="D24" i="2" l="1"/>
  <c r="E23" i="2"/>
  <c r="E18" i="28"/>
  <c r="E28" i="28"/>
  <c r="I36" i="2" l="1"/>
  <c r="E24" i="2"/>
  <c r="E38" i="6"/>
  <c r="D32" i="2"/>
  <c r="D20" i="6"/>
  <c r="H40" i="2" l="1"/>
  <c r="I40" i="2" s="1"/>
  <c r="E32" i="2"/>
  <c r="H39" i="2"/>
  <c r="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<sst xmlns="http://schemas.openxmlformats.org/spreadsheetml/2006/main" count="1995" uniqueCount="1106">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</sst>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H17" sqref="H17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1095</v>
      </c>
      <c r="B14" s="1535"/>
      <c r="C14" s="1535"/>
      <c r="D14" s="1559" t="s">
        <v>1104</v>
      </c>
      <c r="E14" s="700"/>
    </row>
    <row r="15" spans="1:5">
      <c r="A15" s="1427" t="s">
        <v>1092</v>
      </c>
      <c r="B15" s="1522"/>
      <c r="C15" s="1529"/>
      <c r="D15" s="1523" cm="1">
        <f t="array" aca="1" ref="D15" ca="1">IF(D14="Year 7 Takeout", INDIRECT("GapCalc!K46"), INDIRECT("GapCalc!K58"))</f>
        <v>9.1003897117554591E-2</v>
      </c>
      <c r="E15" s="700"/>
    </row>
    <row r="16" spans="1:5">
      <c r="A16" s="1525" t="s">
        <v>1093</v>
      </c>
      <c r="B16" s="702"/>
      <c r="D16" s="1524" cm="1">
        <f t="array" aca="1" ref="D16" ca="1">IF(D14="Year 7 Takeout", INDIRECT("GapCalc!K51"), INDIRECT("GapCalc!K63"))</f>
        <v>9.1003897117554591E-2</v>
      </c>
      <c r="E16" s="700"/>
    </row>
    <row r="17" spans="1:6">
      <c r="A17" s="1530"/>
      <c r="B17" s="702"/>
      <c r="D17" s="1526"/>
      <c r="E17" s="1597" t="s">
        <v>962</v>
      </c>
    </row>
    <row r="18" spans="1:6">
      <c r="A18" s="1527" t="s">
        <v>1094</v>
      </c>
      <c r="B18" s="47"/>
      <c r="C18" s="47"/>
      <c r="D18" s="1528" cm="1">
        <f t="array" aca="1" ref="D18" ca="1">IF(D14="Year 7 Takeout", INDIRECT("GapCalc!I55"), INDIRECT("GapCalc!I67"))</f>
        <v>119265.44111669529</v>
      </c>
      <c r="E18" s="1598">
        <f ca="1">D18/-D28</f>
        <v>-1.5089251153428049E-3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383</v>
      </c>
    </row>
    <row r="21" spans="1:6">
      <c r="A21" s="64"/>
      <c r="B21" s="63" t="s">
        <v>15</v>
      </c>
      <c r="C21" s="63"/>
      <c r="D21" s="1376">
        <f>'Development Budget'!G28</f>
        <v>10055000</v>
      </c>
      <c r="E21" s="1376">
        <f>D21/$D$10</f>
        <v>66151.31578947368</v>
      </c>
    </row>
    <row r="22" spans="1:6">
      <c r="A22" s="64"/>
      <c r="B22" s="4" t="s">
        <v>16</v>
      </c>
      <c r="C22" s="4"/>
      <c r="D22" s="1376">
        <f>'Development Budget'!G44</f>
        <v>61177208.750000007</v>
      </c>
      <c r="E22" s="1376">
        <f t="shared" ref="E22:E28" si="0">D22/$D$10</f>
        <v>402481.63651315792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1872240</v>
      </c>
      <c r="E23" s="1376">
        <f t="shared" si="0"/>
        <v>12317.368421052632</v>
      </c>
    </row>
    <row r="24" spans="1:6">
      <c r="A24" s="64"/>
      <c r="B24" s="4" t="s">
        <v>18</v>
      </c>
      <c r="C24" s="4"/>
      <c r="D24" s="1376">
        <f>'Development Budget'!G97</f>
        <v>2637086</v>
      </c>
      <c r="E24" s="1376">
        <f t="shared" si="0"/>
        <v>17349.25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6512308.1204755725</v>
      </c>
      <c r="E25" s="1376">
        <f t="shared" si="0"/>
        <v>42844.132371549822</v>
      </c>
    </row>
    <row r="26" spans="1:6">
      <c r="A26" s="64"/>
      <c r="B26" s="4" t="s">
        <v>20</v>
      </c>
      <c r="C26" s="4"/>
      <c r="D26" s="1376">
        <f>'Development Budget'!G181</f>
        <v>4130991.4453824316</v>
      </c>
      <c r="E26" s="1376">
        <f t="shared" si="0"/>
        <v>27177.57529856863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-7344834.3158580065</v>
      </c>
      <c r="E27" s="1377">
        <f t="shared" si="0"/>
        <v>-48321.278393802677</v>
      </c>
    </row>
    <row r="28" spans="1:6" ht="16.5" thickTop="1">
      <c r="A28" s="4"/>
      <c r="B28" s="4"/>
      <c r="C28" s="150" t="s">
        <v>14</v>
      </c>
      <c r="D28" s="1378">
        <f>SUM(D21:D27)</f>
        <v>79040000</v>
      </c>
      <c r="E28" s="1376">
        <f t="shared" si="0"/>
        <v>520000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383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51376000</v>
      </c>
      <c r="E32" s="1431">
        <f t="shared" si="1"/>
        <v>338000</v>
      </c>
    </row>
    <row r="33" spans="1:5">
      <c r="A33" s="64"/>
      <c r="B33" s="4" t="s">
        <v>1052</v>
      </c>
      <c r="C33" s="4"/>
      <c r="D33" s="1432">
        <f>GapCalc!D29</f>
        <v>4149600.0000000009</v>
      </c>
      <c r="E33" s="1431">
        <f>D33/$D$10</f>
        <v>27300.000000000007</v>
      </c>
    </row>
    <row r="34" spans="1:5">
      <c r="A34" s="65"/>
      <c r="B34" s="4" t="s">
        <v>26</v>
      </c>
      <c r="C34" s="4"/>
      <c r="D34" s="1432">
        <f>GapCalc!D30</f>
        <v>23514400.000000004</v>
      </c>
      <c r="E34" s="1431">
        <f>D34/$D$10</f>
        <v>154700.00000000003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79040000</v>
      </c>
      <c r="E36" s="1431">
        <f>D36/$D$10</f>
        <v>520000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383</v>
      </c>
    </row>
    <row r="39" spans="1:5">
      <c r="A39" s="60"/>
      <c r="B39" s="4" t="s">
        <v>1048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996</v>
      </c>
      <c r="C40" s="4"/>
      <c r="D40" s="1431">
        <f>GapCalc!D37</f>
        <v>56222477.195673719</v>
      </c>
      <c r="E40" s="1431">
        <f t="shared" ref="E40" si="2">D40/$D$10</f>
        <v>369884.71839259024</v>
      </c>
    </row>
    <row r="41" spans="1:5">
      <c r="A41" s="60"/>
      <c r="B41" s="4" t="s">
        <v>1052</v>
      </c>
      <c r="C41" s="4"/>
      <c r="D41" s="1436">
        <f>GapCalc!D29+GapCalc!D38</f>
        <v>4149600.0000000009</v>
      </c>
      <c r="E41" s="1431">
        <f>D41/$D$10</f>
        <v>27300.000000000007</v>
      </c>
    </row>
    <row r="42" spans="1:5">
      <c r="A42" s="60"/>
      <c r="B42" s="1402" t="s">
        <v>26</v>
      </c>
      <c r="C42" s="4"/>
      <c r="D42" s="1437">
        <f>GapCalc!D30+GapCalc!D39</f>
        <v>23514400.000000004</v>
      </c>
      <c r="E42" s="1431">
        <f>D42/$D$10</f>
        <v>154700.00000000003</v>
      </c>
    </row>
    <row r="43" spans="1:5">
      <c r="A43" s="60"/>
      <c r="B43" s="1558" t="s">
        <v>1103</v>
      </c>
      <c r="C43" s="4"/>
      <c r="D43" s="1437">
        <f>IF(D32-D40&gt;0,0,D32-D40)</f>
        <v>-4846477.195673719</v>
      </c>
      <c r="E43" s="1431">
        <f>D43/$D$10</f>
        <v>-31884.718392590257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79040000</v>
      </c>
      <c r="E45" s="1433">
        <f>D45/$D$10</f>
        <v>520000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7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10055000</v>
      </c>
      <c r="E17" s="1376">
        <f>D17/$D$11</f>
        <v>66151.31578947368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61177208.750000007</v>
      </c>
      <c r="E18" s="1376">
        <f t="shared" ref="E18:E24" si="0">D18/$D$11</f>
        <v>402481.63651315792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1872240</v>
      </c>
      <c r="E19" s="1376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2637086</v>
      </c>
      <c r="E20" s="1376">
        <f t="shared" si="0"/>
        <v>17349.25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6512308.1204755725</v>
      </c>
      <c r="E21" s="1376">
        <f t="shared" si="0"/>
        <v>42844.132371549822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4130991.4453824316</v>
      </c>
      <c r="E22" s="1376">
        <f t="shared" si="0"/>
        <v>27177.57529856863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-7344834.3158580065</v>
      </c>
      <c r="E23" s="1377">
        <f t="shared" si="0"/>
        <v>-48321.278393802677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79040000</v>
      </c>
      <c r="E24" s="1376">
        <f t="shared" si="0"/>
        <v>520000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383</v>
      </c>
      <c r="G26" s="1360" t="s">
        <v>1051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982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51376000</v>
      </c>
      <c r="E28" s="1431">
        <f t="shared" si="1"/>
        <v>338000</v>
      </c>
      <c r="F28" s="62"/>
      <c r="G28" s="1264" t="s">
        <v>609</v>
      </c>
      <c r="H28" s="1453">
        <f>H32/D11</f>
        <v>27300.000000000007</v>
      </c>
      <c r="I28" s="703"/>
    </row>
    <row r="29" spans="1:10" ht="15.75">
      <c r="A29" s="64"/>
      <c r="B29" s="4" t="s">
        <v>1052</v>
      </c>
      <c r="C29" s="4"/>
      <c r="D29" s="1432">
        <v>4149600.0000000009</v>
      </c>
      <c r="E29" s="1431">
        <f>D29/$D$11</f>
        <v>27300.000000000007</v>
      </c>
      <c r="F29" s="520"/>
      <c r="G29" s="1265" t="s">
        <v>972</v>
      </c>
      <c r="H29" s="1454">
        <f>H33/D11</f>
        <v>154700.00000000003</v>
      </c>
      <c r="I29" s="703"/>
    </row>
    <row r="30" spans="1:10" ht="16.5" thickBot="1">
      <c r="A30" s="65"/>
      <c r="B30" s="4" t="s">
        <v>26</v>
      </c>
      <c r="C30" s="4"/>
      <c r="D30" s="1432">
        <v>23514400.000000004</v>
      </c>
      <c r="E30" s="1431">
        <f>D30/$D$11</f>
        <v>154700.00000000003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1001</v>
      </c>
      <c r="H31" s="1455"/>
      <c r="I31" s="1284"/>
      <c r="J31" s="690"/>
    </row>
    <row r="32" spans="1:10" ht="16.5" thickBot="1">
      <c r="A32" s="1278"/>
      <c r="B32" s="67" t="s">
        <v>998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609</v>
      </c>
      <c r="H32" s="1456">
        <f>D29+D38</f>
        <v>4149600.0000000009</v>
      </c>
      <c r="I32" s="1192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79040000</v>
      </c>
      <c r="E33" s="1431">
        <f>D33/$D$11</f>
        <v>520000</v>
      </c>
      <c r="F33" s="62"/>
      <c r="G33" s="1286" t="s">
        <v>972</v>
      </c>
      <c r="H33" s="1456">
        <f>D30+D39</f>
        <v>23514400.000000004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27664000.000000004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383</v>
      </c>
      <c r="F35" s="68"/>
      <c r="G35" s="1185"/>
      <c r="H35" s="1448"/>
      <c r="I35" s="1187" t="s">
        <v>962</v>
      </c>
      <c r="J35" s="690"/>
    </row>
    <row r="36" spans="1:12" ht="16.5" thickBot="1">
      <c r="A36" s="60"/>
      <c r="B36" s="4" t="s">
        <v>1048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0.35000000000000003</v>
      </c>
      <c r="J36" s="704"/>
    </row>
    <row r="37" spans="1:12" ht="16.5" thickBot="1">
      <c r="A37" s="60"/>
      <c r="B37" s="4" t="s">
        <v>996</v>
      </c>
      <c r="C37" s="4"/>
      <c r="D37" s="1431">
        <f>Data!C30</f>
        <v>56222477.195673719</v>
      </c>
      <c r="E37" s="1431">
        <f t="shared" ref="E37" si="2">D37/$D$11</f>
        <v>369884.71839259024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1052</v>
      </c>
      <c r="C38" s="4"/>
      <c r="D38" s="1436">
        <v>0</v>
      </c>
      <c r="E38" s="1431">
        <f>D38/$D$11</f>
        <v>0</v>
      </c>
      <c r="F38" s="62"/>
      <c r="G38" s="1279" t="s">
        <v>999</v>
      </c>
      <c r="H38" s="1460" t="s">
        <v>983</v>
      </c>
      <c r="I38" s="1287" t="s">
        <v>1003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609</v>
      </c>
      <c r="H39" s="1461">
        <f>-D32*0.15</f>
        <v>0</v>
      </c>
      <c r="I39" s="1441">
        <f>D29+H39</f>
        <v>4149600.0000000009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972</v>
      </c>
      <c r="H40" s="1462">
        <f>-D32*0.85</f>
        <v>0</v>
      </c>
      <c r="I40" s="1442">
        <f>D30+H40</f>
        <v>23514400.000000004</v>
      </c>
      <c r="J40" s="690"/>
    </row>
    <row r="41" spans="1:12" ht="16.5" thickBot="1">
      <c r="A41" s="66"/>
      <c r="B41" s="67" t="s">
        <v>998</v>
      </c>
      <c r="C41" s="67"/>
      <c r="D41" s="1438">
        <f>SUM(D36:D39)-D28</f>
        <v>4846477.195673719</v>
      </c>
      <c r="E41" s="1433">
        <f>D41/$D$11</f>
        <v>31884.718392590257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56222477.195673719</v>
      </c>
      <c r="E42" s="1431">
        <f>D42/$D$11</f>
        <v>369884.71839259024</v>
      </c>
      <c r="G42" s="1279" t="s">
        <v>1000</v>
      </c>
      <c r="H42" s="1460" t="s">
        <v>983</v>
      </c>
      <c r="I42" s="1444" t="s">
        <v>1003</v>
      </c>
      <c r="J42" s="690"/>
    </row>
    <row r="43" spans="1:12" ht="15.75">
      <c r="A43" s="65"/>
      <c r="B43" s="60"/>
      <c r="C43" s="60"/>
      <c r="D43" s="61"/>
      <c r="E43" s="61"/>
      <c r="G43" s="1280" t="s">
        <v>609</v>
      </c>
      <c r="H43" s="1461">
        <f>-D41*0.15</f>
        <v>-726971.57935105788</v>
      </c>
      <c r="I43" s="1441">
        <f>D38+H43</f>
        <v>-726971.57935105788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972</v>
      </c>
      <c r="H44" s="1461">
        <f>-D41*0.85</f>
        <v>-4119505.6163226613</v>
      </c>
      <c r="I44" s="1441">
        <f>D39+H44</f>
        <v>-4119505.6163226613</v>
      </c>
      <c r="J44" s="690"/>
    </row>
    <row r="45" spans="1:12" ht="15.75">
      <c r="A45" s="60"/>
      <c r="D45" s="159"/>
      <c r="E45" s="159"/>
      <c r="G45" s="4"/>
      <c r="H45" s="1549" t="s">
        <v>1096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1062</v>
      </c>
      <c r="I46" s="1445">
        <f>'Cash Flow'!C66</f>
        <v>23615775.624949194</v>
      </c>
      <c r="J46" s="1427" t="s">
        <v>1084</v>
      </c>
      <c r="K46" s="1428">
        <f>'Cash Flow'!C76</f>
        <v>9.1003897117554591E-2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1063</v>
      </c>
      <c r="I47" s="1446">
        <f>'Cash Flow'!C80</f>
        <v>8600710.9097064659</v>
      </c>
      <c r="J47" s="1429" t="s">
        <v>1099</v>
      </c>
      <c r="K47" s="1452">
        <f>'Cash Flow'!C70</f>
        <v>38493714.268667184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1060</v>
      </c>
      <c r="I48" s="1447">
        <f>I46-H33</f>
        <v>101375.62494919077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1071</v>
      </c>
      <c r="I51" s="1449">
        <f>'Cash Flow'!H66</f>
        <v>4167489.8161675055</v>
      </c>
      <c r="J51" s="1430" t="s">
        <v>1084</v>
      </c>
      <c r="K51" s="1463">
        <f>'Cash Flow'!H76</f>
        <v>9.1003897117554591E-2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1072</v>
      </c>
      <c r="I52" s="1450">
        <f>H32</f>
        <v>4149600.0000000009</v>
      </c>
      <c r="J52" s="1429" t="s">
        <v>1098</v>
      </c>
      <c r="K52" s="1452">
        <f>'Cash Flow'!H70</f>
        <v>6793008.4003530331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1060</v>
      </c>
      <c r="I53" s="1451">
        <f>I51-I52</f>
        <v>17889.816167504527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1076</v>
      </c>
      <c r="I55" s="1555">
        <f>I48+I53</f>
        <v>119265.44111669529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1097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1062</v>
      </c>
      <c r="I58" s="1445">
        <f>'Cash Flow'!C93</f>
        <v>33617950.610701896</v>
      </c>
      <c r="J58" s="1427" t="s">
        <v>1084</v>
      </c>
      <c r="K58" s="1428">
        <f>'Cash Flow'!C103</f>
        <v>0.13303703048108423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1063</v>
      </c>
      <c r="I59" s="1446">
        <f>'Cash Flow'!C92</f>
        <v>0</v>
      </c>
      <c r="J59" s="1429" t="s">
        <v>1098</v>
      </c>
      <c r="K59" s="1452">
        <f>'Cash Flow'!C97</f>
        <v>54797259.495444082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1060</v>
      </c>
      <c r="I60" s="1447">
        <f>I58-H33</f>
        <v>10103550.610701893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1071</v>
      </c>
      <c r="I63" s="1449">
        <f>'Cash Flow'!H93</f>
        <v>4661420.5441008592</v>
      </c>
      <c r="J63" s="1430" t="s">
        <v>1084</v>
      </c>
      <c r="K63" s="1463">
        <f>'Cash Flow'!H103</f>
        <v>8.3104768818305336E-2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1072</v>
      </c>
      <c r="I64" s="1450">
        <f>H32</f>
        <v>4149600.0000000009</v>
      </c>
      <c r="J64" s="1429" t="s">
        <v>1098</v>
      </c>
      <c r="K64" s="1452">
        <f>'Cash Flow'!H97</f>
        <v>7598115.4868844002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1060</v>
      </c>
      <c r="I65" s="1451">
        <f>I63-I64</f>
        <v>511820.54410085827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1076</v>
      </c>
      <c r="I67" s="1545">
        <f>I60+I65</f>
        <v>10615371.154802751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6" zoomScale="130" zoomScaleNormal="130" workbookViewId="0">
      <selection activeCell="N27" sqref="N27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0.78947368421052633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30</v>
      </c>
      <c r="O9" s="332">
        <f t="shared" si="0"/>
        <v>0.19736842105263158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62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268">
        <f>N17+N16</f>
        <v>152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623">
        <v>2400</v>
      </c>
      <c r="J50" s="284">
        <f>D50*E50</f>
        <v>7200</v>
      </c>
      <c r="K50" s="292">
        <f>E50*I50</f>
        <v>43200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623">
        <f>ROUND(G51-H51,0)</f>
        <v>3120</v>
      </c>
      <c r="J51" s="284">
        <f>D51*E51</f>
        <v>12060</v>
      </c>
      <c r="K51" s="292">
        <f>E51*I51</f>
        <v>56160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623">
        <v>4540</v>
      </c>
      <c r="J52" s="284">
        <f>D52*E52</f>
        <v>84000</v>
      </c>
      <c r="K52" s="292">
        <f>E52*I52</f>
        <v>381360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23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88" zoomScaleNormal="100" workbookViewId="0">
      <selection activeCell="I1" sqref="I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989</v>
      </c>
      <c r="J4" s="717">
        <f>GapCalc!D41</f>
        <v>4846477.195673719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0" t="s">
        <v>85</v>
      </c>
      <c r="G14" s="1601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4" t="s">
        <v>641</v>
      </c>
      <c r="D18" s="1624"/>
      <c r="E18" s="1625">
        <f>N18</f>
        <v>9880000</v>
      </c>
      <c r="F18" s="1626"/>
      <c r="G18" s="1627">
        <f>E18</f>
        <v>9880000</v>
      </c>
      <c r="H18" s="1628"/>
      <c r="I18" s="1628">
        <f>G18/$F$9</f>
        <v>65000</v>
      </c>
      <c r="J18" s="1003"/>
      <c r="K18" s="1004"/>
      <c r="L18" s="1004"/>
      <c r="M18" s="1276">
        <f>F9*N17</f>
        <v>9880000</v>
      </c>
      <c r="N18" s="1518">
        <v>9880000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9880000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4" t="s">
        <v>642</v>
      </c>
      <c r="D19" s="1624"/>
      <c r="E19" s="1629"/>
      <c r="F19" s="1630"/>
      <c r="G19" s="1631">
        <f>SUM(F20:F22)</f>
        <v>25000</v>
      </c>
      <c r="H19" s="1628"/>
      <c r="I19" s="1628">
        <f t="shared" ref="I19:I82" si="0">G19/$F$9</f>
        <v>164.47368421052633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2"/>
      <c r="D20" s="1624" t="s">
        <v>643</v>
      </c>
      <c r="E20" s="1629"/>
      <c r="F20" s="1630">
        <v>10000</v>
      </c>
      <c r="G20" s="1631"/>
      <c r="H20" s="1628"/>
      <c r="I20" s="1628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2"/>
      <c r="D21" s="1624" t="s">
        <v>644</v>
      </c>
      <c r="E21" s="1633">
        <v>0</v>
      </c>
      <c r="F21" s="1630">
        <f>E21*G18</f>
        <v>0</v>
      </c>
      <c r="G21" s="1631"/>
      <c r="H21" s="1628"/>
      <c r="I21" s="1628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2"/>
      <c r="D22" s="1624" t="s">
        <v>645</v>
      </c>
      <c r="E22" s="1629"/>
      <c r="F22" s="1630">
        <v>15000</v>
      </c>
      <c r="G22" s="1631"/>
      <c r="H22" s="1628"/>
      <c r="I22" s="1628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4" t="s">
        <v>646</v>
      </c>
      <c r="D23" s="1624"/>
      <c r="E23" s="1634">
        <v>150000</v>
      </c>
      <c r="F23" s="1630"/>
      <c r="G23" s="1631">
        <f>E23</f>
        <v>150000</v>
      </c>
      <c r="H23" s="1628"/>
      <c r="I23" s="1628">
        <f t="shared" si="0"/>
        <v>986.84210526315792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4" t="s">
        <v>647</v>
      </c>
      <c r="D24" s="1624"/>
      <c r="E24" s="1635"/>
      <c r="F24" s="1630"/>
      <c r="G24" s="1631">
        <f>SUM(F25:F26)</f>
        <v>0</v>
      </c>
      <c r="H24" s="1628"/>
      <c r="I24" s="1628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2"/>
      <c r="D25" s="1624" t="s">
        <v>648</v>
      </c>
      <c r="E25" s="1636">
        <f>5</f>
        <v>5</v>
      </c>
      <c r="F25" s="1637">
        <v>0</v>
      </c>
      <c r="G25" s="1631"/>
      <c r="H25" s="1628"/>
      <c r="I25" s="1628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2"/>
      <c r="D26" s="1624" t="s">
        <v>649</v>
      </c>
      <c r="E26" s="1636">
        <v>7</v>
      </c>
      <c r="F26" s="1637">
        <v>0</v>
      </c>
      <c r="G26" s="1631"/>
      <c r="H26" s="1628"/>
      <c r="I26" s="1628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4" t="s">
        <v>770</v>
      </c>
      <c r="D27" s="1624"/>
      <c r="E27" s="1638"/>
      <c r="F27" s="1630"/>
      <c r="G27" s="1631">
        <v>0</v>
      </c>
      <c r="H27" s="1628"/>
      <c r="I27" s="1628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9" t="s">
        <v>771</v>
      </c>
      <c r="D28" s="1640"/>
      <c r="E28" s="1641"/>
      <c r="F28" s="1642"/>
      <c r="G28" s="1643">
        <f>SUM(G18:G27)</f>
        <v>10055000</v>
      </c>
      <c r="H28" s="1644"/>
      <c r="I28" s="1645">
        <f t="shared" si="0"/>
        <v>66151.31578947368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10055000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6" t="s">
        <v>91</v>
      </c>
      <c r="D29" s="1624"/>
      <c r="E29" s="1647"/>
      <c r="F29" s="1630"/>
      <c r="G29" s="1648"/>
      <c r="H29" s="1649"/>
      <c r="I29" s="1628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4" t="s">
        <v>708</v>
      </c>
      <c r="D30" s="1624"/>
      <c r="E30" s="1650">
        <v>0</v>
      </c>
      <c r="F30" s="1630"/>
      <c r="G30" s="1648">
        <v>0</v>
      </c>
      <c r="H30" s="1649"/>
      <c r="I30" s="1628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4" t="s">
        <v>709</v>
      </c>
      <c r="D31" s="1624"/>
      <c r="E31" s="1625">
        <v>35</v>
      </c>
      <c r="F31" s="1630"/>
      <c r="G31" s="1651">
        <f>E31*'Construction Calculation'!G11</f>
        <v>0</v>
      </c>
      <c r="H31" s="1652"/>
      <c r="I31" s="1628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4" t="s">
        <v>95</v>
      </c>
      <c r="D32" s="1624"/>
      <c r="E32" s="1653"/>
      <c r="F32" s="1654"/>
      <c r="G32" s="1648">
        <f>F33+F35</f>
        <v>48821767</v>
      </c>
      <c r="H32" s="1649"/>
      <c r="I32" s="1628">
        <f t="shared" si="0"/>
        <v>321195.83552631579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53703943.700000003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4"/>
      <c r="D33" s="1624" t="s">
        <v>670</v>
      </c>
      <c r="E33" s="1655">
        <v>300</v>
      </c>
      <c r="F33" s="1656">
        <f>E33*'Construction Calculation'!C14</f>
        <v>44503200</v>
      </c>
      <c r="G33" s="1648"/>
      <c r="H33" s="1649"/>
      <c r="I33" s="1628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4"/>
      <c r="D34" s="1624" t="s">
        <v>710</v>
      </c>
      <c r="E34" s="1655">
        <v>35</v>
      </c>
      <c r="F34" s="1656">
        <v>0</v>
      </c>
      <c r="G34" s="1648"/>
      <c r="H34" s="1649"/>
      <c r="I34" s="1628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4"/>
      <c r="D35" s="1624" t="s">
        <v>692</v>
      </c>
      <c r="E35" s="1655">
        <f>'Construction Calculation'!G49</f>
        <v>143</v>
      </c>
      <c r="F35" s="1656">
        <f>'Construction Calculation'!I55</f>
        <v>4318567.0000000009</v>
      </c>
      <c r="G35" s="1648">
        <f>0*F35</f>
        <v>0</v>
      </c>
      <c r="H35" s="1649"/>
      <c r="I35" s="1628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2"/>
      <c r="D36" s="1624" t="s">
        <v>711</v>
      </c>
      <c r="E36" s="1657">
        <v>0.1</v>
      </c>
      <c r="F36" s="1658">
        <f>E36*(G32+G31+G30)</f>
        <v>4882176.7</v>
      </c>
      <c r="G36" s="1631">
        <f>F36</f>
        <v>4882176.7</v>
      </c>
      <c r="H36" s="1628"/>
      <c r="I36" s="1628">
        <f t="shared" si="0"/>
        <v>32119.583552631579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4" t="s">
        <v>712</v>
      </c>
      <c r="D37" s="1624"/>
      <c r="E37" s="1657">
        <v>7.0000000000000007E-2</v>
      </c>
      <c r="F37" s="1659"/>
      <c r="G37" s="1660">
        <f>SUM($G$29:$G$32,$G$20,$G$21)*E37</f>
        <v>3417523.6900000004</v>
      </c>
      <c r="H37" s="1661"/>
      <c r="I37" s="1628">
        <f t="shared" si="0"/>
        <v>22483.708486842108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3417523.6900000004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4" t="s">
        <v>713</v>
      </c>
      <c r="D38" s="1624"/>
      <c r="E38" s="1657">
        <v>0.05</v>
      </c>
      <c r="F38" s="1659"/>
      <c r="G38" s="1660">
        <f>SUM($G$29:$G$32,$G$20,$G$21)*E38</f>
        <v>2441088.35</v>
      </c>
      <c r="H38" s="1661"/>
      <c r="I38" s="1628">
        <f t="shared" si="0"/>
        <v>16059.791776315789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2441088.35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4" t="s">
        <v>714</v>
      </c>
      <c r="D39" s="1624"/>
      <c r="E39" s="1657">
        <v>0</v>
      </c>
      <c r="F39" s="1659"/>
      <c r="G39" s="1660">
        <f>SUM($G$29:$G$32,$G$20,$G$21)*E39</f>
        <v>0</v>
      </c>
      <c r="H39" s="1661"/>
      <c r="I39" s="1628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4" t="s">
        <v>715</v>
      </c>
      <c r="D40" s="1624"/>
      <c r="E40" s="1657">
        <v>1.4999999999999999E-2</v>
      </c>
      <c r="F40" s="1659"/>
      <c r="G40" s="1660">
        <f>SUM($G$29:$G$32,$G$20,$G$21)*E40</f>
        <v>732326.505</v>
      </c>
      <c r="H40" s="1661"/>
      <c r="I40" s="1628">
        <f t="shared" si="0"/>
        <v>4817.9375328947372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732326.505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4" t="s">
        <v>716</v>
      </c>
      <c r="D41" s="1624"/>
      <c r="E41" s="1657">
        <v>1.4999999999999999E-2</v>
      </c>
      <c r="F41" s="1662"/>
      <c r="G41" s="1660">
        <f>SUM($G$29:$G$33,$G$20,$G$21)*E41</f>
        <v>732326.505</v>
      </c>
      <c r="H41" s="1661"/>
      <c r="I41" s="1628">
        <f t="shared" si="0"/>
        <v>4817.9375328947372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732326.505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4" t="s">
        <v>225</v>
      </c>
      <c r="D42" s="1624"/>
      <c r="E42" s="1657">
        <v>0</v>
      </c>
      <c r="F42" s="1663"/>
      <c r="G42" s="1660">
        <f>SUM($G$29:$G$32,$G$20,$G$21)*E42</f>
        <v>0</v>
      </c>
      <c r="H42" s="1661"/>
      <c r="I42" s="1628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2" t="s">
        <v>717</v>
      </c>
      <c r="D43" s="1659"/>
      <c r="E43" s="1657">
        <v>0</v>
      </c>
      <c r="F43" s="1659"/>
      <c r="G43" s="1660">
        <f>SUM($G$29:$G$32,$G$20,$G$21)*E43</f>
        <v>0</v>
      </c>
      <c r="H43" s="1661"/>
      <c r="I43" s="1628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4" t="s">
        <v>718</v>
      </c>
      <c r="D44" s="1665"/>
      <c r="E44" s="1666"/>
      <c r="F44" s="1667"/>
      <c r="G44" s="1668">
        <f>SUM(G30:G43)+G23+G24</f>
        <v>61177208.750000007</v>
      </c>
      <c r="H44" s="1669"/>
      <c r="I44" s="1645">
        <f t="shared" si="0"/>
        <v>402481.63651315792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61177208.750000007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6" t="s">
        <v>719</v>
      </c>
      <c r="D45" s="1624"/>
      <c r="E45" s="1670">
        <v>0</v>
      </c>
      <c r="F45" s="1671"/>
      <c r="G45" s="1672">
        <f>E45*G44</f>
        <v>0</v>
      </c>
      <c r="H45" s="1673"/>
      <c r="I45" s="1628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4" t="s">
        <v>720</v>
      </c>
      <c r="D46" s="1674"/>
      <c r="E46" s="1675"/>
      <c r="F46" s="1676"/>
      <c r="G46" s="1643">
        <f>SUM(G44:G45)</f>
        <v>61177208.750000007</v>
      </c>
      <c r="H46" s="1644"/>
      <c r="I46" s="1645">
        <f t="shared" si="0"/>
        <v>402481.63651315792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61177208.750000007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6" t="s">
        <v>721</v>
      </c>
      <c r="D47" s="1624"/>
      <c r="E47" s="1677">
        <v>0.1</v>
      </c>
      <c r="F47" s="1678">
        <v>0.15</v>
      </c>
      <c r="G47" s="1648">
        <f>(E47*G46)</f>
        <v>6117720.8750000009</v>
      </c>
      <c r="H47" s="1649"/>
      <c r="I47" s="1628">
        <f t="shared" si="0"/>
        <v>40248.163651315794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6117720.8750000009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9" t="s">
        <v>722</v>
      </c>
      <c r="D48" s="1624"/>
      <c r="E48" s="1680"/>
      <c r="F48" s="1681"/>
      <c r="G48" s="1648"/>
      <c r="H48" s="1649"/>
      <c r="I48" s="1628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2"/>
      <c r="D49" s="1624" t="s">
        <v>772</v>
      </c>
      <c r="E49" s="1654"/>
      <c r="F49" s="1654">
        <f>335*F9</f>
        <v>50920</v>
      </c>
      <c r="G49" s="1683">
        <f>F49</f>
        <v>50920</v>
      </c>
      <c r="H49" s="1684"/>
      <c r="I49" s="1628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2"/>
      <c r="D50" s="1624" t="s">
        <v>773</v>
      </c>
      <c r="E50" s="1654">
        <v>0</v>
      </c>
      <c r="F50" s="1654">
        <f>368*F9</f>
        <v>55936</v>
      </c>
      <c r="G50" s="1683">
        <f>F50</f>
        <v>55936</v>
      </c>
      <c r="H50" s="1684"/>
      <c r="I50" s="1628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9"/>
      <c r="D51" s="1624" t="s">
        <v>774</v>
      </c>
      <c r="E51" s="1681">
        <v>0</v>
      </c>
      <c r="F51" s="1681">
        <v>1225</v>
      </c>
      <c r="G51" s="1683">
        <f>F51</f>
        <v>1225</v>
      </c>
      <c r="H51" s="1649"/>
      <c r="I51" s="1628">
        <f t="shared" si="0"/>
        <v>8.0592105263157894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9" t="s">
        <v>775</v>
      </c>
      <c r="D52" s="1646"/>
      <c r="E52" s="1685"/>
      <c r="F52" s="1686"/>
      <c r="G52" s="1687">
        <f>SUM(F49:F51)</f>
        <v>108081</v>
      </c>
      <c r="H52" s="1688"/>
      <c r="I52" s="1628">
        <f t="shared" si="0"/>
        <v>711.05921052631584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108081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6" t="s">
        <v>776</v>
      </c>
      <c r="D53" s="1624"/>
      <c r="E53" s="1689"/>
      <c r="F53" s="1671"/>
      <c r="G53" s="1648"/>
      <c r="H53" s="1649"/>
      <c r="I53" s="1628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4" t="s">
        <v>386</v>
      </c>
      <c r="D54" s="1624"/>
      <c r="E54" s="1690"/>
      <c r="F54" s="1671"/>
      <c r="G54" s="1648">
        <f>SUM(F55:F56)</f>
        <v>1739800</v>
      </c>
      <c r="H54" s="1649"/>
      <c r="I54" s="1628">
        <f t="shared" si="0"/>
        <v>11446.052631578947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1739800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4"/>
      <c r="D55" s="1624" t="s">
        <v>777</v>
      </c>
      <c r="E55" s="1632"/>
      <c r="F55" s="1661">
        <v>163800</v>
      </c>
      <c r="G55" s="1691"/>
      <c r="H55" s="1692"/>
      <c r="I55" s="1628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4"/>
      <c r="D56" s="1624" t="s">
        <v>386</v>
      </c>
      <c r="E56" s="1670">
        <v>0.06</v>
      </c>
      <c r="F56" s="1654">
        <f>M56</f>
        <v>1576000</v>
      </c>
      <c r="G56" s="1691"/>
      <c r="H56" s="1692"/>
      <c r="I56" s="1628">
        <f>G56/$F$9</f>
        <v>0</v>
      </c>
      <c r="J56" s="1051"/>
      <c r="K56" s="1055" t="s">
        <v>985</v>
      </c>
      <c r="L56" s="1056"/>
      <c r="M56" s="1515">
        <f>SUM(M57:M58)</f>
        <v>1576000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4" t="s">
        <v>778</v>
      </c>
      <c r="D57" s="1624"/>
      <c r="E57" s="1693">
        <v>6.5000000000000002E-2</v>
      </c>
      <c r="F57" s="1654"/>
      <c r="G57" s="1694">
        <f>E57*F56</f>
        <v>102440</v>
      </c>
      <c r="H57" s="1695"/>
      <c r="I57" s="1628">
        <f t="shared" si="0"/>
        <v>673.9473684210526</v>
      </c>
      <c r="J57" s="1003"/>
      <c r="K57" s="1057"/>
      <c r="L57" s="1058"/>
      <c r="M57" s="1059">
        <f>(5000*F9)*1.6</f>
        <v>1216000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102440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4" t="s">
        <v>779</v>
      </c>
      <c r="D58" s="1624"/>
      <c r="E58" s="1633"/>
      <c r="F58" s="1654"/>
      <c r="G58" s="1694">
        <v>30000</v>
      </c>
      <c r="H58" s="1695"/>
      <c r="I58" s="1628">
        <f t="shared" si="0"/>
        <v>197.36842105263159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9" t="s">
        <v>967</v>
      </c>
      <c r="D59" s="1646"/>
      <c r="E59" s="1696"/>
      <c r="F59" s="1697"/>
      <c r="G59" s="1698">
        <f>SUM(G54:G58)-SUM(F75:F76,G78:G79,G67:G69)</f>
        <v>1528296.9781249999</v>
      </c>
      <c r="H59" s="1699"/>
      <c r="I59" s="1628">
        <f t="shared" si="0"/>
        <v>10054.585382401316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1872240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6" t="s">
        <v>968</v>
      </c>
      <c r="D60" s="1624"/>
      <c r="E60" s="1690"/>
      <c r="F60" s="1654"/>
      <c r="G60" s="1691"/>
      <c r="H60" s="1692"/>
      <c r="I60" s="1628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4" t="s">
        <v>386</v>
      </c>
      <c r="D61" s="1624"/>
      <c r="E61" s="1690"/>
      <c r="F61" s="1671"/>
      <c r="G61" s="1648">
        <v>0</v>
      </c>
      <c r="H61" s="1649"/>
      <c r="I61" s="1628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4"/>
      <c r="D62" s="1624" t="s">
        <v>777</v>
      </c>
      <c r="E62" s="1690"/>
      <c r="F62" s="1661">
        <v>0</v>
      </c>
      <c r="G62" s="1691"/>
      <c r="H62" s="1692"/>
      <c r="I62" s="1628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4"/>
      <c r="D63" s="1624" t="s">
        <v>386</v>
      </c>
      <c r="E63" s="1680">
        <v>0.06</v>
      </c>
      <c r="F63" s="1654">
        <v>0</v>
      </c>
      <c r="G63" s="1691"/>
      <c r="H63" s="1692"/>
      <c r="I63" s="1628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4" t="s">
        <v>778</v>
      </c>
      <c r="D64" s="1624"/>
      <c r="E64" s="1633">
        <v>0.15</v>
      </c>
      <c r="F64" s="1700"/>
      <c r="G64" s="1701">
        <f>+E64*F63</f>
        <v>0</v>
      </c>
      <c r="H64" s="1647"/>
      <c r="I64" s="1628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9" t="s">
        <v>781</v>
      </c>
      <c r="D65" s="1646"/>
      <c r="E65" s="1696"/>
      <c r="F65" s="1702"/>
      <c r="G65" s="1687">
        <f>SUM(G61:G64)</f>
        <v>0</v>
      </c>
      <c r="H65" s="1688"/>
      <c r="I65" s="1628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9" t="s">
        <v>369</v>
      </c>
      <c r="D66" s="1624"/>
      <c r="E66" s="1690"/>
      <c r="F66" s="1671"/>
      <c r="G66" s="1648"/>
      <c r="H66" s="1649"/>
      <c r="I66" s="1628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4" t="s">
        <v>782</v>
      </c>
      <c r="D67" s="1632"/>
      <c r="E67" s="1680">
        <v>2.5000000000000001E-3</v>
      </c>
      <c r="F67" s="1681"/>
      <c r="G67" s="1648">
        <f>(E67*G46)</f>
        <v>152943.02187500003</v>
      </c>
      <c r="H67" s="1649"/>
      <c r="I67" s="1628">
        <f t="shared" si="0"/>
        <v>1006.204091282895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152943.02187500003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4" t="s">
        <v>784</v>
      </c>
      <c r="D68" s="1632"/>
      <c r="E68" s="1703">
        <v>0</v>
      </c>
      <c r="F68" s="1681"/>
      <c r="G68" s="1701">
        <v>7000</v>
      </c>
      <c r="H68" s="1647"/>
      <c r="I68" s="1628">
        <f t="shared" si="0"/>
        <v>46.05263157894737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4" t="s">
        <v>396</v>
      </c>
      <c r="D69" s="1632"/>
      <c r="E69" s="1703"/>
      <c r="F69" s="1681"/>
      <c r="G69" s="1701">
        <f>F70+F71+F72+F73</f>
        <v>95000</v>
      </c>
      <c r="H69" s="1647"/>
      <c r="I69" s="1628">
        <f t="shared" si="0"/>
        <v>625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4"/>
      <c r="D70" s="1624" t="s">
        <v>785</v>
      </c>
      <c r="E70" s="1703"/>
      <c r="F70" s="1647">
        <v>0</v>
      </c>
      <c r="G70" s="1704"/>
      <c r="H70" s="1659"/>
      <c r="I70" s="1628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9"/>
      <c r="D71" s="1624" t="s">
        <v>787</v>
      </c>
      <c r="E71" s="1703"/>
      <c r="F71" s="1647">
        <v>8000</v>
      </c>
      <c r="G71" s="1704"/>
      <c r="H71" s="1659"/>
      <c r="I71" s="1628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9"/>
      <c r="D72" s="1624" t="s">
        <v>788</v>
      </c>
      <c r="E72" s="1703"/>
      <c r="F72" s="1647">
        <v>42000</v>
      </c>
      <c r="G72" s="1704"/>
      <c r="H72" s="1659"/>
      <c r="I72" s="1628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9"/>
      <c r="D73" s="1624" t="s">
        <v>774</v>
      </c>
      <c r="E73" s="1703"/>
      <c r="F73" s="1647">
        <v>45000</v>
      </c>
      <c r="G73" s="1704"/>
      <c r="H73" s="1659"/>
      <c r="I73" s="1628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4" t="s">
        <v>105</v>
      </c>
      <c r="D74" s="1632"/>
      <c r="E74" s="1705"/>
      <c r="F74" s="1681"/>
      <c r="G74" s="1648">
        <f>SUM(F75:F76)</f>
        <v>25000</v>
      </c>
      <c r="H74" s="1649"/>
      <c r="I74" s="1628">
        <f t="shared" si="0"/>
        <v>164.47368421052633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2"/>
      <c r="D75" s="1624" t="s">
        <v>789</v>
      </c>
      <c r="E75" s="1705"/>
      <c r="F75" s="1681">
        <v>20000</v>
      </c>
      <c r="G75" s="1648"/>
      <c r="H75" s="1649"/>
      <c r="I75" s="1628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2"/>
      <c r="D76" s="1624" t="s">
        <v>790</v>
      </c>
      <c r="E76" s="1705"/>
      <c r="F76" s="1681">
        <v>5000</v>
      </c>
      <c r="G76" s="1648"/>
      <c r="H76" s="1649"/>
      <c r="I76" s="1628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2"/>
      <c r="D77" s="1624" t="s">
        <v>791</v>
      </c>
      <c r="E77" s="1705"/>
      <c r="F77" s="1681">
        <v>0</v>
      </c>
      <c r="G77" s="1648"/>
      <c r="H77" s="1649"/>
      <c r="I77" s="1628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4" t="s">
        <v>792</v>
      </c>
      <c r="D78" s="1632"/>
      <c r="E78" s="1690"/>
      <c r="F78" s="1654"/>
      <c r="G78" s="1631">
        <v>30000</v>
      </c>
      <c r="H78" s="1628"/>
      <c r="I78" s="1628">
        <f t="shared" si="0"/>
        <v>197.36842105263159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4" t="s">
        <v>793</v>
      </c>
      <c r="D79" s="1632"/>
      <c r="E79" s="1690"/>
      <c r="F79" s="1654"/>
      <c r="G79" s="1631">
        <v>34000</v>
      </c>
      <c r="H79" s="1628"/>
      <c r="I79" s="1628">
        <f t="shared" si="0"/>
        <v>223.68421052631578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9" t="s">
        <v>796</v>
      </c>
      <c r="D80" s="1646"/>
      <c r="E80" s="1685"/>
      <c r="F80" s="1686"/>
      <c r="G80" s="1687">
        <f>SUM(G67:G79)</f>
        <v>343943.02187500003</v>
      </c>
      <c r="H80" s="1688"/>
      <c r="I80" s="1628">
        <f t="shared" si="0"/>
        <v>2262.783038651316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343943.02187500003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9" t="s">
        <v>797</v>
      </c>
      <c r="D81" s="1624"/>
      <c r="E81" s="1680"/>
      <c r="F81" s="1681"/>
      <c r="G81" s="1648"/>
      <c r="H81" s="1649"/>
      <c r="I81" s="1628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4" t="s">
        <v>798</v>
      </c>
      <c r="D82" s="1624"/>
      <c r="E82" s="1680"/>
      <c r="F82" s="1681"/>
      <c r="G82" s="1691">
        <v>0</v>
      </c>
      <c r="H82" s="1692"/>
      <c r="I82" s="1628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2"/>
      <c r="D83" s="1624" t="s">
        <v>969</v>
      </c>
      <c r="E83" s="1706">
        <v>4.08</v>
      </c>
      <c r="F83" s="1654">
        <v>0</v>
      </c>
      <c r="G83" s="1691"/>
      <c r="H83" s="1692"/>
      <c r="I83" s="1628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2"/>
      <c r="D84" s="1624"/>
      <c r="E84" s="1706"/>
      <c r="F84" s="1654"/>
      <c r="G84" s="1691"/>
      <c r="H84" s="1692"/>
      <c r="I84" s="1628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2"/>
      <c r="D85" s="1624"/>
      <c r="E85" s="1706"/>
      <c r="F85" s="1654"/>
      <c r="G85" s="1691"/>
      <c r="H85" s="1692"/>
      <c r="I85" s="1628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2"/>
      <c r="D86" s="1624"/>
      <c r="E86" s="1706"/>
      <c r="F86" s="1654"/>
      <c r="G86" s="1691"/>
      <c r="H86" s="1692"/>
      <c r="I86" s="1628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2"/>
      <c r="D87" s="1624"/>
      <c r="E87" s="1706"/>
      <c r="F87" s="1654"/>
      <c r="G87" s="1691"/>
      <c r="H87" s="1692"/>
      <c r="I87" s="1628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2"/>
      <c r="D88" s="1624"/>
      <c r="E88" s="1707"/>
      <c r="F88" s="1654">
        <v>0</v>
      </c>
      <c r="G88" s="1691"/>
      <c r="H88" s="1692"/>
      <c r="I88" s="1628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2"/>
      <c r="D89" s="1624"/>
      <c r="E89" s="1708">
        <v>0</v>
      </c>
      <c r="F89" s="1654">
        <v>0</v>
      </c>
      <c r="G89" s="1691"/>
      <c r="H89" s="1692"/>
      <c r="I89" s="1628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2" t="s">
        <v>414</v>
      </c>
      <c r="D90" s="1624"/>
      <c r="E90" s="1632"/>
      <c r="F90" s="1654"/>
      <c r="G90" s="1691">
        <f>SUM(F91:F96)</f>
        <v>2537086</v>
      </c>
      <c r="H90" s="1692"/>
      <c r="I90" s="1628">
        <f t="shared" si="3"/>
        <v>16691.355263157893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2537086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2"/>
      <c r="D91" s="1624" t="s">
        <v>800</v>
      </c>
      <c r="E91" s="1680"/>
      <c r="F91" s="1709">
        <v>51432</v>
      </c>
      <c r="G91" s="1691">
        <v>100000</v>
      </c>
      <c r="H91" s="1692"/>
      <c r="I91" s="1628">
        <f t="shared" si="3"/>
        <v>657.89473684210532</v>
      </c>
      <c r="J91" s="1046"/>
      <c r="K91" s="1068" t="s">
        <v>801</v>
      </c>
      <c r="L91" s="1025"/>
      <c r="M91" s="1516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2"/>
      <c r="D92" s="1624" t="s">
        <v>803</v>
      </c>
      <c r="E92" s="1680"/>
      <c r="F92" s="1710">
        <v>11500</v>
      </c>
      <c r="G92" s="1691"/>
      <c r="H92" s="1692"/>
      <c r="I92" s="1628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2"/>
      <c r="D93" s="1624" t="s">
        <v>804</v>
      </c>
      <c r="E93" s="1711"/>
      <c r="F93" s="1712">
        <v>285455</v>
      </c>
      <c r="G93" s="1691"/>
      <c r="H93" s="1692"/>
      <c r="I93" s="1628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2"/>
      <c r="D94" s="1624" t="s">
        <v>536</v>
      </c>
      <c r="E94" s="1632"/>
      <c r="F94" s="1710">
        <f>M94</f>
        <v>1791624</v>
      </c>
      <c r="G94" s="1691"/>
      <c r="H94" s="1692"/>
      <c r="I94" s="1628">
        <f t="shared" si="3"/>
        <v>0</v>
      </c>
      <c r="J94" s="1046"/>
      <c r="K94" s="1068" t="s">
        <v>801</v>
      </c>
      <c r="L94" s="1025"/>
      <c r="M94" s="1516">
        <f>11787*F9</f>
        <v>1791624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2"/>
      <c r="D95" s="1624" t="s">
        <v>805</v>
      </c>
      <c r="E95" s="1707">
        <v>2600</v>
      </c>
      <c r="F95" s="1712">
        <f>E95*F9</f>
        <v>395200</v>
      </c>
      <c r="G95" s="1691"/>
      <c r="H95" s="1692"/>
      <c r="I95" s="1628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2"/>
      <c r="D96" s="1624" t="s">
        <v>806</v>
      </c>
      <c r="E96" s="1670">
        <v>0</v>
      </c>
      <c r="F96" s="1712">
        <v>1875</v>
      </c>
      <c r="G96" s="1691"/>
      <c r="H96" s="1692"/>
      <c r="I96" s="1628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9" t="s">
        <v>807</v>
      </c>
      <c r="D97" s="1646"/>
      <c r="E97" s="1685"/>
      <c r="F97" s="1686"/>
      <c r="G97" s="1687">
        <f>SUM(G82:G96)</f>
        <v>2637086</v>
      </c>
      <c r="H97" s="1688"/>
      <c r="I97" s="1628">
        <f t="shared" si="3"/>
        <v>17349.25</v>
      </c>
      <c r="J97" s="1048"/>
      <c r="K97" s="1080">
        <f>I97/I250</f>
        <v>3.336394230769231E-2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2637086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9" t="s">
        <v>808</v>
      </c>
      <c r="D98" s="1624"/>
      <c r="E98" s="1680"/>
      <c r="F98" s="1681"/>
      <c r="G98" s="1691"/>
      <c r="H98" s="1692"/>
      <c r="I98" s="1628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4" t="s">
        <v>809</v>
      </c>
      <c r="D99" s="1624"/>
      <c r="E99" s="1680"/>
      <c r="F99" s="1681"/>
      <c r="G99" s="1691">
        <f>SUM(F100:F101)</f>
        <v>0</v>
      </c>
      <c r="H99" s="1692"/>
      <c r="I99" s="1628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2"/>
      <c r="D100" s="1624" t="s">
        <v>810</v>
      </c>
      <c r="E100" s="1695"/>
      <c r="F100" s="1656">
        <v>0</v>
      </c>
      <c r="G100" s="1691"/>
      <c r="H100" s="1692"/>
      <c r="I100" s="1628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2"/>
      <c r="D101" s="1624" t="s">
        <v>811</v>
      </c>
      <c r="E101" s="1632"/>
      <c r="F101" s="1656">
        <v>0</v>
      </c>
      <c r="G101" s="1691"/>
      <c r="H101" s="1692"/>
      <c r="I101" s="1628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2" t="s">
        <v>813</v>
      </c>
      <c r="D102" s="1624"/>
      <c r="E102" s="1632"/>
      <c r="F102" s="1654"/>
      <c r="G102" s="1691">
        <f>SUM(F103:F105)</f>
        <v>252447.76871126809</v>
      </c>
      <c r="H102" s="1692"/>
      <c r="I102" s="1628">
        <f t="shared" si="3"/>
        <v>1660.8405836267636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252447.76871126809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2"/>
      <c r="D103" s="1624" t="s">
        <v>810</v>
      </c>
      <c r="E103" s="1713">
        <v>0.05</v>
      </c>
      <c r="F103" s="1654">
        <f>E103*N103</f>
        <v>237447.76871126809</v>
      </c>
      <c r="G103" s="1691"/>
      <c r="H103" s="1692"/>
      <c r="I103" s="1628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4691201.1904880498</v>
      </c>
      <c r="N103" s="1085">
        <v>4748955.3742253613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2"/>
      <c r="D104" s="1624" t="s">
        <v>817</v>
      </c>
      <c r="E104" s="1632"/>
      <c r="F104" s="1654"/>
      <c r="G104" s="1691"/>
      <c r="H104" s="1692"/>
      <c r="I104" s="1628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2"/>
      <c r="D105" s="1624" t="s">
        <v>818</v>
      </c>
      <c r="E105" s="1632"/>
      <c r="F105" s="1654">
        <v>15000</v>
      </c>
      <c r="G105" s="1691"/>
      <c r="H105" s="1692"/>
      <c r="I105" s="1628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2" t="s">
        <v>819</v>
      </c>
      <c r="D106" s="1624"/>
      <c r="E106" s="1632"/>
      <c r="F106" s="1654"/>
      <c r="G106" s="1691">
        <f>SUM(F107:F109)</f>
        <v>0</v>
      </c>
      <c r="H106" s="1692"/>
      <c r="I106" s="1628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2"/>
      <c r="D107" s="1624" t="s">
        <v>810</v>
      </c>
      <c r="E107" s="1632"/>
      <c r="F107" s="1654">
        <f>N107</f>
        <v>0</v>
      </c>
      <c r="G107" s="1691"/>
      <c r="H107" s="1692"/>
      <c r="I107" s="1628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2"/>
      <c r="D108" s="1624" t="s">
        <v>817</v>
      </c>
      <c r="E108" s="1632"/>
      <c r="F108" s="1654">
        <f>N108</f>
        <v>0</v>
      </c>
      <c r="G108" s="1691"/>
      <c r="H108" s="1692"/>
      <c r="I108" s="1628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2"/>
      <c r="D109" s="1624" t="s">
        <v>818</v>
      </c>
      <c r="E109" s="1632"/>
      <c r="F109" s="1654"/>
      <c r="G109" s="1691"/>
      <c r="H109" s="1692"/>
      <c r="I109" s="1628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2" t="s">
        <v>820</v>
      </c>
      <c r="D110" s="1624"/>
      <c r="E110" s="1632"/>
      <c r="F110" s="1654"/>
      <c r="G110" s="1691">
        <f>SUM(F111:F113)</f>
        <v>0</v>
      </c>
      <c r="H110" s="1692"/>
      <c r="I110" s="1628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2"/>
      <c r="D111" s="1624" t="s">
        <v>810</v>
      </c>
      <c r="E111" s="1632"/>
      <c r="F111" s="1654">
        <f>N111</f>
        <v>0</v>
      </c>
      <c r="G111" s="1691"/>
      <c r="H111" s="1692"/>
      <c r="I111" s="1628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2"/>
      <c r="D112" s="1624" t="s">
        <v>817</v>
      </c>
      <c r="E112" s="1632"/>
      <c r="F112" s="1654">
        <f>N112</f>
        <v>0</v>
      </c>
      <c r="G112" s="1691"/>
      <c r="H112" s="1692"/>
      <c r="I112" s="1628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2"/>
      <c r="D113" s="1624" t="s">
        <v>818</v>
      </c>
      <c r="E113" s="1632"/>
      <c r="F113" s="1654"/>
      <c r="G113" s="1691"/>
      <c r="H113" s="1692"/>
      <c r="I113" s="1628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9" t="s">
        <v>821</v>
      </c>
      <c r="D114" s="1646"/>
      <c r="E114" s="1696"/>
      <c r="F114" s="1702"/>
      <c r="G114" s="1687">
        <f>SUM(G99:G110)</f>
        <v>252447.76871126809</v>
      </c>
      <c r="H114" s="1688"/>
      <c r="I114" s="1628">
        <f t="shared" si="3"/>
        <v>1660.8405836267636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252447.76871126809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6" t="s">
        <v>822</v>
      </c>
      <c r="D115" s="1624"/>
      <c r="E115" s="1690"/>
      <c r="F115" s="1654"/>
      <c r="G115" s="1648"/>
      <c r="H115" s="1649"/>
      <c r="I115" s="1628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4" t="s">
        <v>109</v>
      </c>
      <c r="D116" s="1714"/>
      <c r="E116" s="1715"/>
      <c r="F116" s="1716"/>
      <c r="G116" s="1717">
        <f>N116</f>
        <v>4497719.2800543327</v>
      </c>
      <c r="H116" s="1718"/>
      <c r="I116" s="1628">
        <f t="shared" si="3"/>
        <v>29590.258421410083</v>
      </c>
      <c r="J116" s="1088"/>
      <c r="K116" s="1089" t="s">
        <v>823</v>
      </c>
      <c r="L116" s="1039"/>
      <c r="M116" s="1090">
        <f>0.5*Data!C20*Data!C17/12*Data!C19</f>
        <v>3622008.0000000009</v>
      </c>
      <c r="N116" s="1091">
        <v>4497719.2800543327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4497719.2800543327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4" t="s">
        <v>824</v>
      </c>
      <c r="D117" s="1624"/>
      <c r="E117" s="1690"/>
      <c r="F117" s="1654"/>
      <c r="G117" s="1719">
        <f>N117</f>
        <v>637974.36596515356</v>
      </c>
      <c r="H117" s="1720"/>
      <c r="I117" s="1628">
        <f t="shared" si="3"/>
        <v>4197.199776086537</v>
      </c>
      <c r="J117" s="1003"/>
      <c r="K117" s="1093" t="s">
        <v>825</v>
      </c>
      <c r="L117" s="1094"/>
      <c r="M117" s="1095">
        <f>0.01*Data!C20</f>
        <v>513760</v>
      </c>
      <c r="N117" s="1085">
        <v>637974.36596515356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637974.36596515356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4" t="s">
        <v>826</v>
      </c>
      <c r="D118" s="1624"/>
      <c r="E118" s="1690"/>
      <c r="F118" s="1654"/>
      <c r="G118" s="1719"/>
      <c r="H118" s="1720"/>
      <c r="I118" s="1628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4" t="s">
        <v>829</v>
      </c>
      <c r="D119" s="1624"/>
      <c r="E119" s="1690"/>
      <c r="F119" s="1654"/>
      <c r="G119" s="1719"/>
      <c r="H119" s="1720"/>
      <c r="I119" s="1628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4" t="s">
        <v>830</v>
      </c>
      <c r="D120" s="1624"/>
      <c r="E120" s="1721">
        <f>'Tax Calc'!E3</f>
        <v>1.199398E-2</v>
      </c>
      <c r="F120" s="1659"/>
      <c r="G120" s="1648">
        <f>'Tax Calc'!C15</f>
        <v>296251.30599999998</v>
      </c>
      <c r="H120" s="1649"/>
      <c r="I120" s="1628">
        <f t="shared" si="3"/>
        <v>1949.0217499999999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296251.30599999998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4" t="s">
        <v>408</v>
      </c>
      <c r="D121" s="1624"/>
      <c r="E121" s="1722"/>
      <c r="F121" s="1654"/>
      <c r="G121" s="1694">
        <f>SUM(F122:F124)</f>
        <v>849267.01356131269</v>
      </c>
      <c r="H121" s="1695"/>
      <c r="I121" s="1628">
        <f t="shared" si="3"/>
        <v>5587.2829839560045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849267.01356131269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4"/>
      <c r="D122" s="1624" t="s">
        <v>831</v>
      </c>
      <c r="E122" s="1632"/>
      <c r="F122" s="1654">
        <v>0</v>
      </c>
      <c r="G122" s="1691"/>
      <c r="H122" s="1692"/>
      <c r="I122" s="1628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4"/>
      <c r="D123" s="1624" t="s">
        <v>832</v>
      </c>
      <c r="E123" s="1723"/>
      <c r="F123" s="1724">
        <f>'Insurance Estimator'!E19*1.35</f>
        <v>849267.01356131269</v>
      </c>
      <c r="G123" s="1691"/>
      <c r="H123" s="1692"/>
      <c r="I123" s="1628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4"/>
      <c r="D124" s="1624" t="s">
        <v>834</v>
      </c>
      <c r="E124" s="1690"/>
      <c r="F124" s="1654">
        <v>0</v>
      </c>
      <c r="G124" s="1691"/>
      <c r="H124" s="1692"/>
      <c r="I124" s="1628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4" t="s">
        <v>835</v>
      </c>
      <c r="D125" s="1624"/>
      <c r="E125" s="1690"/>
      <c r="F125" s="1654"/>
      <c r="G125" s="1691">
        <f>SUM(F126:F127)</f>
        <v>105696.15489477303</v>
      </c>
      <c r="H125" s="1692"/>
      <c r="I125" s="1628">
        <f t="shared" si="3"/>
        <v>695.36944009719105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105696.15489477303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4"/>
      <c r="D126" s="1624" t="s">
        <v>836</v>
      </c>
      <c r="E126" s="1723">
        <v>1.5E-3</v>
      </c>
      <c r="F126" s="1654">
        <f>N126</f>
        <v>95696.154894773033</v>
      </c>
      <c r="G126" s="1691"/>
      <c r="H126" s="1692"/>
      <c r="I126" s="1628">
        <f t="shared" si="3"/>
        <v>0</v>
      </c>
      <c r="J126" s="1046"/>
      <c r="K126" s="1049"/>
      <c r="L126" s="1015"/>
      <c r="M126" s="1095">
        <f>+E126*Data!C20</f>
        <v>77064</v>
      </c>
      <c r="N126" s="1085">
        <v>95696.154894773033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4"/>
      <c r="D127" s="1624" t="s">
        <v>837</v>
      </c>
      <c r="E127" s="1690"/>
      <c r="F127" s="1654">
        <v>10000</v>
      </c>
      <c r="G127" s="1691"/>
      <c r="H127" s="1692"/>
      <c r="I127" s="1628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4" t="s">
        <v>838</v>
      </c>
      <c r="D128" s="1624"/>
      <c r="E128" s="1690"/>
      <c r="F128" s="1654"/>
      <c r="G128" s="1691">
        <f>SUM(F129:F131)</f>
        <v>15400</v>
      </c>
      <c r="H128" s="1692"/>
      <c r="I128" s="1628">
        <f t="shared" si="3"/>
        <v>101.31578947368421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4"/>
      <c r="D129" s="1624" t="s">
        <v>839</v>
      </c>
      <c r="E129" s="1690"/>
      <c r="F129" s="1654">
        <v>10000</v>
      </c>
      <c r="G129" s="1691"/>
      <c r="H129" s="1692"/>
      <c r="I129" s="1628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4"/>
      <c r="D130" s="1624" t="s">
        <v>840</v>
      </c>
      <c r="E130" s="1632">
        <v>600</v>
      </c>
      <c r="F130" s="1654">
        <v>2400</v>
      </c>
      <c r="G130" s="1691"/>
      <c r="H130" s="1692"/>
      <c r="I130" s="1628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4"/>
      <c r="D131" s="1624" t="s">
        <v>841</v>
      </c>
      <c r="E131" s="1690"/>
      <c r="F131" s="1654">
        <v>3000</v>
      </c>
      <c r="G131" s="1691"/>
      <c r="H131" s="1692"/>
      <c r="I131" s="1628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4" t="s">
        <v>842</v>
      </c>
      <c r="D132" s="1714"/>
      <c r="E132" s="1725" t="s">
        <v>843</v>
      </c>
      <c r="F132" s="1726">
        <v>0</v>
      </c>
      <c r="G132" s="1727"/>
      <c r="H132" s="1728"/>
      <c r="I132" s="1628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9"/>
      <c r="D133" s="1729"/>
      <c r="E133" s="1730"/>
      <c r="F133" s="1731"/>
      <c r="G133" s="1732"/>
      <c r="H133" s="1729"/>
      <c r="I133" s="1628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2"/>
      <c r="D134" s="1632"/>
      <c r="E134" s="1733"/>
      <c r="F134" s="1731"/>
      <c r="G134" s="1734"/>
      <c r="H134" s="1632"/>
      <c r="I134" s="1628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2"/>
      <c r="D135" s="1632"/>
      <c r="E135" s="1632"/>
      <c r="F135" s="1731"/>
      <c r="G135" s="1734"/>
      <c r="H135" s="1632"/>
      <c r="I135" s="1628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2"/>
      <c r="D136" s="1632"/>
      <c r="E136" s="1733"/>
      <c r="F136" s="1731"/>
      <c r="G136" s="1734"/>
      <c r="H136" s="1632"/>
      <c r="I136" s="1628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2"/>
      <c r="D137" s="1632"/>
      <c r="E137" s="1632"/>
      <c r="F137" s="1731"/>
      <c r="G137" s="1734"/>
      <c r="H137" s="1632"/>
      <c r="I137" s="1628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2"/>
      <c r="D138" s="1632"/>
      <c r="E138" s="1632"/>
      <c r="F138" s="1731"/>
      <c r="G138" s="1734"/>
      <c r="H138" s="1632"/>
      <c r="I138" s="1628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2"/>
      <c r="D139" s="1632"/>
      <c r="E139" s="1632"/>
      <c r="F139" s="1731"/>
      <c r="G139" s="1734"/>
      <c r="H139" s="1632"/>
      <c r="I139" s="1628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2"/>
      <c r="D140" s="1632"/>
      <c r="E140" s="1632"/>
      <c r="F140" s="1731"/>
      <c r="G140" s="1734"/>
      <c r="H140" s="1632"/>
      <c r="I140" s="1628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2"/>
      <c r="D141" s="1632"/>
      <c r="E141" s="1632"/>
      <c r="F141" s="1731"/>
      <c r="G141" s="1734"/>
      <c r="H141" s="1632"/>
      <c r="I141" s="1628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2"/>
      <c r="D142" s="1632"/>
      <c r="E142" s="1632"/>
      <c r="F142" s="1731"/>
      <c r="G142" s="1734"/>
      <c r="H142" s="1632"/>
      <c r="I142" s="1628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2"/>
      <c r="D143" s="1632"/>
      <c r="E143" s="1632"/>
      <c r="F143" s="1731"/>
      <c r="G143" s="1734"/>
      <c r="H143" s="1632"/>
      <c r="I143" s="1628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2"/>
      <c r="D144" s="1632"/>
      <c r="E144" s="1632"/>
      <c r="F144" s="1731"/>
      <c r="G144" s="1734"/>
      <c r="H144" s="1632"/>
      <c r="I144" s="1628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2"/>
      <c r="D145" s="1632"/>
      <c r="E145" s="1632"/>
      <c r="F145" s="1731"/>
      <c r="G145" s="1734"/>
      <c r="H145" s="1632"/>
      <c r="I145" s="1628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2"/>
      <c r="D146" s="1632"/>
      <c r="E146" s="1733"/>
      <c r="F146" s="1731"/>
      <c r="G146" s="1734"/>
      <c r="H146" s="1632"/>
      <c r="I146" s="1628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2"/>
      <c r="D147" s="1632"/>
      <c r="E147" s="1632"/>
      <c r="F147" s="1731"/>
      <c r="G147" s="1734"/>
      <c r="H147" s="1632"/>
      <c r="I147" s="1628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9" t="s">
        <v>861</v>
      </c>
      <c r="D148" s="1646"/>
      <c r="E148" s="1696"/>
      <c r="F148" s="1697"/>
      <c r="G148" s="1698">
        <f>SUM(G116:G147)</f>
        <v>6402308.1204755725</v>
      </c>
      <c r="H148" s="1699"/>
      <c r="I148" s="1628">
        <f t="shared" si="6"/>
        <v>42120.448161023502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6402308.1204755725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6" t="s">
        <v>997</v>
      </c>
      <c r="D149" s="1624"/>
      <c r="E149" s="1690"/>
      <c r="F149" s="1654"/>
      <c r="G149" s="1691"/>
      <c r="H149" s="1692"/>
      <c r="I149" s="1628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4"/>
      <c r="D150" s="1624"/>
      <c r="E150" s="1690"/>
      <c r="F150" s="1654"/>
      <c r="G150" s="1691">
        <f>N150</f>
        <v>0</v>
      </c>
      <c r="H150" s="1692"/>
      <c r="I150" s="1628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4" t="s">
        <v>862</v>
      </c>
      <c r="D151" s="1624"/>
      <c r="E151" s="1680"/>
      <c r="F151" s="1654"/>
      <c r="G151" s="1691">
        <f>N151</f>
        <v>562224.77195673715</v>
      </c>
      <c r="H151" s="1684"/>
      <c r="I151" s="1628">
        <f t="shared" ref="I151:I158" si="7">G151/$F$9</f>
        <v>3698.8471839259023</v>
      </c>
      <c r="J151" s="1046"/>
      <c r="K151" s="1136" t="s">
        <v>863</v>
      </c>
      <c r="L151" s="1137"/>
      <c r="M151" s="1403">
        <f>Data!C31*Data!C30</f>
        <v>562224.77195673715</v>
      </c>
      <c r="N151" s="1191">
        <v>562224.77195673715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4" t="s">
        <v>864</v>
      </c>
      <c r="D152" s="1624"/>
      <c r="E152" s="1690"/>
      <c r="F152" s="1654"/>
      <c r="G152" s="1691">
        <f>SUM(F153:F154)</f>
        <v>0</v>
      </c>
      <c r="H152" s="1692"/>
      <c r="I152" s="1628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4"/>
      <c r="D153" s="1624" t="s">
        <v>836</v>
      </c>
      <c r="E153" s="1690"/>
      <c r="F153" s="1654">
        <v>0</v>
      </c>
      <c r="G153" s="1691"/>
      <c r="H153" s="1692"/>
      <c r="I153" s="1628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4"/>
      <c r="D154" s="1624" t="s">
        <v>837</v>
      </c>
      <c r="E154" s="1690"/>
      <c r="F154" s="1654">
        <v>0</v>
      </c>
      <c r="G154" s="1691"/>
      <c r="H154" s="1692"/>
      <c r="I154" s="1628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4" t="s">
        <v>205</v>
      </c>
      <c r="D155" s="1624"/>
      <c r="E155" s="1690"/>
      <c r="F155" s="1654"/>
      <c r="G155" s="1691">
        <f>SUM(F156:F158)</f>
        <v>0</v>
      </c>
      <c r="H155" s="1692"/>
      <c r="I155" s="1628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4"/>
      <c r="D156" s="1624" t="s">
        <v>865</v>
      </c>
      <c r="E156" s="1735">
        <v>0</v>
      </c>
      <c r="F156" s="1712"/>
      <c r="G156" s="1691"/>
      <c r="H156" s="1692"/>
      <c r="I156" s="1628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4"/>
      <c r="D157" s="1624" t="s">
        <v>866</v>
      </c>
      <c r="E157" s="1736"/>
      <c r="F157" s="1712"/>
      <c r="G157" s="1691"/>
      <c r="H157" s="1692"/>
      <c r="I157" s="1628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4"/>
      <c r="D158" s="1624" t="s">
        <v>866</v>
      </c>
      <c r="E158" s="1690"/>
      <c r="F158" s="1654"/>
      <c r="G158" s="1691"/>
      <c r="H158" s="1692"/>
      <c r="I158" s="1628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9" t="s">
        <v>867</v>
      </c>
      <c r="D159" s="1624"/>
      <c r="E159" s="1690"/>
      <c r="F159" s="1654"/>
      <c r="G159" s="1691"/>
      <c r="H159" s="1692"/>
      <c r="I159" s="1628"/>
      <c r="J159" s="1046"/>
      <c r="K159" s="1054"/>
      <c r="L159" s="1001"/>
      <c r="M159" s="1361" t="s">
        <v>1037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6" t="s">
        <v>966</v>
      </c>
      <c r="D160" s="1624"/>
      <c r="E160" s="1690"/>
      <c r="F160" s="1654"/>
      <c r="G160" s="1691"/>
      <c r="H160" s="1692"/>
      <c r="I160" s="1628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4" t="s">
        <v>963</v>
      </c>
      <c r="D161" s="1624"/>
      <c r="E161" s="1690"/>
      <c r="F161" s="1654"/>
      <c r="G161" s="1691">
        <f>N161</f>
        <v>0</v>
      </c>
      <c r="H161" s="1692"/>
      <c r="I161" s="1628"/>
      <c r="J161" s="1046"/>
      <c r="K161" s="1054"/>
      <c r="L161" s="1001"/>
      <c r="M161" s="1189">
        <f>37500+(Data!C38*0.0005)</f>
        <v>37500</v>
      </c>
      <c r="N161" s="1190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4" t="s">
        <v>862</v>
      </c>
      <c r="D162" s="1624"/>
      <c r="E162" s="1680"/>
      <c r="F162" s="1654"/>
      <c r="G162" s="1691">
        <f>N162</f>
        <v>0</v>
      </c>
      <c r="H162" s="1684"/>
      <c r="I162" s="1628">
        <f t="shared" si="6"/>
        <v>0</v>
      </c>
      <c r="J162" s="1046"/>
      <c r="K162" s="1136" t="s">
        <v>863</v>
      </c>
      <c r="L162" s="1137"/>
      <c r="M162" s="1189">
        <f>Data!C38*Data!C39</f>
        <v>0</v>
      </c>
      <c r="N162" s="1191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4" t="s">
        <v>864</v>
      </c>
      <c r="D163" s="1624"/>
      <c r="E163" s="1690"/>
      <c r="F163" s="1654"/>
      <c r="G163" s="1691">
        <f>SUM(F164:F165)</f>
        <v>0</v>
      </c>
      <c r="H163" s="1692"/>
      <c r="I163" s="1628">
        <f t="shared" si="6"/>
        <v>0</v>
      </c>
      <c r="J163" s="1046"/>
      <c r="K163" s="1049"/>
      <c r="L163" s="1015"/>
      <c r="M163" s="1403">
        <f>0.015*Data!C38*2</f>
        <v>0</v>
      </c>
      <c r="N163" s="1190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4"/>
      <c r="D164" s="1624" t="s">
        <v>836</v>
      </c>
      <c r="E164" s="1690"/>
      <c r="F164" s="1654">
        <v>0</v>
      </c>
      <c r="G164" s="1691"/>
      <c r="H164" s="1692"/>
      <c r="I164" s="1628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4"/>
      <c r="D165" s="1624" t="s">
        <v>837</v>
      </c>
      <c r="E165" s="1690"/>
      <c r="F165" s="1654">
        <v>0</v>
      </c>
      <c r="G165" s="1691"/>
      <c r="H165" s="1692"/>
      <c r="I165" s="1628">
        <f t="shared" si="6"/>
        <v>0</v>
      </c>
      <c r="J165" s="1046"/>
      <c r="K165" s="1054"/>
      <c r="L165" s="1001"/>
      <c r="M165" s="1361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4" t="s">
        <v>205</v>
      </c>
      <c r="D166" s="1624"/>
      <c r="E166" s="1690"/>
      <c r="F166" s="1654"/>
      <c r="G166" s="1691">
        <f>SUM(F167:F169)</f>
        <v>0</v>
      </c>
      <c r="H166" s="1692"/>
      <c r="I166" s="1628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4"/>
      <c r="D167" s="1624" t="s">
        <v>1089</v>
      </c>
      <c r="E167" s="1735"/>
      <c r="F167" s="1712">
        <f>N163</f>
        <v>0</v>
      </c>
      <c r="G167" s="1691"/>
      <c r="H167" s="1692"/>
      <c r="I167" s="1628">
        <f t="shared" si="6"/>
        <v>0</v>
      </c>
      <c r="J167" s="1046"/>
      <c r="K167" s="1054"/>
      <c r="L167" s="1001"/>
      <c r="M167" s="1090">
        <f>Data!C20*24*(Data!C33/12)</f>
        <v>4623840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4"/>
      <c r="D168" s="1624" t="s">
        <v>866</v>
      </c>
      <c r="E168" s="1736"/>
      <c r="F168" s="1712"/>
      <c r="G168" s="1691"/>
      <c r="H168" s="1692"/>
      <c r="I168" s="1628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4"/>
      <c r="D169" s="1624" t="s">
        <v>866</v>
      </c>
      <c r="E169" s="1690"/>
      <c r="F169" s="1654"/>
      <c r="G169" s="1691"/>
      <c r="H169" s="1692"/>
      <c r="I169" s="1628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9" t="s">
        <v>867</v>
      </c>
      <c r="D170" s="1646"/>
      <c r="E170" s="1696"/>
      <c r="F170" s="1697"/>
      <c r="G170" s="1698">
        <f>SUM(G162:G166)</f>
        <v>0</v>
      </c>
      <c r="H170" s="1699"/>
      <c r="I170" s="1628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6" t="s">
        <v>119</v>
      </c>
      <c r="D171" s="1624"/>
      <c r="E171" s="1690"/>
      <c r="F171" s="1654"/>
      <c r="G171" s="1691"/>
      <c r="H171" s="1692"/>
      <c r="I171" s="1628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4" t="s">
        <v>868</v>
      </c>
      <c r="D172" s="1624"/>
      <c r="E172" s="1690"/>
      <c r="F172" s="1654"/>
      <c r="G172" s="1691">
        <v>60000</v>
      </c>
      <c r="H172" s="1692"/>
      <c r="I172" s="1628">
        <f t="shared" si="6"/>
        <v>394.73684210526318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4" t="s">
        <v>869</v>
      </c>
      <c r="D173" s="1624"/>
      <c r="E173" s="1690"/>
      <c r="F173" s="1654"/>
      <c r="G173" s="1691">
        <f>SUM(F174:F175)</f>
        <v>50000</v>
      </c>
      <c r="H173" s="1692"/>
      <c r="I173" s="1628">
        <f t="shared" si="6"/>
        <v>328.94736842105266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4"/>
      <c r="D174" s="1624" t="s">
        <v>870</v>
      </c>
      <c r="E174" s="1690"/>
      <c r="F174" s="1724">
        <v>50000</v>
      </c>
      <c r="G174" s="1737"/>
      <c r="H174" s="1722"/>
      <c r="I174" s="1628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4"/>
      <c r="D175" s="1624" t="s">
        <v>205</v>
      </c>
      <c r="E175" s="1690"/>
      <c r="F175" s="1654">
        <v>0</v>
      </c>
      <c r="G175" s="1691"/>
      <c r="H175" s="1692"/>
      <c r="I175" s="1628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9" t="s">
        <v>872</v>
      </c>
      <c r="D176" s="1646"/>
      <c r="E176" s="1696"/>
      <c r="F176" s="1697"/>
      <c r="G176" s="1698">
        <f>SUM(G172:G173)</f>
        <v>110000</v>
      </c>
      <c r="H176" s="1699"/>
      <c r="I176" s="1628">
        <f t="shared" si="6"/>
        <v>723.68421052631584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6" t="s">
        <v>125</v>
      </c>
      <c r="D177" s="1624"/>
      <c r="E177" s="1690"/>
      <c r="F177" s="1654"/>
      <c r="G177" s="1691"/>
      <c r="H177" s="1692"/>
      <c r="I177" s="1628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4" t="s">
        <v>873</v>
      </c>
      <c r="D178" s="1624"/>
      <c r="E178" s="1629">
        <v>3</v>
      </c>
      <c r="F178" s="1654"/>
      <c r="G178" s="1683">
        <f>E178*(-'Cash Flow'!E18/12)-'Cash Flow'!E22</f>
        <v>4130991.4453824316</v>
      </c>
      <c r="H178" s="1684"/>
      <c r="I178" s="1628">
        <f t="shared" si="6"/>
        <v>27177.57529856863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4130991.4453824316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4" t="s">
        <v>875</v>
      </c>
      <c r="D179" s="1714"/>
      <c r="E179" s="1715"/>
      <c r="F179" s="1738" t="s">
        <v>876</v>
      </c>
      <c r="G179" s="1727" t="b">
        <v>0</v>
      </c>
      <c r="H179" s="1728"/>
      <c r="I179" s="1628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4" t="s">
        <v>254</v>
      </c>
      <c r="D180" s="1714"/>
      <c r="E180" s="1690"/>
      <c r="F180" s="1654"/>
      <c r="G180" s="1727">
        <v>0</v>
      </c>
      <c r="H180" s="1692"/>
      <c r="I180" s="1628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9" t="s">
        <v>879</v>
      </c>
      <c r="D181" s="1646"/>
      <c r="E181" s="1696"/>
      <c r="F181" s="1697"/>
      <c r="G181" s="1698">
        <f>SUM(G178:G180)</f>
        <v>4130991.4453824316</v>
      </c>
      <c r="H181" s="1699"/>
      <c r="I181" s="1628">
        <f t="shared" si="6"/>
        <v>27177.57529856863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4130991.4453824316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6" t="s">
        <v>410</v>
      </c>
      <c r="D182" s="1624"/>
      <c r="E182" s="1690"/>
      <c r="F182" s="1654"/>
      <c r="G182" s="1691"/>
      <c r="H182" s="1692"/>
      <c r="I182" s="1628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4" t="s">
        <v>880</v>
      </c>
      <c r="D183" s="1624"/>
      <c r="E183" s="1690"/>
      <c r="F183" s="1654"/>
      <c r="G183" s="1691">
        <f>SUM(F184:F185)</f>
        <v>13000</v>
      </c>
      <c r="H183" s="1692"/>
      <c r="I183" s="1628">
        <f t="shared" si="6"/>
        <v>85.526315789473685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2"/>
      <c r="D184" s="1624" t="s">
        <v>15</v>
      </c>
      <c r="E184" s="1690"/>
      <c r="F184" s="1654">
        <v>8000</v>
      </c>
      <c r="G184" s="1691"/>
      <c r="H184" s="1692"/>
      <c r="I184" s="1628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2"/>
      <c r="D185" s="1624" t="s">
        <v>881</v>
      </c>
      <c r="E185" s="1690"/>
      <c r="F185" s="1654">
        <v>5000</v>
      </c>
      <c r="G185" s="1691"/>
      <c r="H185" s="1692"/>
      <c r="I185" s="1628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4" t="s">
        <v>138</v>
      </c>
      <c r="D186" s="1624"/>
      <c r="E186" s="1690"/>
      <c r="F186" s="1654"/>
      <c r="G186" s="1691">
        <v>12000</v>
      </c>
      <c r="H186" s="1692"/>
      <c r="I186" s="1628">
        <f t="shared" si="6"/>
        <v>78.94736842105263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4" t="s">
        <v>882</v>
      </c>
      <c r="D187" s="1624"/>
      <c r="E187" s="1632"/>
      <c r="F187" s="1654"/>
      <c r="G187" s="1691">
        <v>0</v>
      </c>
      <c r="H187" s="1692"/>
      <c r="I187" s="1628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4" t="s">
        <v>883</v>
      </c>
      <c r="D188" s="1624"/>
      <c r="E188" s="1632"/>
      <c r="F188" s="1654"/>
      <c r="G188" s="1691">
        <v>0</v>
      </c>
      <c r="H188" s="1692"/>
      <c r="I188" s="1628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9" t="s">
        <v>884</v>
      </c>
      <c r="D189" s="1646"/>
      <c r="E189" s="1696"/>
      <c r="F189" s="1697"/>
      <c r="G189" s="1698">
        <f>SUM(G183:G188)</f>
        <v>25000</v>
      </c>
      <c r="H189" s="1699"/>
      <c r="I189" s="1628">
        <f t="shared" si="6"/>
        <v>164.47368421052633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6" t="s">
        <v>411</v>
      </c>
      <c r="D190" s="1624"/>
      <c r="E190" s="1632"/>
      <c r="F190" s="1654"/>
      <c r="G190" s="1691"/>
      <c r="H190" s="1692"/>
      <c r="I190" s="1628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9" t="s">
        <v>885</v>
      </c>
      <c r="D191" s="1624"/>
      <c r="E191" s="1629"/>
      <c r="F191" s="1654"/>
      <c r="G191" s="1683">
        <f>N191</f>
        <v>0</v>
      </c>
      <c r="H191" s="1684"/>
      <c r="I191" s="1628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4" t="s">
        <v>412</v>
      </c>
      <c r="D192" s="1739"/>
      <c r="E192" s="1632"/>
      <c r="F192" s="1654"/>
      <c r="G192" s="1691">
        <f>SUM(F193:F199)</f>
        <v>14500</v>
      </c>
      <c r="H192" s="1692"/>
      <c r="I192" s="1628">
        <f t="shared" si="6"/>
        <v>95.39473684210526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4"/>
      <c r="D193" s="1739" t="s">
        <v>886</v>
      </c>
      <c r="E193" s="1632"/>
      <c r="F193" s="1654">
        <v>2500</v>
      </c>
      <c r="G193" s="1691"/>
      <c r="H193" s="1692"/>
      <c r="I193" s="1628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4"/>
      <c r="D194" s="1739" t="s">
        <v>887</v>
      </c>
      <c r="E194" s="1632"/>
      <c r="F194" s="1654">
        <v>0</v>
      </c>
      <c r="G194" s="1691"/>
      <c r="H194" s="1692"/>
      <c r="I194" s="1628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4"/>
      <c r="D195" s="1739" t="s">
        <v>888</v>
      </c>
      <c r="E195" s="1632"/>
      <c r="F195" s="1654">
        <v>12000</v>
      </c>
      <c r="G195" s="1691"/>
      <c r="H195" s="1692"/>
      <c r="I195" s="1628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4"/>
      <c r="D196" s="1739" t="s">
        <v>889</v>
      </c>
      <c r="E196" s="1632"/>
      <c r="F196" s="1654">
        <v>0</v>
      </c>
      <c r="G196" s="1691"/>
      <c r="H196" s="1692"/>
      <c r="I196" s="1628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4"/>
      <c r="D197" s="1739" t="s">
        <v>890</v>
      </c>
      <c r="E197" s="1632"/>
      <c r="F197" s="1654">
        <v>0</v>
      </c>
      <c r="G197" s="1691"/>
      <c r="H197" s="1692"/>
      <c r="I197" s="1628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4"/>
      <c r="D198" s="1739" t="s">
        <v>891</v>
      </c>
      <c r="E198" s="1632"/>
      <c r="F198" s="1654">
        <v>0</v>
      </c>
      <c r="G198" s="1691"/>
      <c r="H198" s="1692"/>
      <c r="I198" s="1628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4"/>
      <c r="D199" s="1739" t="s">
        <v>892</v>
      </c>
      <c r="E199" s="1632"/>
      <c r="F199" s="1654">
        <v>0</v>
      </c>
      <c r="G199" s="1691"/>
      <c r="H199" s="1692"/>
      <c r="I199" s="1628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4" t="s">
        <v>893</v>
      </c>
      <c r="D200" s="1624"/>
      <c r="E200" s="1632"/>
      <c r="F200" s="1654"/>
      <c r="G200" s="1683">
        <f>SUM(F201:F205)</f>
        <v>93250</v>
      </c>
      <c r="H200" s="1684"/>
      <c r="I200" s="1628">
        <f t="shared" si="6"/>
        <v>613.48684210526312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2"/>
      <c r="D201" s="1624" t="s">
        <v>894</v>
      </c>
      <c r="E201" s="1703"/>
      <c r="F201" s="1654">
        <v>0</v>
      </c>
      <c r="G201" s="1683"/>
      <c r="H201" s="1684"/>
      <c r="I201" s="1628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2"/>
      <c r="D202" s="1624" t="s">
        <v>896</v>
      </c>
      <c r="E202" s="1632"/>
      <c r="F202" s="1654">
        <v>87750</v>
      </c>
      <c r="G202" s="1683"/>
      <c r="H202" s="1684"/>
      <c r="I202" s="1628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2"/>
      <c r="D203" s="1624" t="s">
        <v>897</v>
      </c>
      <c r="E203" s="1632"/>
      <c r="F203" s="1654">
        <v>2500</v>
      </c>
      <c r="G203" s="1683"/>
      <c r="H203" s="1684"/>
      <c r="I203" s="1628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2"/>
      <c r="D204" s="1624" t="s">
        <v>898</v>
      </c>
      <c r="E204" s="1632"/>
      <c r="F204" s="1654">
        <v>1500</v>
      </c>
      <c r="G204" s="1683"/>
      <c r="H204" s="1684"/>
      <c r="I204" s="1628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2"/>
      <c r="D205" s="1624" t="s">
        <v>899</v>
      </c>
      <c r="E205" s="1632"/>
      <c r="F205" s="1654">
        <v>1500</v>
      </c>
      <c r="G205" s="1683"/>
      <c r="H205" s="1684"/>
      <c r="I205" s="1628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4" t="s">
        <v>900</v>
      </c>
      <c r="D206" s="1624"/>
      <c r="E206" s="1632"/>
      <c r="F206" s="1654"/>
      <c r="G206" s="1691">
        <f>SUM(F207:F209)</f>
        <v>0</v>
      </c>
      <c r="H206" s="1692"/>
      <c r="I206" s="1628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4"/>
      <c r="D207" s="1624" t="s">
        <v>488</v>
      </c>
      <c r="E207" s="1632"/>
      <c r="F207" s="1654">
        <v>0</v>
      </c>
      <c r="G207" s="1691"/>
      <c r="H207" s="1692"/>
      <c r="I207" s="1628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4"/>
      <c r="D208" s="1624" t="s">
        <v>901</v>
      </c>
      <c r="E208" s="1632"/>
      <c r="F208" s="1654">
        <v>0</v>
      </c>
      <c r="G208" s="1691"/>
      <c r="H208" s="1692"/>
      <c r="I208" s="1628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4"/>
      <c r="D209" s="1624" t="s">
        <v>902</v>
      </c>
      <c r="E209" s="1632"/>
      <c r="F209" s="1654">
        <v>0</v>
      </c>
      <c r="G209" s="1691"/>
      <c r="H209" s="1692"/>
      <c r="I209" s="1628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4" t="s">
        <v>903</v>
      </c>
      <c r="D210" s="1624"/>
      <c r="E210" s="1632"/>
      <c r="F210" s="1654"/>
      <c r="G210" s="1683">
        <f>SUM(F211:F216)</f>
        <v>50000</v>
      </c>
      <c r="H210" s="1684"/>
      <c r="I210" s="1628">
        <f t="shared" si="6"/>
        <v>328.94736842105266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4"/>
      <c r="D211" s="1624" t="s">
        <v>904</v>
      </c>
      <c r="E211" s="1740">
        <v>2500</v>
      </c>
      <c r="F211" s="1654">
        <v>0</v>
      </c>
      <c r="G211" s="1683"/>
      <c r="H211" s="1684"/>
      <c r="I211" s="1628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4"/>
      <c r="D212" s="1624" t="s">
        <v>905</v>
      </c>
      <c r="E212" s="1632"/>
      <c r="F212" s="1654">
        <v>5000</v>
      </c>
      <c r="G212" s="1683"/>
      <c r="H212" s="1684"/>
      <c r="I212" s="1628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4"/>
      <c r="D213" s="1624" t="s">
        <v>906</v>
      </c>
      <c r="E213" s="1632"/>
      <c r="F213" s="1654">
        <v>15000</v>
      </c>
      <c r="G213" s="1683"/>
      <c r="H213" s="1684"/>
      <c r="I213" s="1628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4"/>
      <c r="D214" s="1624" t="s">
        <v>907</v>
      </c>
      <c r="E214" s="1632"/>
      <c r="F214" s="1654">
        <v>5000</v>
      </c>
      <c r="G214" s="1683"/>
      <c r="H214" s="1684"/>
      <c r="I214" s="1628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4"/>
      <c r="D215" s="1624" t="s">
        <v>908</v>
      </c>
      <c r="E215" s="1632"/>
      <c r="F215" s="1654">
        <v>20000</v>
      </c>
      <c r="G215" s="1683"/>
      <c r="H215" s="1684"/>
      <c r="I215" s="1628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4"/>
      <c r="D216" s="1624" t="s">
        <v>909</v>
      </c>
      <c r="E216" s="1632"/>
      <c r="F216" s="1654">
        <v>5000</v>
      </c>
      <c r="G216" s="1683"/>
      <c r="H216" s="1684"/>
      <c r="I216" s="1628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4" t="s">
        <v>910</v>
      </c>
      <c r="D217" s="1624"/>
      <c r="E217" s="1632"/>
      <c r="F217" s="1654"/>
      <c r="G217" s="1683">
        <f>SUM(F218:F220)</f>
        <v>0</v>
      </c>
      <c r="H217" s="1684"/>
      <c r="I217" s="1628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4"/>
      <c r="D218" s="1624" t="s">
        <v>488</v>
      </c>
      <c r="E218" s="1632"/>
      <c r="F218" s="1654">
        <v>0</v>
      </c>
      <c r="G218" s="1683"/>
      <c r="H218" s="1684"/>
      <c r="I218" s="1628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4"/>
      <c r="D219" s="1624" t="s">
        <v>107</v>
      </c>
      <c r="E219" s="1632"/>
      <c r="F219" s="1654">
        <v>0</v>
      </c>
      <c r="G219" s="1683"/>
      <c r="H219" s="1684"/>
      <c r="I219" s="1628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4"/>
      <c r="D220" s="1624" t="s">
        <v>912</v>
      </c>
      <c r="E220" s="1632"/>
      <c r="F220" s="1654">
        <v>0</v>
      </c>
      <c r="G220" s="1683"/>
      <c r="H220" s="1684"/>
      <c r="I220" s="1628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4" t="s">
        <v>913</v>
      </c>
      <c r="D221" s="1624"/>
      <c r="E221" s="1632"/>
      <c r="F221" s="1654"/>
      <c r="G221" s="1683">
        <f>SUM(F222:F230)</f>
        <v>281000</v>
      </c>
      <c r="H221" s="1684"/>
      <c r="I221" s="1628">
        <f t="shared" si="6"/>
        <v>1848.6842105263158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2"/>
      <c r="D222" s="1624" t="s">
        <v>225</v>
      </c>
      <c r="E222" s="1703">
        <v>0</v>
      </c>
      <c r="F222" s="1654">
        <v>0</v>
      </c>
      <c r="G222" s="1741"/>
      <c r="H222" s="1742"/>
      <c r="I222" s="1628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2"/>
      <c r="D223" s="1624" t="s">
        <v>416</v>
      </c>
      <c r="E223" s="1632"/>
      <c r="F223" s="1654">
        <v>25000</v>
      </c>
      <c r="G223" s="1683"/>
      <c r="H223" s="1684"/>
      <c r="I223" s="1628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2"/>
      <c r="D224" s="1624" t="s">
        <v>914</v>
      </c>
      <c r="E224" s="1740">
        <v>6500</v>
      </c>
      <c r="F224" s="1654">
        <f>E224*24</f>
        <v>156000</v>
      </c>
      <c r="G224" s="1683"/>
      <c r="H224" s="1684"/>
      <c r="I224" s="1628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2"/>
      <c r="D225" s="1624" t="s">
        <v>915</v>
      </c>
      <c r="E225" s="1632"/>
      <c r="F225" s="1654">
        <v>50000</v>
      </c>
      <c r="G225" s="1683"/>
      <c r="H225" s="1684"/>
      <c r="I225" s="1628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2"/>
      <c r="D226" s="1624" t="s">
        <v>916</v>
      </c>
      <c r="E226" s="1632"/>
      <c r="F226" s="1654">
        <v>0</v>
      </c>
      <c r="G226" s="1683"/>
      <c r="H226" s="1684"/>
      <c r="I226" s="1628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2"/>
      <c r="D227" s="1624" t="s">
        <v>917</v>
      </c>
      <c r="E227" s="1632"/>
      <c r="F227" s="1654">
        <v>50000</v>
      </c>
      <c r="G227" s="1683"/>
      <c r="H227" s="1684"/>
      <c r="I227" s="1628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2"/>
      <c r="D228" s="1624" t="s">
        <v>918</v>
      </c>
      <c r="E228" s="1632"/>
      <c r="F228" s="1654">
        <v>0</v>
      </c>
      <c r="G228" s="1683"/>
      <c r="H228" s="1684"/>
      <c r="I228" s="1628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2"/>
      <c r="D229" s="1624" t="s">
        <v>919</v>
      </c>
      <c r="E229" s="1632"/>
      <c r="F229" s="1654">
        <v>0</v>
      </c>
      <c r="G229" s="1683"/>
      <c r="H229" s="1684"/>
      <c r="I229" s="1628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2"/>
      <c r="D230" s="1624" t="s">
        <v>921</v>
      </c>
      <c r="E230" s="1632"/>
      <c r="F230" s="1654">
        <v>0</v>
      </c>
      <c r="G230" s="1683"/>
      <c r="H230" s="1684"/>
      <c r="I230" s="1628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4" t="s">
        <v>923</v>
      </c>
      <c r="D231" s="1624"/>
      <c r="E231" s="1632"/>
      <c r="F231" s="1654"/>
      <c r="G231" s="1683">
        <v>0</v>
      </c>
      <c r="H231" s="1684"/>
      <c r="I231" s="1628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4" t="s">
        <v>925</v>
      </c>
      <c r="D232" s="1624"/>
      <c r="E232" s="1632"/>
      <c r="F232" s="1654"/>
      <c r="G232" s="1683"/>
      <c r="H232" s="1684"/>
      <c r="I232" s="1628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4" t="s">
        <v>926</v>
      </c>
      <c r="D233" s="1624"/>
      <c r="E233" s="1743">
        <v>0.05</v>
      </c>
      <c r="F233" s="1681"/>
      <c r="G233" s="1691">
        <f>SUM(G190:G231,G189,G181,G176,G170,G148,G114,G97,G80)*E233</f>
        <v>717026.31782221363</v>
      </c>
      <c r="H233" s="1692"/>
      <c r="I233" s="1628">
        <f t="shared" si="8"/>
        <v>4717.2784067250896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717026.31782221363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9" t="s">
        <v>927</v>
      </c>
      <c r="D234" s="1646"/>
      <c r="E234" s="1744"/>
      <c r="F234" s="1697"/>
      <c r="G234" s="1745">
        <f>SUM(G191:G233)</f>
        <v>1155776.3178222138</v>
      </c>
      <c r="H234" s="1746"/>
      <c r="I234" s="1628">
        <f t="shared" si="8"/>
        <v>7603.7915646198271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1155776.3178222138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6" t="s">
        <v>151</v>
      </c>
      <c r="D235" s="1624"/>
      <c r="E235" s="1629"/>
      <c r="F235" s="1654"/>
      <c r="G235" s="1683"/>
      <c r="H235" s="1684"/>
      <c r="I235" s="1628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4" t="s">
        <v>152</v>
      </c>
      <c r="D236" s="1624"/>
      <c r="E236" s="1647"/>
      <c r="F236" s="1654"/>
      <c r="G236" s="1691">
        <v>2500000</v>
      </c>
      <c r="H236" s="1692"/>
      <c r="I236" s="1628">
        <f t="shared" si="8"/>
        <v>16447.36842105263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4" t="s">
        <v>146</v>
      </c>
      <c r="D237" s="1624"/>
      <c r="E237" s="1629"/>
      <c r="F237" s="1654"/>
      <c r="G237" s="1683">
        <v>0</v>
      </c>
      <c r="H237" s="1684"/>
      <c r="I237" s="1628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4" t="s">
        <v>144</v>
      </c>
      <c r="D238" s="1624"/>
      <c r="E238" s="1629"/>
      <c r="F238" s="1654"/>
      <c r="G238" s="1683">
        <f>SUM(F239:F241)</f>
        <v>20750</v>
      </c>
      <c r="H238" s="1684"/>
      <c r="I238" s="1628">
        <f t="shared" si="8"/>
        <v>136.51315789473685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4"/>
      <c r="D239" s="1624" t="s">
        <v>929</v>
      </c>
      <c r="E239" s="1634">
        <v>1300</v>
      </c>
      <c r="F239" s="1654">
        <v>3250</v>
      </c>
      <c r="G239" s="1683"/>
      <c r="H239" s="1684"/>
      <c r="I239" s="1628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4"/>
      <c r="D240" s="1624" t="s">
        <v>930</v>
      </c>
      <c r="E240" s="1629"/>
      <c r="F240" s="1724">
        <v>15000</v>
      </c>
      <c r="G240" s="1683"/>
      <c r="H240" s="1684"/>
      <c r="I240" s="1628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4"/>
      <c r="D241" s="1624" t="s">
        <v>931</v>
      </c>
      <c r="E241" s="1629"/>
      <c r="F241" s="1654">
        <v>2500</v>
      </c>
      <c r="G241" s="1683"/>
      <c r="H241" s="1684"/>
      <c r="I241" s="1628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9" t="s">
        <v>932</v>
      </c>
      <c r="D242" s="1646"/>
      <c r="E242" s="1747"/>
      <c r="F242" s="1697"/>
      <c r="G242" s="1698">
        <f>SUM(G236:G241)</f>
        <v>2520750</v>
      </c>
      <c r="H242" s="1699"/>
      <c r="I242" s="1628">
        <f>G242/$F$9</f>
        <v>16583.88157894737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6" t="s">
        <v>933</v>
      </c>
      <c r="D243" s="1624"/>
      <c r="E243" s="1748"/>
      <c r="F243" s="1681"/>
      <c r="G243" s="1691"/>
      <c r="H243" s="1692"/>
      <c r="I243" s="1628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4" t="s">
        <v>934</v>
      </c>
      <c r="D244" s="1632"/>
      <c r="E244" s="1749"/>
      <c r="F244" s="1681"/>
      <c r="G244" s="1691">
        <v>0</v>
      </c>
      <c r="H244" s="1692"/>
      <c r="I244" s="1628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4" t="s">
        <v>935</v>
      </c>
      <c r="D245" s="1632"/>
      <c r="E245" s="1748"/>
      <c r="F245" s="1681"/>
      <c r="G245" s="1691">
        <v>0</v>
      </c>
      <c r="H245" s="1692"/>
      <c r="I245" s="1628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4" t="s">
        <v>936</v>
      </c>
      <c r="D246" s="1632"/>
      <c r="E246" s="1748"/>
      <c r="F246" s="1681"/>
      <c r="G246" s="1691">
        <v>0</v>
      </c>
      <c r="H246" s="1692"/>
      <c r="I246" s="1628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4" t="s">
        <v>938</v>
      </c>
      <c r="D247" s="1632"/>
      <c r="E247" s="1750">
        <v>800</v>
      </c>
      <c r="F247" s="1681"/>
      <c r="G247" s="1691">
        <v>666.66666666666663</v>
      </c>
      <c r="H247" s="1692"/>
      <c r="I247" s="1628">
        <f t="shared" si="8"/>
        <v>4.3859649122807012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4" t="s">
        <v>939</v>
      </c>
      <c r="D248" s="1632"/>
      <c r="E248" s="1748"/>
      <c r="F248" s="1681"/>
      <c r="G248" s="1691">
        <v>2000</v>
      </c>
      <c r="H248" s="1692"/>
      <c r="I248" s="1628">
        <f t="shared" si="8"/>
        <v>13.157894736842104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9" t="s">
        <v>940</v>
      </c>
      <c r="D249" s="1646"/>
      <c r="E249" s="1747"/>
      <c r="F249" s="1697"/>
      <c r="G249" s="1698">
        <f>SUM(G244:G248)</f>
        <v>2666.6666666666665</v>
      </c>
      <c r="H249" s="1699"/>
      <c r="I249" s="1628">
        <f t="shared" si="8"/>
        <v>17.543859649122805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F9*I250</f>
        <v>79040000</v>
      </c>
      <c r="H250" s="1161"/>
      <c r="I250" s="1599">
        <v>520000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1046</v>
      </c>
    </row>
    <row r="254" spans="2:28">
      <c r="G254" s="1373">
        <f>G250/'Construction Calculation'!C14</f>
        <v>532.81561775333012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3" t="s">
        <v>10</v>
      </c>
      <c r="C4" s="1194">
        <f>'Rental Income'!D15</f>
        <v>152</v>
      </c>
      <c r="D4" s="507" t="s">
        <v>262</v>
      </c>
      <c r="E4" s="507"/>
      <c r="F4" s="507"/>
      <c r="G4" s="508"/>
    </row>
    <row r="5" spans="1:15">
      <c r="B5" s="1195" t="s">
        <v>11</v>
      </c>
      <c r="C5" s="700">
        <f>'Construction Calculation'!C19</f>
        <v>148344</v>
      </c>
      <c r="D5" t="s">
        <v>428</v>
      </c>
      <c r="G5" s="510"/>
    </row>
    <row r="6" spans="1:15">
      <c r="B6" s="1196" t="s">
        <v>12</v>
      </c>
      <c r="C6" s="700">
        <f>'Construction Calculation'!C14</f>
        <v>148344</v>
      </c>
      <c r="D6" t="s">
        <v>428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428</v>
      </c>
      <c r="G7" s="1197"/>
    </row>
    <row r="8" spans="1:15">
      <c r="B8" s="1196" t="s">
        <v>429</v>
      </c>
      <c r="C8" s="700">
        <f>'Construction Calculation'!C13</f>
        <v>24724</v>
      </c>
      <c r="D8" t="s">
        <v>428</v>
      </c>
      <c r="G8" s="510"/>
    </row>
    <row r="9" spans="1:15">
      <c r="B9" s="1196" t="s">
        <v>430</v>
      </c>
      <c r="C9" s="700">
        <f>'Construction Calculation'!C47</f>
        <v>76</v>
      </c>
      <c r="D9" t="s">
        <v>431</v>
      </c>
      <c r="G9" s="510"/>
    </row>
    <row r="10" spans="1:15" ht="16.5" thickBot="1">
      <c r="B10" s="511"/>
      <c r="C10" s="1198">
        <v>22630</v>
      </c>
      <c r="D10" s="512" t="s">
        <v>428</v>
      </c>
      <c r="E10" s="512"/>
      <c r="F10" s="512"/>
      <c r="G10" s="1199"/>
    </row>
    <row r="11" spans="1:15" ht="16.5" thickBot="1"/>
    <row r="12" spans="1:15">
      <c r="A12" s="1202" t="s">
        <v>432</v>
      </c>
      <c r="B12" s="1203"/>
      <c r="C12" s="1203"/>
      <c r="D12" s="1204"/>
      <c r="E12" s="58"/>
    </row>
    <row r="13" spans="1:15">
      <c r="A13" s="1205"/>
      <c r="B13" t="s">
        <v>433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434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435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436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444</v>
      </c>
      <c r="C18" s="55">
        <v>0.65</v>
      </c>
      <c r="D18" s="1206"/>
      <c r="M18" s="48"/>
    </row>
    <row r="19" spans="1:13">
      <c r="A19" s="1205"/>
      <c r="B19" t="s">
        <v>1101</v>
      </c>
      <c r="C19">
        <v>24</v>
      </c>
      <c r="D19" s="1206"/>
      <c r="K19" s="147"/>
      <c r="L19" s="147"/>
      <c r="M19" s="53"/>
    </row>
    <row r="20" spans="1:13">
      <c r="A20" s="1205"/>
      <c r="B20" t="s">
        <v>438</v>
      </c>
      <c r="C20" s="1201">
        <v>51376000</v>
      </c>
      <c r="D20" s="1221">
        <f>MIN(D22,GapCalc!D24)</f>
        <v>51376000</v>
      </c>
    </row>
    <row r="21" spans="1:13" ht="16.5" thickBot="1">
      <c r="A21" s="1205"/>
      <c r="B21" t="s">
        <v>110</v>
      </c>
      <c r="C21" s="482">
        <v>0.01</v>
      </c>
      <c r="D21" s="1206"/>
    </row>
    <row r="22" spans="1:13" ht="16.5" thickBot="1">
      <c r="A22" s="1205"/>
      <c r="C22" s="516" t="s">
        <v>1039</v>
      </c>
      <c r="D22" s="1237">
        <f>C18*'Development Budget'!G250</f>
        <v>51376000</v>
      </c>
      <c r="G22" s="147"/>
    </row>
    <row r="23" spans="1:13">
      <c r="A23" s="1275" t="s">
        <v>439</v>
      </c>
      <c r="B23" s="1216"/>
      <c r="C23" s="1216" t="s">
        <v>68</v>
      </c>
      <c r="D23" s="1216"/>
      <c r="E23" s="1236" t="s">
        <v>965</v>
      </c>
      <c r="F23" s="1228" t="s">
        <v>433</v>
      </c>
      <c r="G23" s="1379">
        <v>0.09</v>
      </c>
      <c r="H23" s="1229"/>
    </row>
    <row r="24" spans="1:13">
      <c r="A24" s="1217"/>
      <c r="B24" t="s">
        <v>433</v>
      </c>
      <c r="C24" s="1207">
        <v>6.0499999999999998E-2</v>
      </c>
      <c r="D24" s="1270">
        <f>PMT(C24/12,C25*12,C30)*12</f>
        <v>-3902991.4453824135</v>
      </c>
      <c r="E24" s="1230"/>
      <c r="G24" s="1223"/>
      <c r="H24" s="1231"/>
      <c r="K24" s="1270"/>
    </row>
    <row r="25" spans="1:13">
      <c r="A25" s="1217"/>
      <c r="B25" t="s">
        <v>1102</v>
      </c>
      <c r="C25">
        <v>34</v>
      </c>
      <c r="E25" s="1230"/>
      <c r="G25" s="1223"/>
      <c r="H25" s="1231"/>
    </row>
    <row r="26" spans="1:13" ht="16.5" thickBot="1">
      <c r="A26" s="1217"/>
      <c r="B26" t="s">
        <v>440</v>
      </c>
      <c r="C26">
        <v>1.2</v>
      </c>
      <c r="E26" s="1230"/>
      <c r="G26" s="1224"/>
      <c r="H26" s="1231"/>
    </row>
    <row r="27" spans="1:13" ht="16.5" thickTop="1">
      <c r="A27" s="1217"/>
      <c r="B27" t="s">
        <v>441</v>
      </c>
      <c r="C27" s="51">
        <f>'Cash Flow'!E21/Data!C26</f>
        <v>3902991.4453824316</v>
      </c>
      <c r="D27" s="40" t="s">
        <v>444</v>
      </c>
      <c r="E27" s="1230"/>
      <c r="G27" s="1225"/>
      <c r="H27" s="1231"/>
    </row>
    <row r="28" spans="1:13">
      <c r="A28" s="1217"/>
      <c r="B28" t="s">
        <v>442</v>
      </c>
      <c r="C28" s="482">
        <v>0.6</v>
      </c>
      <c r="D28" s="1362">
        <f>'Cash Flow'!E15/0.05*C28</f>
        <v>74475561.599999994</v>
      </c>
      <c r="E28" s="1230"/>
      <c r="F28" t="s">
        <v>1047</v>
      </c>
      <c r="G28" s="1226"/>
      <c r="H28" s="55">
        <v>1</v>
      </c>
    </row>
    <row r="29" spans="1:13">
      <c r="A29" s="1217"/>
      <c r="B29" t="s">
        <v>443</v>
      </c>
      <c r="C29">
        <v>34</v>
      </c>
      <c r="E29" s="1230"/>
      <c r="F29" t="s">
        <v>437</v>
      </c>
      <c r="G29" s="1226">
        <v>15</v>
      </c>
      <c r="H29" s="1231"/>
    </row>
    <row r="30" spans="1:13">
      <c r="A30" s="1217"/>
      <c r="B30" t="s">
        <v>438</v>
      </c>
      <c r="C30" s="1277">
        <v>56222477.195673719</v>
      </c>
      <c r="D30" s="1222">
        <f>-PV($C$24/12,$C$29*12,C27/12)</f>
        <v>56222477.195673719</v>
      </c>
      <c r="E30" s="1230"/>
      <c r="F30" t="s">
        <v>438</v>
      </c>
      <c r="G30" s="1227"/>
      <c r="H30" s="1222">
        <f>PV(G23,G29,-'Cash Flow'!E41*H28,)</f>
        <v>6292159.5971228527</v>
      </c>
    </row>
    <row r="31" spans="1:13" ht="16.5" thickBot="1">
      <c r="A31" s="1218"/>
      <c r="B31" s="1219" t="s">
        <v>110</v>
      </c>
      <c r="C31" s="1220">
        <v>0.01</v>
      </c>
      <c r="D31" s="1219"/>
      <c r="E31" s="1232"/>
      <c r="F31" s="1233" t="s">
        <v>110</v>
      </c>
      <c r="G31" s="1234">
        <v>0.01</v>
      </c>
      <c r="H31" s="1235"/>
    </row>
    <row r="32" spans="1:13">
      <c r="A32" s="1215" t="s">
        <v>1036</v>
      </c>
      <c r="E32" s="1209"/>
      <c r="G32" s="53"/>
    </row>
    <row r="33" spans="1:10">
      <c r="A33" s="1208"/>
      <c r="B33" t="s">
        <v>433</v>
      </c>
      <c r="C33" s="1207">
        <v>4.4999999999999998E-2</v>
      </c>
      <c r="E33" s="1209"/>
      <c r="I33" s="54"/>
    </row>
    <row r="34" spans="1:10">
      <c r="A34" s="1208"/>
      <c r="B34" t="s">
        <v>1102</v>
      </c>
      <c r="C34">
        <v>30</v>
      </c>
      <c r="E34" s="1210">
        <f>Data!M19</f>
        <v>0</v>
      </c>
      <c r="I34" s="318"/>
    </row>
    <row r="35" spans="1:10">
      <c r="A35" s="1208"/>
      <c r="B35" t="s">
        <v>440</v>
      </c>
      <c r="C35">
        <v>1.2</v>
      </c>
      <c r="E35" s="1209"/>
      <c r="I35" s="54"/>
    </row>
    <row r="36" spans="1:10">
      <c r="A36" s="1208"/>
      <c r="B36" t="s">
        <v>441</v>
      </c>
      <c r="C36" s="51">
        <f>'Cash Flow'!E21/Data!C35</f>
        <v>3902991.4453824316</v>
      </c>
      <c r="E36" s="1211">
        <f>-PV($C$33,$C$34,E34)</f>
        <v>0</v>
      </c>
      <c r="I36" s="1200"/>
    </row>
    <row r="37" spans="1:10" ht="16.5" thickBot="1">
      <c r="A37" s="1208"/>
      <c r="B37" t="s">
        <v>442</v>
      </c>
      <c r="C37" s="482">
        <v>0.8</v>
      </c>
      <c r="E37" s="1209"/>
    </row>
    <row r="38" spans="1:10" ht="16.5" thickBot="1">
      <c r="A38" s="1208"/>
      <c r="B38" t="s">
        <v>438</v>
      </c>
      <c r="C38" s="1277">
        <v>0</v>
      </c>
      <c r="D38" s="516" t="s">
        <v>1039</v>
      </c>
      <c r="E38" s="1237">
        <f>C37*GapCalc!D24</f>
        <v>63232000</v>
      </c>
    </row>
    <row r="39" spans="1:10">
      <c r="A39" s="1208"/>
      <c r="B39" t="s">
        <v>110</v>
      </c>
      <c r="C39" s="54">
        <f>C21</f>
        <v>0.01</v>
      </c>
      <c r="D39" t="s">
        <v>1053</v>
      </c>
      <c r="E39" s="1222">
        <f>PV($C$33/12,$C$34*12,-C36/12)</f>
        <v>64191576.271861799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4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315</v>
      </c>
      <c r="C19" s="1557" t="s">
        <v>1100</v>
      </c>
      <c r="D19" s="88">
        <v>1.2500000000000001E-2</v>
      </c>
      <c r="E19" s="95">
        <f>IF(C19="Abatement", 0, -'Tax Calc'!B10)</f>
        <v>-565107.06554108229</v>
      </c>
      <c r="F19" s="89">
        <f>E19*(1+$D$19)</f>
        <v>-572170.90386034583</v>
      </c>
      <c r="G19" s="89">
        <f t="shared" ref="G19:AH19" si="6">F19*(1+$D$19)</f>
        <v>-579323.04015860008</v>
      </c>
      <c r="H19" s="89">
        <f t="shared" si="6"/>
        <v>-586564.57816058258</v>
      </c>
      <c r="I19" s="89">
        <f t="shared" si="6"/>
        <v>-593896.63538758981</v>
      </c>
      <c r="J19" s="89">
        <f t="shared" si="6"/>
        <v>-601320.34332993464</v>
      </c>
      <c r="K19" s="89">
        <f t="shared" si="6"/>
        <v>-608836.84762155882</v>
      </c>
      <c r="L19" s="89">
        <f t="shared" si="6"/>
        <v>-616447.30821682827</v>
      </c>
      <c r="M19" s="89">
        <f t="shared" si="6"/>
        <v>-624152.89956953865</v>
      </c>
      <c r="N19" s="89">
        <f t="shared" si="6"/>
        <v>-631954.81081415783</v>
      </c>
      <c r="O19" s="89">
        <f t="shared" si="6"/>
        <v>-639854.24594933481</v>
      </c>
      <c r="P19" s="89">
        <f t="shared" si="6"/>
        <v>-647852.42402370146</v>
      </c>
      <c r="Q19" s="89">
        <f t="shared" si="6"/>
        <v>-655950.57932399772</v>
      </c>
      <c r="R19" s="89">
        <f t="shared" si="6"/>
        <v>-664149.96156554762</v>
      </c>
      <c r="S19" s="90">
        <f t="shared" si="6"/>
        <v>-672451.83608511696</v>
      </c>
      <c r="T19" s="89">
        <f t="shared" si="6"/>
        <v>-680857.48403618089</v>
      </c>
      <c r="U19" s="89">
        <f t="shared" si="6"/>
        <v>-689368.20258663315</v>
      </c>
      <c r="V19" s="89">
        <f t="shared" si="6"/>
        <v>-697985.30511896603</v>
      </c>
      <c r="W19" s="89">
        <f t="shared" si="6"/>
        <v>-706710.12143295305</v>
      </c>
      <c r="X19" s="89">
        <f t="shared" si="6"/>
        <v>-715543.99795086496</v>
      </c>
      <c r="Y19" s="89">
        <f t="shared" si="6"/>
        <v>-724488.29792525072</v>
      </c>
      <c r="Z19" s="89">
        <f t="shared" si="6"/>
        <v>-733544.40164931631</v>
      </c>
      <c r="AA19" s="89">
        <f t="shared" si="6"/>
        <v>-742713.7066699327</v>
      </c>
      <c r="AB19" s="89">
        <f t="shared" si="6"/>
        <v>-751997.6280033068</v>
      </c>
      <c r="AC19" s="89">
        <f t="shared" si="6"/>
        <v>-761397.59835334809</v>
      </c>
      <c r="AD19" s="89">
        <f t="shared" si="6"/>
        <v>-770915.0683327649</v>
      </c>
      <c r="AE19" s="89">
        <f t="shared" si="6"/>
        <v>-780551.50668692437</v>
      </c>
      <c r="AF19" s="89">
        <f t="shared" si="6"/>
        <v>-790308.40052051086</v>
      </c>
      <c r="AG19" s="89">
        <f t="shared" si="6"/>
        <v>-800187.25552701717</v>
      </c>
      <c r="AH19" s="89">
        <f t="shared" si="6"/>
        <v>-810189.59622110485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4683589.7344589178</v>
      </c>
      <c r="F21" s="95">
        <f t="shared" si="8"/>
        <v>4799763.3161396543</v>
      </c>
      <c r="G21" s="95">
        <f t="shared" si="8"/>
        <v>4918610.3353413995</v>
      </c>
      <c r="H21" s="95">
        <f t="shared" si="8"/>
        <v>5040187.5597269163</v>
      </c>
      <c r="I21" s="95">
        <f t="shared" si="8"/>
        <v>5164552.7989270957</v>
      </c>
      <c r="J21" s="95">
        <f t="shared" si="8"/>
        <v>5291764.9170769174</v>
      </c>
      <c r="K21" s="95">
        <f t="shared" si="8"/>
        <v>5421883.8451879639</v>
      </c>
      <c r="L21" s="95">
        <f t="shared" si="8"/>
        <v>5554970.5933366707</v>
      </c>
      <c r="M21" s="95">
        <f t="shared" si="8"/>
        <v>5691087.2626463659</v>
      </c>
      <c r="N21" s="95">
        <f t="shared" si="8"/>
        <v>5830297.0570400367</v>
      </c>
      <c r="O21" s="95">
        <f t="shared" si="8"/>
        <v>5972664.2947395109</v>
      </c>
      <c r="P21" s="95">
        <f t="shared" si="8"/>
        <v>6118254.4194854982</v>
      </c>
      <c r="Q21" s="95">
        <f t="shared" si="8"/>
        <v>6267134.0114516756</v>
      </c>
      <c r="R21" s="95">
        <f t="shared" si="8"/>
        <v>6419370.7978245178</v>
      </c>
      <c r="S21" s="96">
        <f t="shared" si="8"/>
        <v>6575033.6630192772</v>
      </c>
      <c r="T21" s="95">
        <f t="shared" si="8"/>
        <v>6734192.6585009322</v>
      </c>
      <c r="U21" s="95">
        <f t="shared" si="8"/>
        <v>6896919.0121774497</v>
      </c>
      <c r="V21" s="95">
        <f t="shared" si="8"/>
        <v>7063285.137330981</v>
      </c>
      <c r="W21" s="95">
        <f t="shared" si="8"/>
        <v>7233364.6410510931</v>
      </c>
      <c r="X21" s="95">
        <f t="shared" si="8"/>
        <v>7407232.3321321812</v>
      </c>
      <c r="Y21" s="95">
        <f t="shared" si="8"/>
        <v>7584964.2283955636</v>
      </c>
      <c r="Z21" s="95">
        <f t="shared" si="8"/>
        <v>7766637.5633947086</v>
      </c>
      <c r="AA21" s="95">
        <f t="shared" si="8"/>
        <v>7952330.7924601678</v>
      </c>
      <c r="AB21" s="95">
        <f t="shared" si="8"/>
        <v>8142123.5980386175</v>
      </c>
      <c r="AC21" s="95">
        <f t="shared" si="8"/>
        <v>8336096.8942783708</v>
      </c>
      <c r="AD21" s="95">
        <f t="shared" si="8"/>
        <v>8534332.8308113478</v>
      </c>
      <c r="AE21" s="95">
        <f t="shared" si="8"/>
        <v>8736914.7956792768</v>
      </c>
      <c r="AF21" s="95">
        <f t="shared" si="8"/>
        <v>8943927.4173493497</v>
      </c>
      <c r="AG21" s="95">
        <f t="shared" si="8"/>
        <v>9155456.5657621529</v>
      </c>
      <c r="AH21" s="95">
        <f t="shared" si="8"/>
        <v>9371589.3523518983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-3902991.4453824316</v>
      </c>
      <c r="F22" s="95">
        <f t="shared" ref="F22:AH22" si="9">$E$22</f>
        <v>-3902991.4453824316</v>
      </c>
      <c r="G22" s="95">
        <f t="shared" si="9"/>
        <v>-3902991.4453824316</v>
      </c>
      <c r="H22" s="95">
        <f t="shared" si="9"/>
        <v>-3902991.4453824316</v>
      </c>
      <c r="I22" s="95">
        <f t="shared" si="9"/>
        <v>-3902991.4453824316</v>
      </c>
      <c r="J22" s="95">
        <f t="shared" si="9"/>
        <v>-3902991.4453824316</v>
      </c>
      <c r="K22" s="95">
        <f t="shared" si="9"/>
        <v>-3902991.4453824316</v>
      </c>
      <c r="L22" s="95">
        <f t="shared" si="9"/>
        <v>-3902991.4453824316</v>
      </c>
      <c r="M22" s="95">
        <f t="shared" si="9"/>
        <v>-3902991.4453824316</v>
      </c>
      <c r="N22" s="95">
        <f t="shared" si="9"/>
        <v>-3902991.4453824316</v>
      </c>
      <c r="O22" s="95">
        <f t="shared" si="9"/>
        <v>-3902991.4453824316</v>
      </c>
      <c r="P22" s="95">
        <f t="shared" si="9"/>
        <v>-3902991.4453824316</v>
      </c>
      <c r="Q22" s="95">
        <f t="shared" si="9"/>
        <v>-3902991.4453824316</v>
      </c>
      <c r="R22" s="95">
        <f t="shared" si="9"/>
        <v>-3902991.4453824316</v>
      </c>
      <c r="S22" s="96">
        <f t="shared" si="9"/>
        <v>-3902991.4453824316</v>
      </c>
      <c r="T22" s="95">
        <f t="shared" si="9"/>
        <v>-3902991.4453824316</v>
      </c>
      <c r="U22" s="95">
        <f t="shared" si="9"/>
        <v>-3902991.4453824316</v>
      </c>
      <c r="V22" s="95">
        <f t="shared" si="9"/>
        <v>-3902991.4453824316</v>
      </c>
      <c r="W22" s="95">
        <f t="shared" si="9"/>
        <v>-3902991.4453824316</v>
      </c>
      <c r="X22" s="95">
        <f t="shared" si="9"/>
        <v>-3902991.4453824316</v>
      </c>
      <c r="Y22" s="95">
        <f t="shared" si="9"/>
        <v>-3902991.4453824316</v>
      </c>
      <c r="Z22" s="95">
        <f t="shared" si="9"/>
        <v>-3902991.4453824316</v>
      </c>
      <c r="AA22" s="95">
        <f t="shared" si="9"/>
        <v>-3902991.4453824316</v>
      </c>
      <c r="AB22" s="95">
        <f t="shared" si="9"/>
        <v>-3902991.4453824316</v>
      </c>
      <c r="AC22" s="95">
        <f t="shared" si="9"/>
        <v>-3902991.4453824316</v>
      </c>
      <c r="AD22" s="95">
        <f t="shared" si="9"/>
        <v>-3902991.4453824316</v>
      </c>
      <c r="AE22" s="95">
        <f t="shared" si="9"/>
        <v>-3902991.4453824316</v>
      </c>
      <c r="AF22" s="95">
        <f t="shared" si="9"/>
        <v>-3902991.4453824316</v>
      </c>
      <c r="AG22" s="95">
        <f t="shared" si="9"/>
        <v>-3902991.4453824316</v>
      </c>
      <c r="AH22" s="95">
        <f t="shared" si="9"/>
        <v>-3902991.4453824316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780598.28907648614</v>
      </c>
      <c r="F25" s="119">
        <f t="shared" ref="F25:AH25" si="11">+F21+F22+F23</f>
        <v>896771.87075722264</v>
      </c>
      <c r="G25" s="119">
        <f t="shared" si="11"/>
        <v>1015618.8899589679</v>
      </c>
      <c r="H25" s="119">
        <f t="shared" si="11"/>
        <v>1137196.1143444846</v>
      </c>
      <c r="I25" s="119">
        <f t="shared" si="11"/>
        <v>1261561.3535446641</v>
      </c>
      <c r="J25" s="119">
        <f t="shared" si="11"/>
        <v>1388773.4716944858</v>
      </c>
      <c r="K25" s="119">
        <f t="shared" si="11"/>
        <v>1518892.3998055323</v>
      </c>
      <c r="L25" s="119">
        <f t="shared" si="11"/>
        <v>1651979.147954239</v>
      </c>
      <c r="M25" s="119">
        <f t="shared" si="11"/>
        <v>1788095.8172639343</v>
      </c>
      <c r="N25" s="119">
        <f t="shared" si="11"/>
        <v>1927305.611657605</v>
      </c>
      <c r="O25" s="119">
        <f t="shared" si="11"/>
        <v>2069672.8493570792</v>
      </c>
      <c r="P25" s="119">
        <f t="shared" si="11"/>
        <v>2215262.9741030666</v>
      </c>
      <c r="Q25" s="119">
        <f t="shared" si="11"/>
        <v>2364142.5660692439</v>
      </c>
      <c r="R25" s="119">
        <f t="shared" si="11"/>
        <v>2516379.3524420862</v>
      </c>
      <c r="S25" s="160">
        <f t="shared" si="11"/>
        <v>2672042.2176368455</v>
      </c>
      <c r="T25" s="119">
        <f t="shared" si="11"/>
        <v>2831201.2131185005</v>
      </c>
      <c r="U25" s="119">
        <f t="shared" si="11"/>
        <v>2993927.566795018</v>
      </c>
      <c r="V25" s="119">
        <f t="shared" si="11"/>
        <v>3160293.6919485494</v>
      </c>
      <c r="W25" s="119">
        <f t="shared" si="11"/>
        <v>3330373.1956686615</v>
      </c>
      <c r="X25" s="119">
        <f t="shared" si="11"/>
        <v>3504240.8867497495</v>
      </c>
      <c r="Y25" s="119">
        <f t="shared" si="11"/>
        <v>3681972.7830131319</v>
      </c>
      <c r="Z25" s="119">
        <f t="shared" si="11"/>
        <v>3863646.1180122769</v>
      </c>
      <c r="AA25" s="119">
        <f t="shared" si="11"/>
        <v>4049339.3470777362</v>
      </c>
      <c r="AB25" s="119">
        <f t="shared" si="11"/>
        <v>4239132.1526561864</v>
      </c>
      <c r="AC25" s="119">
        <f t="shared" si="11"/>
        <v>4433105.4488959387</v>
      </c>
      <c r="AD25" s="119">
        <f t="shared" si="11"/>
        <v>4631341.3854289167</v>
      </c>
      <c r="AE25" s="119">
        <f t="shared" si="11"/>
        <v>4833923.3502968457</v>
      </c>
      <c r="AF25" s="119">
        <f t="shared" si="11"/>
        <v>5040935.9719669186</v>
      </c>
      <c r="AG25" s="119">
        <f t="shared" si="11"/>
        <v>5252465.1203797217</v>
      </c>
      <c r="AH25" s="119">
        <f t="shared" si="11"/>
        <v>5468597.9069694672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1.2297652667976455</v>
      </c>
      <c r="G27" s="122">
        <f t="shared" si="12"/>
        <v>1.2602155049969508</v>
      </c>
      <c r="H27" s="122">
        <f t="shared" si="12"/>
        <v>1.2913652592525877</v>
      </c>
      <c r="I27" s="122">
        <f t="shared" si="12"/>
        <v>1.3232293411857712</v>
      </c>
      <c r="J27" s="122">
        <f t="shared" si="12"/>
        <v>1.3558228325961417</v>
      </c>
      <c r="K27" s="122">
        <f t="shared" si="12"/>
        <v>1.3891610886317751</v>
      </c>
      <c r="L27" s="122">
        <f t="shared" si="12"/>
        <v>1.4232597409119792</v>
      </c>
      <c r="M27" s="122">
        <f t="shared" si="12"/>
        <v>1.4581347005972567</v>
      </c>
      <c r="N27" s="122">
        <f t="shared" si="12"/>
        <v>1.4938021614005252</v>
      </c>
      <c r="O27" s="122">
        <f t="shared" si="12"/>
        <v>1.5302786025333663</v>
      </c>
      <c r="P27" s="122">
        <f t="shared" si="12"/>
        <v>1.5675807915807527</v>
      </c>
      <c r="Q27" s="122">
        <f t="shared" si="12"/>
        <v>1.605725787297388</v>
      </c>
      <c r="R27" s="122">
        <f t="shared" si="12"/>
        <v>1.6447309423184044</v>
      </c>
      <c r="S27" s="161">
        <f t="shared" si="12"/>
        <v>1.6846139057768361</v>
      </c>
      <c r="T27" s="122">
        <f t="shared" si="12"/>
        <v>1.7253926258198824</v>
      </c>
      <c r="U27" s="122">
        <f t="shared" si="12"/>
        <v>1.7670853520155898</v>
      </c>
      <c r="V27" s="122">
        <f t="shared" si="12"/>
        <v>1.8097106376411467</v>
      </c>
      <c r="W27" s="122">
        <f t="shared" si="12"/>
        <v>1.8532873418435938</v>
      </c>
      <c r="X27" s="122">
        <f t="shared" si="12"/>
        <v>1.8978346316632495</v>
      </c>
      <c r="Y27" s="122">
        <f t="shared" si="12"/>
        <v>1.9433719839097308</v>
      </c>
      <c r="Z27" s="122">
        <f t="shared" si="12"/>
        <v>1.9899191868799242</v>
      </c>
      <c r="AA27" s="122">
        <f t="shared" si="12"/>
        <v>2.037496341906782</v>
      </c>
      <c r="AB27" s="122">
        <f t="shared" si="12"/>
        <v>2.0861238647272562</v>
      </c>
      <c r="AC27" s="122">
        <f t="shared" si="12"/>
        <v>2.1358224866571711</v>
      </c>
      <c r="AD27" s="122">
        <f t="shared" si="12"/>
        <v>2.1866132555602151</v>
      </c>
      <c r="AE27" s="122">
        <f t="shared" si="12"/>
        <v>2.2385175365976742</v>
      </c>
      <c r="AF27" s="122">
        <f t="shared" si="12"/>
        <v>2.2915570127448706</v>
      </c>
      <c r="AG27" s="122">
        <f t="shared" si="12"/>
        <v>2.3457536850596563</v>
      </c>
      <c r="AH27" s="122">
        <f t="shared" si="12"/>
        <v>2.4011298726875969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780598.28907648614</v>
      </c>
      <c r="F41" s="129">
        <f t="shared" ref="F41:S41" si="20">F25+F37</f>
        <v>896771.87075722264</v>
      </c>
      <c r="G41" s="129">
        <f t="shared" si="20"/>
        <v>1015618.8899589679</v>
      </c>
      <c r="H41" s="129">
        <f t="shared" si="20"/>
        <v>1137196.1143444846</v>
      </c>
      <c r="I41" s="129">
        <f t="shared" si="20"/>
        <v>1261561.3535446641</v>
      </c>
      <c r="J41" s="129">
        <f t="shared" si="20"/>
        <v>1388773.4716944858</v>
      </c>
      <c r="K41" s="129">
        <f t="shared" si="20"/>
        <v>1518892.3998055323</v>
      </c>
      <c r="L41" s="129">
        <f t="shared" si="20"/>
        <v>1651979.147954239</v>
      </c>
      <c r="M41" s="129">
        <f t="shared" si="20"/>
        <v>1788095.8172639343</v>
      </c>
      <c r="N41" s="129">
        <f t="shared" si="20"/>
        <v>1927305.611657605</v>
      </c>
      <c r="O41" s="129">
        <f t="shared" si="20"/>
        <v>2069672.8493570792</v>
      </c>
      <c r="P41" s="129">
        <f t="shared" si="20"/>
        <v>2215262.9741030666</v>
      </c>
      <c r="Q41" s="129">
        <f t="shared" si="20"/>
        <v>2364142.5660692439</v>
      </c>
      <c r="R41" s="129">
        <f t="shared" si="20"/>
        <v>2516379.3524420862</v>
      </c>
      <c r="S41" s="130">
        <f t="shared" si="20"/>
        <v>2672042.2176368455</v>
      </c>
      <c r="T41" s="130">
        <f t="shared" ref="T41:AH41" si="21">T25+T37</f>
        <v>2831201.2131185005</v>
      </c>
      <c r="U41" s="130">
        <f t="shared" si="21"/>
        <v>2993927.566795018</v>
      </c>
      <c r="V41" s="130">
        <f t="shared" si="21"/>
        <v>3160293.6919485494</v>
      </c>
      <c r="W41" s="130">
        <f t="shared" si="21"/>
        <v>3330373.1956686615</v>
      </c>
      <c r="X41" s="130">
        <f t="shared" si="21"/>
        <v>3504240.8867497495</v>
      </c>
      <c r="Y41" s="130">
        <f t="shared" si="21"/>
        <v>3681972.7830131319</v>
      </c>
      <c r="Z41" s="130">
        <f t="shared" si="21"/>
        <v>3863646.1180122769</v>
      </c>
      <c r="AA41" s="130">
        <f t="shared" si="21"/>
        <v>4049339.3470777362</v>
      </c>
      <c r="AB41" s="130">
        <f t="shared" si="21"/>
        <v>4239132.1526561864</v>
      </c>
      <c r="AC41" s="130">
        <f t="shared" si="21"/>
        <v>4433105.4488959387</v>
      </c>
      <c r="AD41" s="130">
        <f t="shared" si="21"/>
        <v>4631341.3854289167</v>
      </c>
      <c r="AE41" s="130">
        <f t="shared" si="21"/>
        <v>4833923.3502968457</v>
      </c>
      <c r="AF41" s="130">
        <f t="shared" si="21"/>
        <v>5040935.9719669186</v>
      </c>
      <c r="AG41" s="130">
        <f t="shared" si="21"/>
        <v>5252465.1203797217</v>
      </c>
      <c r="AH41" s="130">
        <f t="shared" si="21"/>
        <v>5468597.9069694672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663508.54571501317</v>
      </c>
      <c r="F42" s="129">
        <f t="shared" ref="F42:S42" si="22">((F41*$C$42))</f>
        <v>762256.09014363925</v>
      </c>
      <c r="G42" s="129">
        <f t="shared" si="22"/>
        <v>863276.05646512273</v>
      </c>
      <c r="H42" s="129">
        <f t="shared" si="22"/>
        <v>966616.69719281187</v>
      </c>
      <c r="I42" s="129">
        <f t="shared" si="22"/>
        <v>1072327.1505129645</v>
      </c>
      <c r="J42" s="129">
        <f t="shared" si="22"/>
        <v>1180457.4509403128</v>
      </c>
      <c r="K42" s="129">
        <f t="shared" si="22"/>
        <v>1291058.5398347024</v>
      </c>
      <c r="L42" s="129">
        <f t="shared" si="22"/>
        <v>1404182.2757611033</v>
      </c>
      <c r="M42" s="129">
        <f t="shared" si="22"/>
        <v>1519881.444674344</v>
      </c>
      <c r="N42" s="129">
        <f t="shared" si="22"/>
        <v>1638209.7699089642</v>
      </c>
      <c r="O42" s="129">
        <f t="shared" si="22"/>
        <v>1759221.9219535172</v>
      </c>
      <c r="P42" s="129">
        <f t="shared" si="22"/>
        <v>1882973.5279876066</v>
      </c>
      <c r="Q42" s="129">
        <f t="shared" si="22"/>
        <v>2009521.1811588572</v>
      </c>
      <c r="R42" s="129">
        <f t="shared" si="22"/>
        <v>2138922.4495757734</v>
      </c>
      <c r="S42" s="129">
        <f t="shared" si="22"/>
        <v>2271235.8849913185</v>
      </c>
      <c r="T42" s="129">
        <f t="shared" ref="T42:AH42" si="23">((T41*$C$42))</f>
        <v>2406521.0311507252</v>
      </c>
      <c r="U42" s="129">
        <f t="shared" si="23"/>
        <v>2544838.4317757655</v>
      </c>
      <c r="V42" s="129">
        <f t="shared" si="23"/>
        <v>2686249.6381562669</v>
      </c>
      <c r="W42" s="129">
        <f t="shared" si="23"/>
        <v>2830817.2163183624</v>
      </c>
      <c r="X42" s="129">
        <f t="shared" si="23"/>
        <v>2978604.7537372871</v>
      </c>
      <c r="Y42" s="129">
        <f t="shared" si="23"/>
        <v>3129676.8655611621</v>
      </c>
      <c r="Z42" s="129">
        <f t="shared" si="23"/>
        <v>3284099.2003104351</v>
      </c>
      <c r="AA42" s="129">
        <f t="shared" si="23"/>
        <v>3441938.4450160759</v>
      </c>
      <c r="AB42" s="129">
        <f t="shared" si="23"/>
        <v>3603262.3297577584</v>
      </c>
      <c r="AC42" s="129">
        <f t="shared" si="23"/>
        <v>3768139.631561548</v>
      </c>
      <c r="AD42" s="129">
        <f t="shared" si="23"/>
        <v>3936640.177614579</v>
      </c>
      <c r="AE42" s="129">
        <f t="shared" si="23"/>
        <v>4108834.8477523187</v>
      </c>
      <c r="AF42" s="129">
        <f t="shared" si="23"/>
        <v>4284795.5761718806</v>
      </c>
      <c r="AG42" s="129">
        <f t="shared" si="23"/>
        <v>4464595.3523227638</v>
      </c>
      <c r="AH42" s="129">
        <f t="shared" si="23"/>
        <v>4648308.2209240468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117089.74336147294</v>
      </c>
      <c r="F43" s="108">
        <f t="shared" ref="F43:S43" si="24">$C$43*(F41)</f>
        <v>134515.78061358343</v>
      </c>
      <c r="G43" s="108">
        <f t="shared" si="24"/>
        <v>152342.83349384522</v>
      </c>
      <c r="H43" s="108">
        <f t="shared" si="24"/>
        <v>170579.41715167271</v>
      </c>
      <c r="I43" s="108">
        <f t="shared" si="24"/>
        <v>189234.20303169964</v>
      </c>
      <c r="J43" s="108">
        <f t="shared" si="24"/>
        <v>208316.0207541729</v>
      </c>
      <c r="K43" s="108">
        <f t="shared" si="24"/>
        <v>227833.85997082989</v>
      </c>
      <c r="L43" s="108">
        <f t="shared" si="24"/>
        <v>247796.8721931359</v>
      </c>
      <c r="M43" s="108">
        <f t="shared" si="24"/>
        <v>268214.3725895902</v>
      </c>
      <c r="N43" s="108">
        <f t="shared" si="24"/>
        <v>289095.84174864081</v>
      </c>
      <c r="O43" s="108">
        <f t="shared" si="24"/>
        <v>310450.92740356195</v>
      </c>
      <c r="P43" s="108">
        <f t="shared" si="24"/>
        <v>332289.44611546001</v>
      </c>
      <c r="Q43" s="108">
        <f t="shared" si="24"/>
        <v>354621.38491038664</v>
      </c>
      <c r="R43" s="108">
        <f t="shared" si="24"/>
        <v>377456.902866313</v>
      </c>
      <c r="S43" s="108">
        <f t="shared" si="24"/>
        <v>400806.33264552691</v>
      </c>
      <c r="T43" s="108">
        <f t="shared" ref="T43:AH43" si="25">$C$43*(T41)</f>
        <v>424680.18196777516</v>
      </c>
      <c r="U43" s="108">
        <f t="shared" si="25"/>
        <v>449089.13501925278</v>
      </c>
      <c r="V43" s="108">
        <f t="shared" si="25"/>
        <v>474044.05379228247</v>
      </c>
      <c r="W43" s="108">
        <f t="shared" si="25"/>
        <v>499555.97935029928</v>
      </c>
      <c r="X43" s="108">
        <f t="shared" si="25"/>
        <v>525636.13301246252</v>
      </c>
      <c r="Y43" s="108">
        <f t="shared" si="25"/>
        <v>552295.91745196993</v>
      </c>
      <c r="Z43" s="108">
        <f t="shared" si="25"/>
        <v>579546.91770184168</v>
      </c>
      <c r="AA43" s="108">
        <f t="shared" si="25"/>
        <v>607400.90206166054</v>
      </c>
      <c r="AB43" s="108">
        <f t="shared" si="25"/>
        <v>635869.82289842807</v>
      </c>
      <c r="AC43" s="108">
        <f t="shared" si="25"/>
        <v>664965.81733439094</v>
      </c>
      <c r="AD43" s="108">
        <f t="shared" si="25"/>
        <v>694701.20781433757</v>
      </c>
      <c r="AE43" s="108">
        <f t="shared" si="25"/>
        <v>725088.50254452694</v>
      </c>
      <c r="AF43" s="108">
        <f t="shared" si="25"/>
        <v>756140.39579503785</v>
      </c>
      <c r="AG43" s="108">
        <f t="shared" si="25"/>
        <v>787869.76805695833</v>
      </c>
      <c r="AH43" s="108">
        <f t="shared" si="25"/>
        <v>820289.68604542024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4" t="e">
        <f>E21/Data!$C$38</f>
        <v>#DIV/0!</v>
      </c>
      <c r="F46" s="1374" t="e">
        <f>F21/Data!$C$38</f>
        <v>#DIV/0!</v>
      </c>
      <c r="G46" s="1374" t="e">
        <f>G21/Data!$C$38</f>
        <v>#DIV/0!</v>
      </c>
      <c r="H46" s="1374" t="e">
        <f>H21/Data!$C$38</f>
        <v>#DIV/0!</v>
      </c>
      <c r="I46" s="1374" t="e">
        <f>I21/Data!$C$38</f>
        <v>#DIV/0!</v>
      </c>
      <c r="J46" s="1374" t="e">
        <f>J21/Data!$C$38</f>
        <v>#DIV/0!</v>
      </c>
      <c r="K46" s="1374" t="e">
        <f>K21/Data!$C$38</f>
        <v>#DIV/0!</v>
      </c>
      <c r="L46" s="1374" t="e">
        <f>L21/Data!$C$38</f>
        <v>#DIV/0!</v>
      </c>
      <c r="M46" s="1374" t="e">
        <f>M21/Data!$C$38</f>
        <v>#DIV/0!</v>
      </c>
      <c r="N46" s="1374" t="e">
        <f>N21/Data!$C$38</f>
        <v>#DIV/0!</v>
      </c>
      <c r="O46" s="1374" t="e">
        <f>O21/Data!$C$38</f>
        <v>#DIV/0!</v>
      </c>
      <c r="P46" s="1374" t="e">
        <f>P21/Data!$C$38</f>
        <v>#DIV/0!</v>
      </c>
      <c r="Q46" s="1374" t="e">
        <f>Q21/Data!$C$38</f>
        <v>#DIV/0!</v>
      </c>
      <c r="R46" s="1374" t="e">
        <f>R21/Data!$C$38</f>
        <v>#DIV/0!</v>
      </c>
      <c r="S46" s="1374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3.3196606720838552E-2</v>
      </c>
      <c r="F47" s="142">
        <f>F41/GapCalc!$H$33</f>
        <v>3.8137135999949924E-2</v>
      </c>
      <c r="G47" s="142">
        <f>G41/GapCalc!$H$33</f>
        <v>4.3191358910240861E-2</v>
      </c>
      <c r="H47" s="142">
        <f>H41/GapCalc!$H$33</f>
        <v>4.8361689617616631E-2</v>
      </c>
      <c r="I47" s="142">
        <f>I41/GapCalc!$H$33</f>
        <v>5.365058659989895E-2</v>
      </c>
      <c r="J47" s="142">
        <f>J41/GapCalc!$H$33</f>
        <v>5.9060553179944443E-2</v>
      </c>
      <c r="K47" s="142">
        <f>K41/GapCalc!$H$33</f>
        <v>6.4594138051812175E-2</v>
      </c>
      <c r="L47" s="142">
        <f>L41/GapCalc!$H$33</f>
        <v>7.0253935799094974E-2</v>
      </c>
      <c r="M47" s="142">
        <f>M41/GapCalc!$H$33</f>
        <v>7.6042587404481249E-2</v>
      </c>
      <c r="N47" s="142">
        <f>N41/GapCalc!$H$33</f>
        <v>8.1962780749566422E-2</v>
      </c>
      <c r="O47" s="142">
        <f>O41/GapCalc!$H$33</f>
        <v>8.8017251103880131E-2</v>
      </c>
      <c r="P47" s="142">
        <f>P41/GapCalc!$H$33</f>
        <v>9.4208781602042421E-2</v>
      </c>
      <c r="Q47" s="142">
        <f>Q41/GapCalc!$H$33</f>
        <v>0.10054020370790849</v>
      </c>
      <c r="R47" s="142">
        <f>R41/GapCalc!$H$33</f>
        <v>0.10701439766449859</v>
      </c>
      <c r="S47" s="142">
        <f>S41/GapCalc!$H$33</f>
        <v>0.11363429292845427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2.8217115712712772E-2</v>
      </c>
      <c r="F48" s="142">
        <f>F43/GapCalc!$H$32</f>
        <v>3.2416565599957439E-2</v>
      </c>
      <c r="G48" s="142">
        <f>G43/GapCalc!$H$32</f>
        <v>3.6712655073704741E-2</v>
      </c>
      <c r="H48" s="142">
        <f>H43/GapCalc!$H$32</f>
        <v>4.1107436174974137E-2</v>
      </c>
      <c r="I48" s="142">
        <f>I43/GapCalc!$H$32</f>
        <v>4.5602998609914111E-2</v>
      </c>
      <c r="J48" s="142">
        <f>J43/GapCalc!$H$32</f>
        <v>5.0201470202952778E-2</v>
      </c>
      <c r="K48" s="142">
        <f>K43/GapCalc!$H$32</f>
        <v>5.4905017344040352E-2</v>
      </c>
      <c r="L48" s="142">
        <f>L43/GapCalc!$H$32</f>
        <v>5.9715845429230731E-2</v>
      </c>
      <c r="M48" s="142">
        <f>M43/GapCalc!$H$32</f>
        <v>6.463619929380908E-2</v>
      </c>
      <c r="N48" s="142">
        <f>N43/GapCalc!$H$32</f>
        <v>6.966836363713147E-2</v>
      </c>
      <c r="O48" s="142">
        <f>O43/GapCalc!$H$32</f>
        <v>7.4814663438298123E-2</v>
      </c>
      <c r="P48" s="142">
        <f>P43/GapCalc!$H$32</f>
        <v>8.0077464361736059E-2</v>
      </c>
      <c r="Q48" s="142">
        <f>Q43/GapCalc!$H$32</f>
        <v>8.5459173151722231E-2</v>
      </c>
      <c r="R48" s="142">
        <f>R43/GapCalc!$H$32</f>
        <v>9.0962238014823824E-2</v>
      </c>
      <c r="S48" s="142">
        <f>S43/GapCalc!$H$32</f>
        <v>9.6589148989186149E-2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1058</v>
      </c>
      <c r="G64" s="70" t="s">
        <v>1070</v>
      </c>
    </row>
    <row r="65" spans="2:10" ht="13.5" thickBot="1">
      <c r="B65" s="1363" t="s">
        <v>1040</v>
      </c>
      <c r="C65" s="1364"/>
      <c r="D65" s="1388"/>
      <c r="E65" s="70" t="s">
        <v>1056</v>
      </c>
      <c r="G65" s="1363" t="s">
        <v>1040</v>
      </c>
      <c r="H65" s="1364"/>
      <c r="I65" s="1388"/>
      <c r="J65" s="70" t="s">
        <v>1056</v>
      </c>
    </row>
    <row r="66" spans="2:10">
      <c r="B66" s="1365" t="s">
        <v>1054</v>
      </c>
      <c r="C66" s="1410">
        <f>C70/1.63</f>
        <v>23615775.624949194</v>
      </c>
      <c r="D66" s="1389"/>
      <c r="E66" s="1409" t="s">
        <v>285</v>
      </c>
      <c r="G66" s="1365" t="s">
        <v>1073</v>
      </c>
      <c r="H66" s="1410">
        <f>H70/1.63</f>
        <v>4167489.8161675055</v>
      </c>
      <c r="I66" s="1389"/>
      <c r="J66" s="1409" t="s">
        <v>285</v>
      </c>
    </row>
    <row r="67" spans="2:10" ht="15">
      <c r="B67" s="1366" t="s">
        <v>1055</v>
      </c>
      <c r="C67" s="1425">
        <f>SUMIFS(E42:AH42, E50:AH50, "&lt;=" &amp; VALUE(RIGHT(E66, LEN(E66)-FIND(" ", E66))))</f>
        <v>6799500.530804567</v>
      </c>
      <c r="D67" s="1390" t="s">
        <v>68</v>
      </c>
      <c r="G67" s="1366" t="s">
        <v>1074</v>
      </c>
      <c r="H67" s="1405">
        <f>SUMIFS(E43:AH43, E50:AH50, "&lt;=" &amp; VALUE(RIGHT(E66, LEN(E66)-FIND(" ", E66))))</f>
        <v>1199911.8583772767</v>
      </c>
      <c r="I67" s="1390" t="s">
        <v>68</v>
      </c>
    </row>
    <row r="68" spans="2:10">
      <c r="B68" s="1366" t="s">
        <v>1078</v>
      </c>
      <c r="C68" s="1413">
        <f>IF(GapCalc!D41*C42&lt; 0,0,GapCalc!D41*C42)</f>
        <v>4119505.6163226613</v>
      </c>
      <c r="D68" s="1390" t="s">
        <v>68</v>
      </c>
      <c r="G68" s="1366" t="s">
        <v>1079</v>
      </c>
      <c r="H68" s="1413">
        <f>IF(GapCalc!D41*C43&lt; 0,0,GapCalc!D41*C43)</f>
        <v>726971.579351058</v>
      </c>
      <c r="I68" s="1390" t="s">
        <v>68</v>
      </c>
    </row>
    <row r="69" spans="2:10">
      <c r="B69" s="1366" t="s">
        <v>1059</v>
      </c>
      <c r="C69" s="1413">
        <f>'Debt Calc'!E60</f>
        <v>27574708.121539958</v>
      </c>
      <c r="D69" s="1391">
        <v>0.9</v>
      </c>
      <c r="G69" s="1366" t="s">
        <v>1075</v>
      </c>
      <c r="H69" s="1413">
        <f>'Debt Calc'!E59*C43</f>
        <v>4866124.9626246989</v>
      </c>
      <c r="I69" s="1391">
        <v>0.9</v>
      </c>
    </row>
    <row r="70" spans="2:10">
      <c r="B70" s="1368" t="s">
        <v>1042</v>
      </c>
      <c r="C70" s="1422">
        <f>C67+C68+C69</f>
        <v>38493714.268667184</v>
      </c>
      <c r="D70" s="1390" t="s">
        <v>68</v>
      </c>
      <c r="G70" s="1368" t="s">
        <v>1042</v>
      </c>
      <c r="H70" s="1422">
        <f>H67+H68+H69</f>
        <v>6793008.4003530331</v>
      </c>
      <c r="I70" s="1390" t="s">
        <v>68</v>
      </c>
    </row>
    <row r="71" spans="2:10">
      <c r="B71" s="1368" t="s">
        <v>1043</v>
      </c>
      <c r="C71" s="1416">
        <f>C70/C66</f>
        <v>1.63</v>
      </c>
      <c r="D71" s="1392"/>
      <c r="G71" s="1368" t="s">
        <v>1043</v>
      </c>
      <c r="H71" s="1416">
        <f>H70/H66</f>
        <v>1.63</v>
      </c>
      <c r="I71" s="1392"/>
    </row>
    <row r="72" spans="2:10">
      <c r="B72" s="1366" t="s">
        <v>1044</v>
      </c>
      <c r="C72" s="1369">
        <f>(C70-C66)/C66</f>
        <v>0.62999999999999989</v>
      </c>
      <c r="D72" s="1393"/>
      <c r="G72" s="1366" t="s">
        <v>1044</v>
      </c>
      <c r="H72" s="1369">
        <f>(H70-H66)/H66</f>
        <v>0.62999999999999978</v>
      </c>
      <c r="I72" s="1393"/>
    </row>
    <row r="73" spans="2:10">
      <c r="B73" s="1368" t="s">
        <v>1045</v>
      </c>
      <c r="C73" s="1411">
        <f>C72/7</f>
        <v>8.9999999999999983E-2</v>
      </c>
      <c r="D73" s="1393"/>
      <c r="G73" s="1368" t="s">
        <v>1045</v>
      </c>
      <c r="H73" s="1411">
        <f>H72/7</f>
        <v>8.9999999999999969E-2</v>
      </c>
      <c r="I73" s="1393"/>
    </row>
    <row r="74" spans="2:10" ht="13.5" thickBot="1">
      <c r="B74" s="1423" t="s">
        <v>1080</v>
      </c>
      <c r="C74" s="1426">
        <f>GapCalc!H33</f>
        <v>23514400.000000004</v>
      </c>
      <c r="D74" s="1394"/>
      <c r="F74" s="1404"/>
      <c r="G74" s="1423" t="s">
        <v>1082</v>
      </c>
      <c r="H74" s="1426">
        <f>GapCalc!H32</f>
        <v>4149600.0000000009</v>
      </c>
      <c r="I74" s="1394"/>
    </row>
    <row r="75" spans="2:10">
      <c r="B75" s="70" t="s">
        <v>1081</v>
      </c>
      <c r="C75" s="1424">
        <f>(C70-C74)/C74</f>
        <v>0.6370272798228821</v>
      </c>
      <c r="G75" s="70" t="s">
        <v>1081</v>
      </c>
      <c r="H75" s="1424">
        <f>(H70-H74)/H74</f>
        <v>0.6370272798228821</v>
      </c>
    </row>
    <row r="76" spans="2:10">
      <c r="B76" s="70" t="s">
        <v>1045</v>
      </c>
      <c r="C76" s="1424">
        <f>C75/7</f>
        <v>9.1003897117554591E-2</v>
      </c>
      <c r="G76" s="70" t="s">
        <v>1045</v>
      </c>
      <c r="H76" s="1424">
        <f>H75/7</f>
        <v>9.1003897117554591E-2</v>
      </c>
    </row>
    <row r="78" spans="2:10" ht="13.5" thickBot="1">
      <c r="B78" s="70" t="s">
        <v>1061</v>
      </c>
    </row>
    <row r="79" spans="2:10" ht="13.5" thickBot="1">
      <c r="B79" s="1363" t="s">
        <v>1040</v>
      </c>
      <c r="C79" s="1364"/>
      <c r="D79" s="1388"/>
      <c r="E79" s="70" t="s">
        <v>1056</v>
      </c>
    </row>
    <row r="80" spans="2:10">
      <c r="B80" s="1365" t="s">
        <v>1054</v>
      </c>
      <c r="C80" s="1410">
        <f>C84/1.8</f>
        <v>8600710.9097064659</v>
      </c>
      <c r="D80" s="1389"/>
      <c r="E80" s="1409" t="s">
        <v>288</v>
      </c>
    </row>
    <row r="81" spans="2:10" ht="15">
      <c r="B81" s="1366" t="s">
        <v>1055</v>
      </c>
      <c r="C81" s="1405">
        <f>SUMIFS(E42:AH42, E50:AH50, "&lt;=" &amp; VALUE(RIGHT(E80, LEN(E80)-FIND(" ", E80))))</f>
        <v>11361774.02114898</v>
      </c>
      <c r="D81" s="1390" t="s">
        <v>68</v>
      </c>
    </row>
    <row r="82" spans="2:10">
      <c r="B82" s="1366" t="s">
        <v>1059</v>
      </c>
      <c r="C82" s="1413">
        <f>C68</f>
        <v>4119505.6163226613</v>
      </c>
      <c r="D82" s="1390" t="s">
        <v>68</v>
      </c>
    </row>
    <row r="83" spans="2:10">
      <c r="B83" s="1366" t="s">
        <v>1041</v>
      </c>
      <c r="C83" s="1367"/>
      <c r="D83" s="1391">
        <v>0.9</v>
      </c>
    </row>
    <row r="84" spans="2:10">
      <c r="B84" s="1368" t="s">
        <v>1042</v>
      </c>
      <c r="C84" s="1422">
        <f>C81+C82+C83</f>
        <v>15481279.63747164</v>
      </c>
      <c r="D84" s="1390" t="s">
        <v>68</v>
      </c>
    </row>
    <row r="85" spans="2:10">
      <c r="B85" s="1368" t="s">
        <v>1043</v>
      </c>
      <c r="C85" s="1412">
        <v>1.8</v>
      </c>
      <c r="D85" s="1392"/>
    </row>
    <row r="86" spans="2:10">
      <c r="B86" s="1366" t="s">
        <v>1044</v>
      </c>
      <c r="C86" s="1369">
        <f>(C84-C80)/C80</f>
        <v>0.80000000000000027</v>
      </c>
      <c r="D86" s="1393"/>
    </row>
    <row r="87" spans="2:10">
      <c r="B87" s="1368" t="s">
        <v>1045</v>
      </c>
      <c r="C87" s="1411">
        <f>C86/10</f>
        <v>8.0000000000000029E-2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1058</v>
      </c>
      <c r="G91" s="70" t="s">
        <v>1070</v>
      </c>
    </row>
    <row r="92" spans="2:10" ht="13.5" thickBot="1">
      <c r="B92" s="1363" t="s">
        <v>1040</v>
      </c>
      <c r="C92" s="1364"/>
      <c r="D92" s="1388"/>
      <c r="E92" s="70" t="s">
        <v>1056</v>
      </c>
      <c r="G92" s="1363" t="s">
        <v>1040</v>
      </c>
      <c r="H92" s="1364"/>
      <c r="I92" s="1388"/>
      <c r="J92" s="70" t="s">
        <v>1056</v>
      </c>
    </row>
    <row r="93" spans="2:10">
      <c r="B93" s="1365" t="s">
        <v>1054</v>
      </c>
      <c r="C93" s="1410">
        <f>C97/1.63</f>
        <v>33617950.610701896</v>
      </c>
      <c r="D93" s="1389"/>
      <c r="E93" s="1409" t="s">
        <v>288</v>
      </c>
      <c r="G93" s="1365" t="s">
        <v>1073</v>
      </c>
      <c r="H93" s="1410">
        <f>H97/1.63</f>
        <v>4661420.5441008592</v>
      </c>
      <c r="I93" s="1389"/>
      <c r="J93" s="1409" t="s">
        <v>288</v>
      </c>
    </row>
    <row r="94" spans="2:10" ht="15">
      <c r="B94" s="1366" t="s">
        <v>1055</v>
      </c>
      <c r="C94" s="1425">
        <f>SUMIFS(E42:AH42, E50:AH50, "&lt;=" &amp; VALUE(RIGHT(E93, LEN(E93)-FIND(" ", E93))))</f>
        <v>11361774.02114898</v>
      </c>
      <c r="D94" s="1390" t="s">
        <v>68</v>
      </c>
      <c r="G94" s="1366" t="s">
        <v>1074</v>
      </c>
      <c r="H94" s="1405">
        <f>SUMIFS(E43:AH43, E50:AH50, "&lt;=" &amp; VALUE(RIGHT(J93, LEN(J93)-FIND(" ", J93))))</f>
        <v>2005018.9449086438</v>
      </c>
      <c r="I94" s="1390" t="s">
        <v>68</v>
      </c>
    </row>
    <row r="95" spans="2:10">
      <c r="B95" s="1366" t="s">
        <v>1078</v>
      </c>
      <c r="C95" s="1413">
        <f>IF(GapCalc!D41*C42&lt; 0,0,GapCalc!D41*C42)</f>
        <v>4119505.6163226613</v>
      </c>
      <c r="D95" s="1390" t="s">
        <v>68</v>
      </c>
      <c r="G95" s="1366" t="s">
        <v>1079</v>
      </c>
      <c r="H95" s="1413">
        <f>IF(GapCalc!D41*C43&lt; 0,0,GapCalc!D41*C43)</f>
        <v>726971.579351058</v>
      </c>
      <c r="I95" s="1390" t="s">
        <v>68</v>
      </c>
    </row>
    <row r="96" spans="2:10">
      <c r="B96" s="1366" t="s">
        <v>1059</v>
      </c>
      <c r="C96" s="1413">
        <f>'Debt Calc'!H60</f>
        <v>39315979.857972443</v>
      </c>
      <c r="D96" s="1391">
        <v>0.9</v>
      </c>
      <c r="G96" s="1366" t="s">
        <v>1075</v>
      </c>
      <c r="H96" s="1413">
        <f>'Debt Calc'!E59*C43</f>
        <v>4866124.9626246989</v>
      </c>
      <c r="I96" s="1391">
        <v>0.9</v>
      </c>
    </row>
    <row r="97" spans="2:9">
      <c r="B97" s="1368" t="s">
        <v>1042</v>
      </c>
      <c r="C97" s="1422">
        <f>C94+C95+C96</f>
        <v>54797259.495444082</v>
      </c>
      <c r="D97" s="1390" t="s">
        <v>68</v>
      </c>
      <c r="G97" s="1368" t="s">
        <v>1042</v>
      </c>
      <c r="H97" s="1422">
        <f>H94+H95+H96</f>
        <v>7598115.4868844002</v>
      </c>
      <c r="I97" s="1390" t="s">
        <v>68</v>
      </c>
    </row>
    <row r="98" spans="2:9">
      <c r="B98" s="1368" t="s">
        <v>1043</v>
      </c>
      <c r="C98" s="1416">
        <f>C97/C93</f>
        <v>1.6299999999999997</v>
      </c>
      <c r="D98" s="1392"/>
      <c r="G98" s="1368" t="s">
        <v>1043</v>
      </c>
      <c r="H98" s="1416">
        <f>H97/H93</f>
        <v>1.63</v>
      </c>
      <c r="I98" s="1392"/>
    </row>
    <row r="99" spans="2:9">
      <c r="B99" s="1366" t="s">
        <v>1044</v>
      </c>
      <c r="C99" s="1369">
        <f>(C97-C93)/C93</f>
        <v>0.62999999999999978</v>
      </c>
      <c r="D99" s="1393"/>
      <c r="G99" s="1366" t="s">
        <v>1044</v>
      </c>
      <c r="H99" s="1369">
        <f>(H97-H93)/H93</f>
        <v>0.62999999999999989</v>
      </c>
      <c r="I99" s="1393"/>
    </row>
    <row r="100" spans="2:9">
      <c r="B100" s="1368" t="s">
        <v>1045</v>
      </c>
      <c r="C100" s="1411">
        <f>C99/7</f>
        <v>8.9999999999999969E-2</v>
      </c>
      <c r="D100" s="1393"/>
      <c r="G100" s="1368" t="s">
        <v>1045</v>
      </c>
      <c r="H100" s="1411">
        <f>H99/7</f>
        <v>8.9999999999999983E-2</v>
      </c>
      <c r="I100" s="1393"/>
    </row>
    <row r="101" spans="2:9" ht="13.5" thickBot="1">
      <c r="B101" s="1423" t="s">
        <v>1080</v>
      </c>
      <c r="C101" s="1426">
        <f>GapCalc!H33</f>
        <v>23514400.000000004</v>
      </c>
      <c r="D101" s="1394"/>
      <c r="G101" s="1423" t="s">
        <v>1082</v>
      </c>
      <c r="H101" s="1426">
        <f>GapCalc!H32</f>
        <v>4149600.0000000009</v>
      </c>
      <c r="I101" s="1394"/>
    </row>
    <row r="102" spans="2:9">
      <c r="B102" s="70" t="s">
        <v>1081</v>
      </c>
      <c r="C102" s="1424">
        <f>(C97-C101)/C101</f>
        <v>1.3303703048108424</v>
      </c>
      <c r="G102" s="70" t="s">
        <v>1081</v>
      </c>
      <c r="H102" s="1424">
        <f>(H97-H101)/H101</f>
        <v>0.83104768818305341</v>
      </c>
    </row>
    <row r="103" spans="2:9">
      <c r="B103" s="70" t="s">
        <v>1045</v>
      </c>
      <c r="C103" s="1424">
        <f>C102/10</f>
        <v>0.13303703048108423</v>
      </c>
      <c r="G103" s="70" t="s">
        <v>1045</v>
      </c>
      <c r="H103" s="1424">
        <f>H102/10</f>
        <v>8.3104768818305336E-2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123620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24724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148344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2"/>
      <c r="R16" s="1602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3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4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148344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148344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42" t="s">
        <v>970</v>
      </c>
      <c r="M46" s="1244">
        <f>'Rental Income'!D15</f>
        <v>152</v>
      </c>
      <c r="N46" s="1239"/>
      <c r="O46" s="1239"/>
      <c r="P46" s="1239"/>
      <c r="Q46" s="845"/>
    </row>
    <row r="47" spans="1:18">
      <c r="A47" s="879"/>
      <c r="B47" s="878" t="s">
        <v>674</v>
      </c>
      <c r="C47" s="906">
        <f>ROUNDDOWN(M46*M47,1)</f>
        <v>76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3" t="s">
        <v>971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680</v>
      </c>
      <c r="C49" s="906">
        <f>SUM(C47:C48)</f>
        <v>76</v>
      </c>
      <c r="D49" s="866"/>
      <c r="E49" s="845" t="s">
        <v>577</v>
      </c>
      <c r="F49" s="845"/>
      <c r="G49" s="913">
        <v>143</v>
      </c>
      <c r="H49" s="874">
        <f>C53*D53</f>
        <v>30199.769230769234</v>
      </c>
      <c r="I49" s="874">
        <f>G49*H49</f>
        <v>4318567.0000000009</v>
      </c>
      <c r="J49" s="915">
        <f>IFERROR(I49/C53,0)</f>
        <v>56823.250000000015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30199.769230769234</v>
      </c>
      <c r="I51" s="920">
        <f>SUM(I48:I50)</f>
        <v>4318567.0000000009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577</v>
      </c>
      <c r="C53" s="921">
        <v>76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4318567.0000000009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680</v>
      </c>
      <c r="C55" s="870">
        <f>SUM(C52:C54)</f>
        <v>76</v>
      </c>
      <c r="D55" s="845"/>
      <c r="E55" s="845"/>
      <c r="F55" s="927"/>
      <c r="G55" s="845"/>
      <c r="H55" s="862" t="s">
        <v>685</v>
      </c>
      <c r="I55" s="929">
        <f>SUM(I53:I54)</f>
        <v>4318567.0000000009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686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687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688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689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690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691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693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694</v>
      </c>
      <c r="C65" s="1587"/>
      <c r="D65" s="1587"/>
      <c r="E65" s="1579"/>
      <c r="F65" s="1589" t="s">
        <v>695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696</v>
      </c>
      <c r="C66" s="1580">
        <f>2000+1000</f>
        <v>3000</v>
      </c>
      <c r="D66" s="1579"/>
      <c r="E66" s="1579"/>
      <c r="F66" s="1581" t="s">
        <v>697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698</v>
      </c>
      <c r="C67" s="1580">
        <v>0</v>
      </c>
      <c r="D67" s="1577">
        <v>0.04</v>
      </c>
      <c r="E67" s="1579"/>
      <c r="F67" s="1581" t="s">
        <v>699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699</v>
      </c>
      <c r="C68" s="1580">
        <v>0</v>
      </c>
      <c r="D68" s="1577">
        <v>0.04</v>
      </c>
      <c r="E68" s="1579"/>
      <c r="F68" s="1579" t="s">
        <v>60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700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60</v>
      </c>
      <c r="C70" s="1580">
        <f>SUM(C66:C69)</f>
        <v>8330</v>
      </c>
      <c r="D70" s="1592"/>
      <c r="E70" s="1579"/>
      <c r="F70" s="1593" t="s">
        <v>701</v>
      </c>
      <c r="G70" s="1594" t="s">
        <v>702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703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696</v>
      </c>
      <c r="C73" s="1580">
        <v>1000</v>
      </c>
      <c r="D73" s="1592" t="s">
        <v>704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705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699</v>
      </c>
      <c r="C75" s="1576">
        <v>0</v>
      </c>
      <c r="D75" s="1577">
        <v>0.02</v>
      </c>
      <c r="E75" s="1579" t="s">
        <v>706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700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60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701</v>
      </c>
      <c r="B79" s="1596" t="s">
        <v>707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5"/>
      <c r="E92" s="1605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3902991.4453824316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56222477.195673719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56222400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17192539.135784358</v>
      </c>
    </row>
    <row r="15" spans="2:36">
      <c r="B15" s="556"/>
      <c r="C15" s="560" t="s">
        <v>634</v>
      </c>
      <c r="H15" s="561">
        <f>12*PMT(Data!C24/12,Data!C29*12,-'Debt Calc'!H14)</f>
        <v>3902986.0864215642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379380.39769363031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379380.39769363031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56222400</v>
      </c>
      <c r="E21" s="561">
        <f>$H$15</f>
        <v>3902986.0864215642</v>
      </c>
      <c r="F21" s="561">
        <f>E21-G21</f>
        <v>0</v>
      </c>
      <c r="G21" s="561">
        <f>D21-H21</f>
        <v>3902986.0864215642</v>
      </c>
      <c r="H21" s="561">
        <f>D21-E21</f>
        <v>52319413.913578436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52319413.913578436</v>
      </c>
      <c r="E22" s="561">
        <f t="shared" ref="E22:E50" si="1">$H$15</f>
        <v>3902986.0864215642</v>
      </c>
      <c r="F22" s="561">
        <f t="shared" ref="F22:F50" si="2">E22-G22</f>
        <v>0</v>
      </c>
      <c r="G22" s="561">
        <f t="shared" ref="G22:G50" si="3">D22-H22</f>
        <v>3902986.0864215642</v>
      </c>
      <c r="H22" s="561">
        <f t="shared" ref="H22:H39" si="4">D22-E22</f>
        <v>48416427.827156872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48416427.827156872</v>
      </c>
      <c r="E23" s="561">
        <f t="shared" si="1"/>
        <v>3902986.0864215642</v>
      </c>
      <c r="F23" s="561">
        <f t="shared" si="2"/>
        <v>0</v>
      </c>
      <c r="G23" s="561">
        <f t="shared" si="3"/>
        <v>3902986.0864215642</v>
      </c>
      <c r="H23" s="561">
        <f t="shared" si="4"/>
        <v>44513441.740735307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44513441.740735307</v>
      </c>
      <c r="E24" s="561">
        <f t="shared" si="1"/>
        <v>3902986.0864215642</v>
      </c>
      <c r="F24" s="561">
        <f t="shared" si="2"/>
        <v>0</v>
      </c>
      <c r="G24" s="561">
        <f t="shared" si="3"/>
        <v>3902986.0864215642</v>
      </c>
      <c r="H24" s="561">
        <f t="shared" si="4"/>
        <v>40610455.654313743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40610455.654313743</v>
      </c>
      <c r="E25" s="561">
        <f t="shared" si="1"/>
        <v>3902986.0864215642</v>
      </c>
      <c r="F25" s="561">
        <f t="shared" si="2"/>
        <v>0</v>
      </c>
      <c r="G25" s="561">
        <f t="shared" si="3"/>
        <v>3902986.0864215642</v>
      </c>
      <c r="H25" s="561">
        <f t="shared" si="4"/>
        <v>36707469.567892179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36707469.567892179</v>
      </c>
      <c r="E26" s="561">
        <f t="shared" si="1"/>
        <v>3902986.0864215642</v>
      </c>
      <c r="F26" s="561">
        <f t="shared" si="2"/>
        <v>0</v>
      </c>
      <c r="G26" s="561">
        <f t="shared" si="3"/>
        <v>3902986.0864215642</v>
      </c>
      <c r="H26" s="561">
        <f t="shared" si="4"/>
        <v>32804483.481470615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32804483.481470615</v>
      </c>
      <c r="E27" s="561">
        <f t="shared" si="1"/>
        <v>3902986.0864215642</v>
      </c>
      <c r="F27" s="561">
        <f t="shared" si="2"/>
        <v>0</v>
      </c>
      <c r="G27" s="561">
        <f t="shared" si="3"/>
        <v>3902986.0864215642</v>
      </c>
      <c r="H27" s="561">
        <f t="shared" si="4"/>
        <v>28901497.39504905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28901497.39504905</v>
      </c>
      <c r="E28" s="561">
        <f t="shared" si="1"/>
        <v>3902986.0864215642</v>
      </c>
      <c r="F28" s="561">
        <f t="shared" si="2"/>
        <v>0</v>
      </c>
      <c r="G28" s="561">
        <f t="shared" si="3"/>
        <v>3902986.0864215642</v>
      </c>
      <c r="H28" s="561">
        <f t="shared" si="4"/>
        <v>24998511.308627486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24998511.308627486</v>
      </c>
      <c r="E29" s="561">
        <f t="shared" si="1"/>
        <v>3902986.0864215642</v>
      </c>
      <c r="F29" s="561">
        <f t="shared" si="2"/>
        <v>0</v>
      </c>
      <c r="G29" s="561">
        <f t="shared" si="3"/>
        <v>3902986.0864215642</v>
      </c>
      <c r="H29" s="561">
        <f t="shared" si="4"/>
        <v>21095525.222205922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21095525.222205922</v>
      </c>
      <c r="E30" s="561">
        <f t="shared" si="1"/>
        <v>3902986.0864215642</v>
      </c>
      <c r="F30" s="561">
        <f t="shared" si="2"/>
        <v>0</v>
      </c>
      <c r="G30" s="561">
        <f t="shared" si="3"/>
        <v>3902986.0864215642</v>
      </c>
      <c r="H30" s="561">
        <f>D30-E30</f>
        <v>17192539.135784358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17192539.135784358</v>
      </c>
      <c r="E31" s="561">
        <f t="shared" si="1"/>
        <v>3902986.0864215642</v>
      </c>
      <c r="F31" s="561">
        <f t="shared" si="2"/>
        <v>0</v>
      </c>
      <c r="G31" s="561">
        <f t="shared" si="3"/>
        <v>3902986.0864215642</v>
      </c>
      <c r="H31" s="561">
        <f t="shared" si="4"/>
        <v>13289553.049362794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13289553.049362794</v>
      </c>
      <c r="E32" s="561">
        <f t="shared" si="1"/>
        <v>3902986.0864215642</v>
      </c>
      <c r="F32" s="561">
        <f t="shared" si="2"/>
        <v>0</v>
      </c>
      <c r="G32" s="561">
        <f t="shared" si="3"/>
        <v>3902986.0864215642</v>
      </c>
      <c r="H32" s="561">
        <f t="shared" si="4"/>
        <v>9386566.9629412293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9386566.9629412293</v>
      </c>
      <c r="E33" s="561">
        <f t="shared" si="1"/>
        <v>3902986.0864215642</v>
      </c>
      <c r="F33" s="561">
        <f t="shared" si="2"/>
        <v>0</v>
      </c>
      <c r="G33" s="561">
        <f t="shared" si="3"/>
        <v>3902986.0864215642</v>
      </c>
      <c r="H33" s="561">
        <f t="shared" si="4"/>
        <v>5483580.8765196651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5483580.8765196651</v>
      </c>
      <c r="E34" s="561">
        <f t="shared" si="1"/>
        <v>3902986.0864215642</v>
      </c>
      <c r="F34" s="561">
        <f t="shared" si="2"/>
        <v>0</v>
      </c>
      <c r="G34" s="561">
        <f t="shared" si="3"/>
        <v>3902986.0864215642</v>
      </c>
      <c r="H34" s="561">
        <f t="shared" si="4"/>
        <v>1580594.7900981009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1580594.7900981009</v>
      </c>
      <c r="E35" s="561">
        <f t="shared" si="1"/>
        <v>3902986.0864215642</v>
      </c>
      <c r="F35" s="561">
        <f t="shared" si="2"/>
        <v>0</v>
      </c>
      <c r="G35" s="561">
        <f t="shared" si="3"/>
        <v>3902986.0864215642</v>
      </c>
      <c r="H35" s="561">
        <f t="shared" si="4"/>
        <v>-2322391.2963234633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-2322391.2963234633</v>
      </c>
      <c r="E36" s="561">
        <f t="shared" si="1"/>
        <v>3902986.0864215642</v>
      </c>
      <c r="F36" s="561">
        <f t="shared" si="2"/>
        <v>0</v>
      </c>
      <c r="G36" s="561">
        <f t="shared" si="3"/>
        <v>3902986.0864215642</v>
      </c>
      <c r="H36" s="561">
        <f t="shared" si="4"/>
        <v>-6225377.3827450275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-6225377.3827450275</v>
      </c>
      <c r="E37" s="561">
        <f t="shared" si="1"/>
        <v>3902986.0864215642</v>
      </c>
      <c r="F37" s="561">
        <f t="shared" si="2"/>
        <v>0</v>
      </c>
      <c r="G37" s="561">
        <f t="shared" si="3"/>
        <v>3902986.0864215642</v>
      </c>
      <c r="H37" s="561">
        <f t="shared" si="4"/>
        <v>-10128363.469166592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-10128363.469166592</v>
      </c>
      <c r="E38" s="561">
        <f t="shared" si="1"/>
        <v>3902986.0864215642</v>
      </c>
      <c r="F38" s="561">
        <f t="shared" si="2"/>
        <v>0</v>
      </c>
      <c r="G38" s="561">
        <f t="shared" si="3"/>
        <v>3902986.0864215642</v>
      </c>
      <c r="H38" s="561">
        <f>D38-E38</f>
        <v>-14031349.555588156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-14031349.555588156</v>
      </c>
      <c r="E39" s="561">
        <f t="shared" si="1"/>
        <v>3902986.0864215642</v>
      </c>
      <c r="F39" s="561">
        <f t="shared" si="2"/>
        <v>0</v>
      </c>
      <c r="G39" s="561">
        <f t="shared" si="3"/>
        <v>3902986.0864215642</v>
      </c>
      <c r="H39" s="561">
        <f t="shared" si="4"/>
        <v>-17934335.64200972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-17934335.64200972</v>
      </c>
      <c r="E40" s="561">
        <f t="shared" si="1"/>
        <v>3902986.0864215642</v>
      </c>
      <c r="F40" s="561">
        <f t="shared" si="2"/>
        <v>21837321.728431284</v>
      </c>
      <c r="G40" s="561">
        <f t="shared" si="3"/>
        <v>-17934335.64200972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3902986.0864215642</v>
      </c>
      <c r="F41" s="561">
        <f t="shared" si="2"/>
        <v>3902986.0864215642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3902986.0864215642</v>
      </c>
      <c r="F42" s="561">
        <f t="shared" si="2"/>
        <v>3902986.0864215642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3902986.0864215642</v>
      </c>
      <c r="F43" s="561">
        <f t="shared" si="2"/>
        <v>3902986.0864215642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3902986.0864215642</v>
      </c>
      <c r="F44" s="561">
        <f t="shared" si="2"/>
        <v>3902986.0864215642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3902986.0864215642</v>
      </c>
      <c r="F45" s="561">
        <f t="shared" si="2"/>
        <v>3902986.0864215642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3902986.0864215642</v>
      </c>
      <c r="F46" s="561">
        <f t="shared" si="2"/>
        <v>3902986.0864215642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3902986.0864215642</v>
      </c>
      <c r="F47" s="561">
        <f t="shared" si="2"/>
        <v>3902986.0864215642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3902986.0864215642</v>
      </c>
      <c r="F48" s="561">
        <f t="shared" si="2"/>
        <v>3902986.0864215642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3902986.0864215642</v>
      </c>
      <c r="F49" s="561">
        <f t="shared" si="2"/>
        <v>3902986.0864215642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3902986.0864215642</v>
      </c>
      <c r="F50" s="561">
        <f t="shared" si="2"/>
        <v>3902986.0864215642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1077</v>
      </c>
      <c r="E54" s="1502"/>
      <c r="F54" s="561"/>
      <c r="G54" s="1503" t="s">
        <v>1088</v>
      </c>
      <c r="H54" s="1504"/>
    </row>
    <row r="55" spans="2:28">
      <c r="D55" s="1500" t="s">
        <v>1064</v>
      </c>
      <c r="E55" s="1509">
        <f>'Cash Flow'!K15/0.05</f>
        <v>143948031.00871441</v>
      </c>
      <c r="F55" s="561"/>
      <c r="G55" s="1508" t="s">
        <v>1064</v>
      </c>
      <c r="H55" s="1512">
        <f>'Cash Flow'!N15/0.05</f>
        <v>155016285.08049378</v>
      </c>
    </row>
    <row r="56" spans="2:28">
      <c r="D56" s="1498" t="s">
        <v>1065</v>
      </c>
      <c r="E56" s="1510">
        <f>'Cash Flow'!K21/1.2</f>
        <v>4518236.5376566369</v>
      </c>
      <c r="F56" s="561"/>
      <c r="G56" s="1506" t="s">
        <v>1065</v>
      </c>
      <c r="H56" s="1513">
        <f>'Cash Flow'!N21/1.2</f>
        <v>4858580.8808666971</v>
      </c>
    </row>
    <row r="57" spans="2:28">
      <c r="D57" s="1498" t="s">
        <v>1066</v>
      </c>
      <c r="E57" s="1510">
        <f>E55*0.6</f>
        <v>86368818.605228648</v>
      </c>
      <c r="F57" s="561"/>
      <c r="G57" s="1506" t="s">
        <v>1066</v>
      </c>
      <c r="H57" s="1513">
        <f>H55*0.6</f>
        <v>93009771.048296258</v>
      </c>
    </row>
    <row r="58" spans="2:28">
      <c r="D58" s="1498" t="s">
        <v>1067</v>
      </c>
      <c r="E58" s="1510">
        <f>-PV(6.5%,34,E56)</f>
        <v>61342330.479213707</v>
      </c>
      <c r="F58" s="561"/>
      <c r="G58" s="1506" t="s">
        <v>1067</v>
      </c>
      <c r="H58" s="1513">
        <f>-PV(6.5%,30,H56)</f>
        <v>63446633.086340174</v>
      </c>
    </row>
    <row r="59" spans="2:28">
      <c r="D59" s="1497" t="s">
        <v>1068</v>
      </c>
      <c r="E59" s="1510">
        <f>E58-H27</f>
        <v>32440833.084164657</v>
      </c>
      <c r="F59" s="561"/>
      <c r="G59" s="1505" t="s">
        <v>1068</v>
      </c>
      <c r="H59" s="1513">
        <f>H58-H30</f>
        <v>46254093.950555816</v>
      </c>
    </row>
    <row r="60" spans="2:28" ht="13.5" thickBot="1">
      <c r="D60" s="1499" t="s">
        <v>1069</v>
      </c>
      <c r="E60" s="1511">
        <f>E59*GapCalc!I33</f>
        <v>27574708.121539958</v>
      </c>
      <c r="F60" s="561"/>
      <c r="G60" s="1507" t="s">
        <v>1069</v>
      </c>
      <c r="H60" s="1514">
        <f>H59*GapCalc!I33</f>
        <v>39315979.857972443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6" t="s">
        <v>973</v>
      </c>
      <c r="C3" s="1260">
        <f>'Development Budget'!E18</f>
        <v>9880000</v>
      </c>
      <c r="D3" s="1247" t="s">
        <v>975</v>
      </c>
      <c r="E3" s="1258">
        <v>1.199398E-2</v>
      </c>
    </row>
    <row r="4" spans="1:5" ht="31.5">
      <c r="B4" s="1248" t="s">
        <v>974</v>
      </c>
      <c r="C4" s="1261">
        <f>SUM('Development Budget'!G31+'Development Budget'!G32)</f>
        <v>48821767</v>
      </c>
      <c r="D4" s="1249" t="s">
        <v>976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977</v>
      </c>
      <c r="C6" s="1247" t="s">
        <v>978</v>
      </c>
      <c r="D6" s="1250" t="s">
        <v>979</v>
      </c>
      <c r="E6" s="1177"/>
    </row>
    <row r="7" spans="1:5">
      <c r="A7" s="1253"/>
      <c r="B7" s="1262">
        <f>C3*E3</f>
        <v>118500.5224</v>
      </c>
      <c r="C7" s="1262">
        <f>C4*E4</f>
        <v>585567.29696265992</v>
      </c>
      <c r="D7" s="1254">
        <f>(1-'Rental Income'!O19)</f>
        <v>0.80263157894736836</v>
      </c>
    </row>
    <row r="8" spans="1:5">
      <c r="A8" s="1255" t="s">
        <v>980</v>
      </c>
      <c r="B8" s="1262">
        <f>B7*D7</f>
        <v>95112.261399999988</v>
      </c>
      <c r="C8" s="1262">
        <f>C7*D7</f>
        <v>469994.80414108228</v>
      </c>
      <c r="D8" s="1256"/>
    </row>
    <row r="9" spans="1:5">
      <c r="A9" s="1253"/>
      <c r="B9" s="1262"/>
      <c r="C9" s="1262"/>
      <c r="D9" s="1256"/>
    </row>
    <row r="10" spans="1:5">
      <c r="A10" s="1257" t="s">
        <v>981</v>
      </c>
      <c r="B10" s="1263">
        <f>SUM(B8:C8)</f>
        <v>565107.06554108229</v>
      </c>
      <c r="C10" s="1263"/>
      <c r="D10" s="1251"/>
    </row>
    <row r="12" spans="1:5">
      <c r="A12" t="s">
        <v>990</v>
      </c>
    </row>
    <row r="13" spans="1:5">
      <c r="A13" t="s">
        <v>991</v>
      </c>
      <c r="B13">
        <v>6</v>
      </c>
      <c r="C13" s="1270">
        <f>C3*(E3/12)*B13</f>
        <v>59250.261200000001</v>
      </c>
    </row>
    <row r="14" spans="1:5">
      <c r="A14" t="s">
        <v>992</v>
      </c>
      <c r="B14">
        <v>24</v>
      </c>
      <c r="C14" s="1270">
        <f>C3*(E3/12)*B14</f>
        <v>237001.0448</v>
      </c>
    </row>
    <row r="15" spans="1:5">
      <c r="A15" s="40" t="s">
        <v>994</v>
      </c>
      <c r="C15" s="1273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79283</v>
      </c>
      <c r="E22" s="48">
        <v>1043</v>
      </c>
      <c r="F22" s="453" t="s">
        <v>172</v>
      </c>
      <c r="N22" s="428">
        <f>D22*0.8</f>
        <v>63426.400000000001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174</v>
      </c>
      <c r="D23" s="48">
        <f>(E23*$D$10-20)/2</f>
        <v>101374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14166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80343.360000000001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183</v>
      </c>
      <c r="D26" s="51">
        <f>SUM(D22:D25)</f>
        <v>275166.36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28272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192</v>
      </c>
      <c r="D31" s="48">
        <f>E31*$D$10</f>
        <v>24928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194</v>
      </c>
      <c r="C32" s="43"/>
      <c r="D32" s="50">
        <f>E32*$D$10</f>
        <v>4560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202</v>
      </c>
      <c r="D37" s="48">
        <f>E37*$D$10</f>
        <v>120080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63992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264632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56088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40382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60192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20672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129200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247464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565107.06554108229</v>
      </c>
      <c r="Y56" s="1171">
        <f>X56/'Rental Income'!D15</f>
        <v>3717.8096417176466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723.30417157894738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127680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263.15789473684208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637691.19887441571</v>
      </c>
    </row>
    <row r="65" spans="1:25">
      <c r="B65" t="s">
        <v>250</v>
      </c>
      <c r="D65" s="48">
        <f>E65*$D$10</f>
        <v>22800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202480</v>
      </c>
      <c r="E67" s="48">
        <f>SUM(E62:E66)</f>
        <v>1438.1578947368421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45600</v>
      </c>
      <c r="E69" s="426">
        <v>300</v>
      </c>
    </row>
    <row r="70" spans="1:25">
      <c r="V70" s="40" t="s">
        <v>256</v>
      </c>
      <c r="X70" s="1169">
        <f>SUM(X68,X64,X54,X39,X31)</f>
        <v>994973.51220774907</v>
      </c>
      <c r="Y70" s="1169">
        <f>X70/D10</f>
        <v>6545.8783697878225</v>
      </c>
    </row>
    <row r="71" spans="1:25">
      <c r="A71" s="40" t="s">
        <v>257</v>
      </c>
      <c r="D71" s="48">
        <f>E71*$D$10</f>
        <v>76000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171">
        <f>Y70-6000</f>
        <v>545.87836978782252</v>
      </c>
    </row>
    <row r="75" spans="1:25">
      <c r="A75" s="44" t="s">
        <v>260</v>
      </c>
      <c r="B75" s="45"/>
      <c r="C75" s="45"/>
      <c r="D75" s="52">
        <f>D19-D73</f>
        <v>4815582.2059199996</v>
      </c>
      <c r="E75" s="52">
        <f>D75/D10</f>
        <v>31681.46188105263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148344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61177208.750000007</v>
      </c>
      <c r="C7" s="465">
        <f>'Dev Summary_5-20'!B8</f>
        <v>3190331</v>
      </c>
      <c r="D7" s="465">
        <f t="shared" ref="D7:D14" si="0">B7-C7</f>
        <v>57986877.750000007</v>
      </c>
      <c r="E7" s="477">
        <f t="shared" ref="E7:E15" si="1">D7/B7</f>
        <v>0.94785098788934208</v>
      </c>
      <c r="F7" s="477"/>
      <c r="G7" s="472" t="e">
        <f t="shared" ref="G7:G14" si="2">B7/$B$15</f>
        <v>#REF!</v>
      </c>
      <c r="I7" s="147">
        <f>B7/$H$4</f>
        <v>556156.44318181823</v>
      </c>
      <c r="J7" s="53">
        <f>B7/$H$5</f>
        <v>412.40096498678753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252447.76871126809</v>
      </c>
      <c r="C9" s="446">
        <f>'Dev Summary_5-20'!B10</f>
        <v>50000</v>
      </c>
      <c r="D9" s="446">
        <f t="shared" si="0"/>
        <v>202447.76871126809</v>
      </c>
      <c r="E9" s="477">
        <f t="shared" si="1"/>
        <v>0.80193922784405169</v>
      </c>
      <c r="F9" s="477"/>
      <c r="G9" s="473" t="e">
        <f t="shared" si="2"/>
        <v>#REF!</v>
      </c>
      <c r="I9" s="53">
        <f t="shared" si="3"/>
        <v>2294.9797155569827</v>
      </c>
      <c r="J9" s="53">
        <f t="shared" si="4"/>
        <v>1.7017726952978758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1.9970562071940894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2537086</v>
      </c>
      <c r="C14" s="467">
        <f>'Dev Summary_5-20'!B14</f>
        <v>282276.62941911275</v>
      </c>
      <c r="D14" s="467">
        <f t="shared" si="0"/>
        <v>2254809.3705808874</v>
      </c>
      <c r="E14" s="478">
        <f t="shared" si="1"/>
        <v>0.88873982615523772</v>
      </c>
      <c r="F14" s="478"/>
      <c r="G14" s="474" t="e">
        <f t="shared" si="2"/>
        <v>#REF!</v>
      </c>
      <c r="I14" s="53">
        <f t="shared" si="3"/>
        <v>23064.418181818182</v>
      </c>
      <c r="J14" s="53">
        <f t="shared" si="4"/>
        <v>17.102720703230329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56222477.195673719</v>
      </c>
      <c r="C21" s="48">
        <v>18731659</v>
      </c>
      <c r="D21" s="48">
        <f>B21-C21</f>
        <v>37490818.195673719</v>
      </c>
      <c r="E21" s="55">
        <f>D21/B21</f>
        <v>0.6668297105656279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4846477.195673719</v>
      </c>
      <c r="C28" s="50"/>
      <c r="D28" s="50">
        <f t="shared" si="5"/>
        <v>4846477.195673719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1004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1005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1006</v>
      </c>
      <c r="B3" s="1297" t="s">
        <v>1087</v>
      </c>
      <c r="C3" s="1298"/>
      <c r="D3" s="1298" t="s">
        <v>1007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1008</v>
      </c>
      <c r="B4" s="1301" t="s">
        <v>1009</v>
      </c>
      <c r="C4" s="1302"/>
      <c r="D4" s="1302"/>
      <c r="E4" s="1302" t="s">
        <v>1010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1011</v>
      </c>
      <c r="D5" s="1302"/>
      <c r="E5" s="1302"/>
      <c r="F5" s="1302"/>
      <c r="G5" s="1302"/>
      <c r="H5" s="1302"/>
      <c r="I5" s="1305" t="s">
        <v>1012</v>
      </c>
      <c r="J5" s="1302"/>
      <c r="K5" s="1304"/>
    </row>
    <row r="6" spans="1:11" ht="16.5" thickBot="1">
      <c r="A6" s="1306" t="s">
        <v>1013</v>
      </c>
      <c r="B6" s="1307"/>
      <c r="C6" s="1308">
        <v>20</v>
      </c>
      <c r="D6" s="1307"/>
      <c r="E6" s="1307" t="s">
        <v>1014</v>
      </c>
      <c r="F6" s="1307"/>
      <c r="G6" s="1307"/>
      <c r="H6" s="1309">
        <f>'Development Budget'!G46+'Development Budget'!G47</f>
        <v>67294929.625000015</v>
      </c>
      <c r="I6" s="1310"/>
      <c r="J6" s="1311"/>
      <c r="K6" s="1312"/>
    </row>
    <row r="7" spans="1:11">
      <c r="A7" s="1313" t="s">
        <v>1015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1016</v>
      </c>
      <c r="B8" s="1315"/>
      <c r="C8" s="1315"/>
      <c r="D8" s="1318">
        <f>SUM(H6/1000)*0.9+500</f>
        <v>61065.436662500018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1017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54958.892996250019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1018</v>
      </c>
      <c r="B13" s="1315"/>
      <c r="C13" s="1315"/>
      <c r="D13" s="1318">
        <f>SUM(A14+A15+A16)/100*0.415/12*C6</f>
        <v>497584.51323958341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67294929.625000015</v>
      </c>
      <c r="B14" s="1315" t="s">
        <v>1019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1020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1021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1022</v>
      </c>
      <c r="B17" s="1315"/>
      <c r="C17" s="1315"/>
      <c r="D17" s="1318">
        <f>SUM(H6/1000)*0.23</f>
        <v>15477.833813750005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1023</v>
      </c>
      <c r="B19" s="1315"/>
      <c r="C19" s="1315"/>
      <c r="D19" s="1318"/>
      <c r="E19" s="1323">
        <f>SUM(D8:D17)</f>
        <v>629086.6767120834</v>
      </c>
      <c r="F19" s="1315"/>
      <c r="G19" s="1324" t="s">
        <v>1024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1025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1026</v>
      </c>
      <c r="B23" s="1336" t="str">
        <f>B3</f>
        <v>St. James UMC</v>
      </c>
      <c r="C23" s="1336"/>
      <c r="D23" s="1336"/>
      <c r="E23" s="1336" t="s">
        <v>1027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1009</v>
      </c>
      <c r="C24" s="1336"/>
      <c r="D24" s="1336"/>
      <c r="E24" s="1336"/>
      <c r="F24" s="1336"/>
      <c r="G24" s="1336"/>
      <c r="H24" s="1336"/>
      <c r="I24" s="1340" t="s">
        <v>1012</v>
      </c>
      <c r="J24" s="1336"/>
      <c r="K24" s="1338"/>
    </row>
    <row r="25" spans="1:11" ht="16.5" thickBot="1">
      <c r="A25" s="1341" t="s">
        <v>1028</v>
      </c>
      <c r="B25" s="1342"/>
      <c r="C25" s="1343">
        <v>50</v>
      </c>
      <c r="D25" s="1342"/>
      <c r="E25" s="1342" t="s">
        <v>1029</v>
      </c>
      <c r="F25" s="1342"/>
      <c r="G25" s="1342"/>
      <c r="H25" s="1344">
        <f>SUM(H6*0.8)</f>
        <v>53835943.700000018</v>
      </c>
      <c r="I25" s="1345"/>
      <c r="J25" s="1346"/>
      <c r="K25" s="1347"/>
    </row>
    <row r="26" spans="1:11">
      <c r="A26" s="1348" t="s">
        <v>1015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1016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1017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1030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1031</v>
      </c>
      <c r="B32" s="1350"/>
      <c r="C32" s="1350"/>
      <c r="D32" s="1353">
        <f>SUM(A33+A34+A35)/100*0.135+500</f>
        <v>74434.467875000017</v>
      </c>
      <c r="E32" s="1350" t="s">
        <v>1032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53835943.700000018</v>
      </c>
      <c r="B33" s="1350" t="s">
        <v>1033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160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1034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1035</v>
      </c>
      <c r="B36" s="1350"/>
      <c r="C36" s="1350"/>
      <c r="D36" s="1353"/>
      <c r="E36" s="1356">
        <f>SUM(D27:D34)</f>
        <v>81521.967875000017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6" t="s">
        <v>456</v>
      </c>
      <c r="B5" s="1607"/>
      <c r="C5" s="1607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8"/>
      <c r="B6" s="1609"/>
      <c r="C6" s="1609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6" t="s">
        <v>470</v>
      </c>
      <c r="B5" s="1607"/>
      <c r="C5" s="1607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8"/>
      <c r="B6" s="1609"/>
      <c r="C6" s="1609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732326.505</v>
      </c>
      <c r="E10" s="748">
        <f>'PreDev Flow of Funds'!Y10+'PreDev Flow of Funds'!Y12</f>
        <v>1395966</v>
      </c>
      <c r="F10" s="748">
        <f>(D10-E10)/18</f>
        <v>-36868.860833333332</v>
      </c>
      <c r="G10" s="748">
        <f>$F$10</f>
        <v>-36868.860833333332</v>
      </c>
      <c r="H10" s="748">
        <f t="shared" ref="H10:W10" si="2">$F$10</f>
        <v>-36868.860833333332</v>
      </c>
      <c r="I10" s="748">
        <f t="shared" si="2"/>
        <v>-36868.860833333332</v>
      </c>
      <c r="J10" s="748">
        <f t="shared" si="2"/>
        <v>-36868.860833333332</v>
      </c>
      <c r="K10" s="748">
        <f t="shared" si="2"/>
        <v>-36868.860833333332</v>
      </c>
      <c r="L10" s="748">
        <f t="shared" si="2"/>
        <v>-36868.860833333332</v>
      </c>
      <c r="M10" s="748">
        <f t="shared" si="2"/>
        <v>-36868.860833333332</v>
      </c>
      <c r="N10" s="748">
        <f t="shared" si="2"/>
        <v>-36868.860833333332</v>
      </c>
      <c r="O10" s="748">
        <f t="shared" si="2"/>
        <v>-36868.860833333332</v>
      </c>
      <c r="P10" s="748">
        <f t="shared" si="2"/>
        <v>-36868.860833333332</v>
      </c>
      <c r="Q10" s="748">
        <f t="shared" si="2"/>
        <v>-36868.860833333332</v>
      </c>
      <c r="R10" s="748">
        <f t="shared" si="2"/>
        <v>-36868.860833333332</v>
      </c>
      <c r="S10" s="748">
        <f t="shared" si="2"/>
        <v>-36868.860833333332</v>
      </c>
      <c r="T10" s="748">
        <f t="shared" si="2"/>
        <v>-36868.860833333332</v>
      </c>
      <c r="U10" s="748">
        <f t="shared" si="2"/>
        <v>-36868.860833333332</v>
      </c>
      <c r="V10" s="748">
        <f t="shared" si="2"/>
        <v>-36868.860833333332</v>
      </c>
      <c r="W10" s="748">
        <f t="shared" si="2"/>
        <v>-36868.860833333332</v>
      </c>
      <c r="X10" s="748"/>
      <c r="Y10" s="748">
        <f>SUM(E10:W10)</f>
        <v>732326.50499999989</v>
      </c>
    </row>
    <row r="11" spans="1:25" ht="15">
      <c r="A11" s="402"/>
      <c r="B11" s="403" t="s">
        <v>388</v>
      </c>
      <c r="C11" s="748"/>
      <c r="D11" s="748">
        <f>'Development Budget'!G41</f>
        <v>732326.505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61177208.750000007</v>
      </c>
      <c r="E13" s="748">
        <f>'PreDev Flow of Funds'!Y14</f>
        <v>69798.3</v>
      </c>
      <c r="F13" s="748">
        <f>(D13-E13)/18</f>
        <v>3394856.1361111118</v>
      </c>
      <c r="G13" s="748">
        <f>$F$13</f>
        <v>3394856.1361111118</v>
      </c>
      <c r="H13" s="748">
        <f t="shared" ref="H13:W13" si="5">$F$13</f>
        <v>3394856.1361111118</v>
      </c>
      <c r="I13" s="748">
        <f t="shared" si="5"/>
        <v>3394856.1361111118</v>
      </c>
      <c r="J13" s="748">
        <f t="shared" si="5"/>
        <v>3394856.1361111118</v>
      </c>
      <c r="K13" s="748">
        <f t="shared" si="5"/>
        <v>3394856.1361111118</v>
      </c>
      <c r="L13" s="748">
        <f t="shared" si="5"/>
        <v>3394856.1361111118</v>
      </c>
      <c r="M13" s="748">
        <f t="shared" si="5"/>
        <v>3394856.1361111118</v>
      </c>
      <c r="N13" s="748">
        <f t="shared" si="5"/>
        <v>3394856.1361111118</v>
      </c>
      <c r="O13" s="748">
        <f t="shared" si="5"/>
        <v>3394856.1361111118</v>
      </c>
      <c r="P13" s="748">
        <f t="shared" si="5"/>
        <v>3394856.1361111118</v>
      </c>
      <c r="Q13" s="748">
        <f t="shared" si="5"/>
        <v>3394856.1361111118</v>
      </c>
      <c r="R13" s="748">
        <f t="shared" si="5"/>
        <v>3394856.1361111118</v>
      </c>
      <c r="S13" s="748">
        <f t="shared" si="5"/>
        <v>3394856.1361111118</v>
      </c>
      <c r="T13" s="748">
        <f t="shared" si="5"/>
        <v>3394856.1361111118</v>
      </c>
      <c r="U13" s="748">
        <f t="shared" si="5"/>
        <v>3394856.1361111118</v>
      </c>
      <c r="V13" s="748">
        <f t="shared" si="5"/>
        <v>3394856.1361111118</v>
      </c>
      <c r="W13" s="748">
        <f t="shared" si="5"/>
        <v>3394856.1361111118</v>
      </c>
      <c r="X13" s="748"/>
      <c r="Y13" s="748">
        <f t="shared" si="3"/>
        <v>61177208.75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61177208.750000007</v>
      </c>
      <c r="E15" s="748">
        <f>'PreDev Flow of Funds'!Y16+'PreDev Flow of Funds'!Y17+'PreDev Flow of Funds'!Y19</f>
        <v>72500</v>
      </c>
      <c r="F15" s="748">
        <f>(D15-E15)/18</f>
        <v>3394706.041666667</v>
      </c>
      <c r="G15" s="748">
        <f>$F$15</f>
        <v>3394706.041666667</v>
      </c>
      <c r="H15" s="748">
        <f t="shared" ref="H15:W15" si="7">$F$15</f>
        <v>3394706.041666667</v>
      </c>
      <c r="I15" s="748">
        <f t="shared" si="7"/>
        <v>3394706.041666667</v>
      </c>
      <c r="J15" s="748">
        <f t="shared" si="7"/>
        <v>3394706.041666667</v>
      </c>
      <c r="K15" s="748">
        <f t="shared" si="7"/>
        <v>3394706.041666667</v>
      </c>
      <c r="L15" s="748">
        <f t="shared" si="7"/>
        <v>3394706.041666667</v>
      </c>
      <c r="M15" s="748">
        <f t="shared" si="7"/>
        <v>3394706.041666667</v>
      </c>
      <c r="N15" s="748">
        <f t="shared" si="7"/>
        <v>3394706.041666667</v>
      </c>
      <c r="O15" s="748">
        <f t="shared" si="7"/>
        <v>3394706.041666667</v>
      </c>
      <c r="P15" s="748">
        <f t="shared" si="7"/>
        <v>3394706.041666667</v>
      </c>
      <c r="Q15" s="748">
        <f t="shared" si="7"/>
        <v>3394706.041666667</v>
      </c>
      <c r="R15" s="748">
        <f t="shared" si="7"/>
        <v>3394706.041666667</v>
      </c>
      <c r="S15" s="748">
        <f t="shared" si="7"/>
        <v>3394706.041666667</v>
      </c>
      <c r="T15" s="748">
        <f t="shared" si="7"/>
        <v>3394706.041666667</v>
      </c>
      <c r="U15" s="748">
        <f t="shared" si="7"/>
        <v>3394706.041666667</v>
      </c>
      <c r="V15" s="748">
        <f t="shared" si="7"/>
        <v>3394706.041666667</v>
      </c>
      <c r="W15" s="748">
        <f t="shared" si="7"/>
        <v>3394706.041666667</v>
      </c>
      <c r="X15" s="748"/>
      <c r="Y15" s="748">
        <f t="shared" si="3"/>
        <v>61177208.749999985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48821767</v>
      </c>
      <c r="E33" s="748">
        <v>0</v>
      </c>
      <c r="F33" s="748">
        <f>D33</f>
        <v>48821767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48821767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152943.02187500003</v>
      </c>
      <c r="E43" s="748">
        <f>D43</f>
        <v>152943.02187500003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152943.02187500003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343943.02187500003</v>
      </c>
      <c r="E52" s="748">
        <f>D52</f>
        <v>343943.02187500003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343943.02187500003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2537086</v>
      </c>
      <c r="E58" s="748">
        <f>'PreDev Flow of Funds'!Y46</f>
        <v>96238.814999999988</v>
      </c>
      <c r="F58" s="748">
        <f>(D58-E58)/18</f>
        <v>135602.62138888889</v>
      </c>
      <c r="G58" s="748">
        <f>$F$58</f>
        <v>135602.62138888889</v>
      </c>
      <c r="H58" s="748">
        <f t="shared" ref="H58:W58" si="18">$F$58</f>
        <v>135602.62138888889</v>
      </c>
      <c r="I58" s="748">
        <f t="shared" si="18"/>
        <v>135602.62138888889</v>
      </c>
      <c r="J58" s="748">
        <f t="shared" si="18"/>
        <v>135602.62138888889</v>
      </c>
      <c r="K58" s="748">
        <f t="shared" si="18"/>
        <v>135602.62138888889</v>
      </c>
      <c r="L58" s="748">
        <f t="shared" si="18"/>
        <v>135602.62138888889</v>
      </c>
      <c r="M58" s="748">
        <f t="shared" si="18"/>
        <v>135602.62138888889</v>
      </c>
      <c r="N58" s="748">
        <f t="shared" si="18"/>
        <v>135602.62138888889</v>
      </c>
      <c r="O58" s="748">
        <f t="shared" si="18"/>
        <v>135602.62138888889</v>
      </c>
      <c r="P58" s="748">
        <f t="shared" si="18"/>
        <v>135602.62138888889</v>
      </c>
      <c r="Q58" s="748">
        <f t="shared" si="18"/>
        <v>135602.62138888889</v>
      </c>
      <c r="R58" s="748">
        <f t="shared" si="18"/>
        <v>135602.62138888889</v>
      </c>
      <c r="S58" s="748">
        <f t="shared" si="18"/>
        <v>135602.62138888889</v>
      </c>
      <c r="T58" s="748">
        <f t="shared" si="18"/>
        <v>135602.62138888889</v>
      </c>
      <c r="U58" s="748">
        <f t="shared" si="18"/>
        <v>135602.62138888889</v>
      </c>
      <c r="V58" s="748">
        <f t="shared" si="18"/>
        <v>135602.62138888889</v>
      </c>
      <c r="W58" s="748">
        <f t="shared" si="18"/>
        <v>135602.62138888889</v>
      </c>
      <c r="X58" s="748"/>
      <c r="Y58" s="748">
        <f t="shared" si="3"/>
        <v>2537086.0000000005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252447.76871126809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15342039.118749997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51376000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-11507742.51</v>
      </c>
      <c r="E87" s="749">
        <f>E80-E84-E85-E86-E88-E89-E90-E91</f>
        <v>500886.04374999553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15342039.118749997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6"/>
      <c r="B5" s="1607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8"/>
      <c r="B6" s="1619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6"/>
      <c r="B39" s="1607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8"/>
      <c r="B40" s="1619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6"/>
      <c r="B72" s="1607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8"/>
      <c r="B73" s="1609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10" t="s">
        <v>590</v>
      </c>
      <c r="D74" s="1611"/>
      <c r="E74" s="1611"/>
      <c r="F74" s="1611"/>
      <c r="G74" s="1611"/>
      <c r="H74" s="1611"/>
      <c r="I74" s="1612"/>
      <c r="J74" s="1620" t="s">
        <v>583</v>
      </c>
      <c r="K74" s="1621"/>
      <c r="L74" s="1621"/>
      <c r="M74" s="1621"/>
      <c r="N74" s="1621"/>
      <c r="O74" s="162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10"/>
      <c r="D78" s="1611"/>
      <c r="E78" s="1611"/>
      <c r="F78" s="1611"/>
      <c r="G78" s="1611"/>
      <c r="H78" s="1611"/>
      <c r="I78" s="161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10"/>
      <c r="D85" s="1611"/>
      <c r="E85" s="1611"/>
      <c r="F85" s="1611"/>
      <c r="G85" s="1611"/>
      <c r="H85" s="1611"/>
      <c r="I85" s="161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10"/>
      <c r="D91" s="1611"/>
      <c r="E91" s="1611"/>
      <c r="F91" s="1611"/>
      <c r="G91" s="1611"/>
      <c r="H91" s="1611"/>
      <c r="I91" s="1612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-1159961.61625</v>
      </c>
      <c r="K103" s="162">
        <f>J103+(C116*0.25)/2</f>
        <v>-2319923.2324999999</v>
      </c>
      <c r="L103" s="162">
        <f>K103+((C116-K103)/4)</f>
        <v>-4059865.6568749999</v>
      </c>
      <c r="M103" s="162">
        <f>L103+((C116-K103)/4)</f>
        <v>-5799808.0812499998</v>
      </c>
      <c r="N103" s="162">
        <f>M103+((C116-K103)/4)</f>
        <v>-7539750.5056250002</v>
      </c>
      <c r="O103" s="162">
        <f>N103+((C116-K103)/4)</f>
        <v>-9279692.9299999997</v>
      </c>
      <c r="P103" s="162">
        <f>O103</f>
        <v>-9279692.9299999997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9742639.4591666665</v>
      </c>
      <c r="K104" s="371">
        <f>((C117-1033493)/6)+J104</f>
        <v>19485278.918333333</v>
      </c>
      <c r="L104" s="371">
        <f>((C117-1033493)/6)+K104</f>
        <v>29227918.377499998</v>
      </c>
      <c r="M104" s="371">
        <f>((C117-1033493)/6)+L104</f>
        <v>38970557.836666666</v>
      </c>
      <c r="N104" s="371">
        <f>((C117-1033493)/6)+M104</f>
        <v>48713197.295833334</v>
      </c>
      <c r="O104" s="371">
        <f>((C117-1033493)/6)+N104</f>
        <v>58455836.755000003</v>
      </c>
      <c r="P104" s="371">
        <f>(286645+100000+646848)+O104</f>
        <v>59489329.755000003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8582677.8429166675</v>
      </c>
      <c r="K110" s="371">
        <f t="shared" ref="K110:P110" si="9">SUM(K103:K104)</f>
        <v>17165355.685833335</v>
      </c>
      <c r="L110" s="371">
        <f t="shared" si="9"/>
        <v>25168052.720624998</v>
      </c>
      <c r="M110" s="371">
        <f t="shared" si="9"/>
        <v>33170749.755416665</v>
      </c>
      <c r="N110" s="371">
        <f t="shared" si="9"/>
        <v>41173446.790208332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5">
        <f>'PreDev Flow of Funds'!D47</f>
        <v>14824249.954999998</v>
      </c>
      <c r="D114" s="1614"/>
    </row>
    <row r="115" spans="2:19">
      <c r="B115" s="397" t="s">
        <v>601</v>
      </c>
      <c r="C115" s="1616">
        <f>M102</f>
        <v>1323400.22</v>
      </c>
      <c r="D115" s="1614"/>
    </row>
    <row r="116" spans="2:19">
      <c r="B116" s="397" t="s">
        <v>583</v>
      </c>
      <c r="C116" s="1616">
        <f>'Development Budget'!G37-Predevelopment!D27-Predevelopment!D28-Predevelopment!D29-Timeline!M102-Predevelopment!D17</f>
        <v>-9279692.9299999997</v>
      </c>
      <c r="D116" s="1614"/>
    </row>
    <row r="117" spans="2:19" ht="16.5" thickBot="1">
      <c r="B117" s="398" t="s">
        <v>602</v>
      </c>
      <c r="C117" s="1617">
        <f>C118-C114-C116-C115</f>
        <v>59489329.755000003</v>
      </c>
      <c r="D117" s="1618"/>
    </row>
    <row r="118" spans="2:19" ht="16.5" thickTop="1">
      <c r="B118" s="368" t="s">
        <v>586</v>
      </c>
      <c r="C118" s="1613">
        <v>66357287</v>
      </c>
      <c r="D118" s="1614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