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Lowered TDC Per Unit\"/>
    </mc:Choice>
  </mc:AlternateContent>
  <xr:revisionPtr revIDLastSave="0" documentId="13_ncr:1_{EDC25157-FEAA-4472-A00F-F3E0FDA4B9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E27" i="28" l="1"/>
  <c r="D28" i="28"/>
  <c r="D23" i="2"/>
  <c r="D22" i="6"/>
  <c r="G254" i="1"/>
  <c r="D24" i="2" l="1"/>
  <c r="E23" i="2"/>
  <c r="E18" i="28"/>
  <c r="E28" i="28"/>
  <c r="E24" i="2" l="1"/>
  <c r="D32" i="2"/>
  <c r="I36" i="2"/>
  <c r="E38" i="6"/>
  <c r="D20" i="6"/>
  <c r="H40" i="2" l="1"/>
  <c r="I40" i="2" s="1"/>
  <c r="E32" i="2"/>
  <c r="H39" i="2"/>
  <c r="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<sst xmlns="http://schemas.openxmlformats.org/spreadsheetml/2006/main" count="1992" uniqueCount="1105">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</sst>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4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94" fillId="44" borderId="0" xfId="0" applyFont="1" applyFill="1" applyAlignment="1">
      <alignment horizontal="left" vertical="top"/>
    </xf>
    <xf numFmtId="6" fontId="94" fillId="44" borderId="0" xfId="0" applyNumberFormat="1" applyFont="1" applyFill="1" applyAlignment="1">
      <alignment horizontal="right" vertical="top"/>
    </xf>
    <xf numFmtId="9" fontId="96" fillId="44" borderId="0" xfId="5" applyFont="1" applyFill="1" applyBorder="1" applyAlignment="1" applyProtection="1">
      <alignment vertical="top"/>
    </xf>
    <xf numFmtId="6" fontId="94" fillId="44" borderId="74" xfId="6" applyNumberFormat="1" applyFont="1" applyFill="1" applyBorder="1" applyAlignment="1" applyProtection="1">
      <alignment vertical="top"/>
      <protection locked="0"/>
    </xf>
    <xf numFmtId="38" fontId="94" fillId="44" borderId="0" xfId="6" applyNumberFormat="1" applyFont="1" applyFill="1" applyBorder="1" applyAlignment="1" applyProtection="1">
      <alignment vertical="top"/>
      <protection locked="0"/>
    </xf>
    <xf numFmtId="0" fontId="94" fillId="44" borderId="0" xfId="0" applyFont="1" applyFill="1" applyAlignment="1">
      <alignment vertical="top"/>
    </xf>
    <xf numFmtId="38" fontId="96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  <protection locked="0"/>
    </xf>
    <xf numFmtId="0" fontId="24" fillId="44" borderId="0" xfId="0" applyFont="1" applyFill="1" applyAlignment="1">
      <alignment vertical="top"/>
    </xf>
    <xf numFmtId="10" fontId="94" fillId="44" borderId="0" xfId="0" applyNumberFormat="1" applyFont="1" applyFill="1" applyAlignment="1">
      <alignment vertical="top"/>
    </xf>
    <xf numFmtId="169" fontId="94" fillId="44" borderId="0" xfId="0" applyNumberFormat="1" applyFont="1" applyFill="1" applyAlignment="1">
      <alignment vertical="top"/>
    </xf>
    <xf numFmtId="7" fontId="94" fillId="44" borderId="0" xfId="0" applyNumberFormat="1" applyFont="1" applyFill="1" applyAlignment="1">
      <alignment vertical="top"/>
    </xf>
    <xf numFmtId="8" fontId="94" fillId="44" borderId="0" xfId="0" applyNumberFormat="1" applyFont="1" applyFill="1" applyAlignment="1">
      <alignment vertical="top"/>
    </xf>
    <xf numFmtId="38" fontId="96" fillId="44" borderId="0" xfId="6" applyNumberFormat="1" applyFont="1" applyFill="1" applyBorder="1" applyAlignment="1" applyProtection="1">
      <alignment vertical="top"/>
    </xf>
    <xf numFmtId="40" fontId="94" fillId="44" borderId="0" xfId="0" applyNumberFormat="1" applyFont="1" applyFill="1" applyAlignment="1">
      <alignment vertical="top"/>
    </xf>
    <xf numFmtId="0" fontId="112" fillId="44" borderId="19" xfId="0" applyFont="1" applyFill="1" applyBorder="1" applyAlignment="1" applyProtection="1">
      <alignment horizontal="left" vertical="top"/>
      <protection locked="0"/>
    </xf>
    <xf numFmtId="0" fontId="100" fillId="44" borderId="19" xfId="0" applyFont="1" applyFill="1" applyBorder="1" applyAlignment="1" applyProtection="1">
      <alignment horizontal="left" vertical="top"/>
      <protection locked="0"/>
    </xf>
    <xf numFmtId="40" fontId="100" fillId="44" borderId="19" xfId="0" applyNumberFormat="1" applyFont="1" applyFill="1" applyBorder="1" applyAlignment="1">
      <alignment vertical="top"/>
    </xf>
    <xf numFmtId="38" fontId="112" fillId="44" borderId="19" xfId="0" applyNumberFormat="1" applyFont="1" applyFill="1" applyBorder="1" applyAlignment="1">
      <alignment vertical="top"/>
    </xf>
    <xf numFmtId="38" fontId="100" fillId="44" borderId="71" xfId="6" applyNumberFormat="1" applyFont="1" applyFill="1" applyBorder="1" applyAlignment="1" applyProtection="1">
      <alignment vertical="top"/>
    </xf>
    <xf numFmtId="38" fontId="100" fillId="44" borderId="19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  <protection locked="0"/>
    </xf>
    <xf numFmtId="0" fontId="100" fillId="44" borderId="0" xfId="0" applyFont="1" applyFill="1" applyAlignment="1">
      <alignment horizontal="left" vertical="top"/>
    </xf>
    <xf numFmtId="38" fontId="94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>
      <alignment vertical="top"/>
    </xf>
    <xf numFmtId="38" fontId="94" fillId="44" borderId="0" xfId="6" applyNumberFormat="1" applyFont="1" applyFill="1" applyBorder="1" applyAlignment="1">
      <alignment vertical="top"/>
    </xf>
    <xf numFmtId="169" fontId="94" fillId="44" borderId="0" xfId="0" applyNumberFormat="1" applyFont="1" applyFill="1" applyAlignment="1">
      <alignment horizontal="right" vertical="top"/>
    </xf>
    <xf numFmtId="38" fontId="24" fillId="44" borderId="74" xfId="0" applyNumberFormat="1" applyFont="1" applyFill="1" applyBorder="1"/>
    <xf numFmtId="38" fontId="24" fillId="44" borderId="0" xfId="0" applyNumberFormat="1" applyFont="1" applyFill="1"/>
    <xf numFmtId="40" fontId="24" fillId="44" borderId="0" xfId="0" applyNumberFormat="1" applyFont="1" applyFill="1" applyAlignment="1">
      <alignment vertical="top"/>
    </xf>
    <xf numFmtId="38" fontId="105" fillId="44" borderId="0" xfId="0" applyNumberFormat="1" applyFont="1" applyFill="1" applyAlignment="1">
      <alignment vertical="top"/>
    </xf>
    <xf numFmtId="6" fontId="106" fillId="44" borderId="0" xfId="0" applyNumberFormat="1" applyFont="1" applyFill="1" applyAlignment="1">
      <alignment vertical="top"/>
    </xf>
    <xf numFmtId="38" fontId="101" fillId="44" borderId="0" xfId="0" applyNumberFormat="1" applyFont="1" applyFill="1" applyAlignment="1">
      <alignment vertical="top"/>
    </xf>
    <xf numFmtId="10" fontId="24" fillId="44" borderId="0" xfId="5" applyNumberFormat="1" applyFont="1" applyFill="1" applyBorder="1" applyAlignment="1" applyProtection="1">
      <alignment vertical="top"/>
    </xf>
    <xf numFmtId="38" fontId="105" fillId="44" borderId="0" xfId="5" applyNumberFormat="1" applyFont="1" applyFill="1" applyBorder="1" applyAlignment="1" applyProtection="1">
      <alignment vertical="top"/>
    </xf>
    <xf numFmtId="0" fontId="0" fillId="44" borderId="0" xfId="0" applyFill="1"/>
    <xf numFmtId="164" fontId="105" fillId="44" borderId="74" xfId="6" applyNumberFormat="1" applyFont="1" applyFill="1" applyBorder="1" applyAlignment="1">
      <alignment vertical="top"/>
    </xf>
    <xf numFmtId="164" fontId="105" fillId="44" borderId="0" xfId="6" applyNumberFormat="1" applyFont="1" applyFill="1" applyBorder="1" applyAlignment="1">
      <alignment vertical="top"/>
    </xf>
    <xf numFmtId="164" fontId="126" fillId="44" borderId="0" xfId="0" applyNumberFormat="1" applyFont="1" applyFill="1"/>
    <xf numFmtId="164" fontId="127" fillId="44" borderId="0" xfId="0" applyNumberFormat="1" applyFont="1" applyFill="1"/>
    <xf numFmtId="0" fontId="112" fillId="44" borderId="19" xfId="0" applyFont="1" applyFill="1" applyBorder="1" applyAlignment="1">
      <alignment horizontal="left" vertical="top"/>
    </xf>
    <xf numFmtId="0" fontId="94" fillId="44" borderId="19" xfId="0" applyFont="1" applyFill="1" applyBorder="1" applyAlignment="1">
      <alignment horizontal="left" vertical="top"/>
    </xf>
    <xf numFmtId="0" fontId="0" fillId="44" borderId="19" xfId="0" applyFill="1" applyBorder="1"/>
    <xf numFmtId="38" fontId="128" fillId="44" borderId="19" xfId="0" applyNumberFormat="1" applyFont="1" applyFill="1" applyBorder="1" applyAlignment="1">
      <alignment vertical="top"/>
    </xf>
    <xf numFmtId="38" fontId="94" fillId="44" borderId="71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</xf>
    <xf numFmtId="165" fontId="24" fillId="44" borderId="0" xfId="5" applyNumberFormat="1" applyFont="1" applyFill="1" applyBorder="1" applyAlignment="1">
      <alignment vertical="top"/>
    </xf>
    <xf numFmtId="38" fontId="128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</xf>
    <xf numFmtId="38" fontId="94" fillId="44" borderId="0" xfId="6" applyNumberFormat="1" applyFont="1" applyFill="1" applyBorder="1" applyAlignment="1" applyProtection="1">
      <alignment vertical="top"/>
    </xf>
    <xf numFmtId="0" fontId="100" fillId="44" borderId="19" xfId="0" applyFont="1" applyFill="1" applyBorder="1" applyAlignment="1">
      <alignment horizontal="left" vertical="top"/>
    </xf>
    <xf numFmtId="180" fontId="102" fillId="44" borderId="19" xfId="0" applyNumberFormat="1" applyFont="1" applyFill="1" applyBorder="1" applyAlignment="1">
      <alignment vertical="top"/>
    </xf>
    <xf numFmtId="38" fontId="121" fillId="44" borderId="19" xfId="0" applyNumberFormat="1" applyFont="1" applyFill="1" applyBorder="1" applyAlignment="1">
      <alignment vertical="top"/>
    </xf>
    <xf numFmtId="181" fontId="24" fillId="44" borderId="0" xfId="5" applyNumberFormat="1" applyFont="1" applyFill="1" applyBorder="1" applyAlignment="1">
      <alignment vertical="top"/>
    </xf>
    <xf numFmtId="182" fontId="24" fillId="44" borderId="0" xfId="5" applyNumberFormat="1" applyFont="1" applyFill="1" applyBorder="1" applyAlignment="1">
      <alignment vertical="top"/>
    </xf>
    <xf numFmtId="0" fontId="112" fillId="44" borderId="0" xfId="0" applyFont="1" applyFill="1" applyAlignment="1">
      <alignment horizontal="left" vertical="top"/>
    </xf>
    <xf numFmtId="10" fontId="24" fillId="44" borderId="0" xfId="5" applyNumberFormat="1" applyFont="1" applyFill="1" applyBorder="1" applyAlignment="1">
      <alignment vertical="top"/>
    </xf>
    <xf numFmtId="38" fontId="105" fillId="44" borderId="0" xfId="5" applyNumberFormat="1" applyFont="1" applyFill="1" applyBorder="1" applyAlignment="1">
      <alignment vertical="top"/>
    </xf>
    <xf numFmtId="0" fontId="96" fillId="44" borderId="0" xfId="0" applyFont="1" applyFill="1" applyAlignment="1">
      <alignment horizontal="left" vertical="top"/>
    </xf>
    <xf numFmtId="38" fontId="24" fillId="44" borderId="74" xfId="6" applyNumberFormat="1" applyFont="1" applyFill="1" applyBorder="1" applyAlignment="1" applyProtection="1">
      <alignment vertical="top"/>
      <protection locked="0"/>
    </xf>
    <xf numFmtId="38" fontId="24" fillId="44" borderId="0" xfId="6" applyNumberFormat="1" applyFont="1" applyFill="1" applyBorder="1" applyAlignment="1" applyProtection="1">
      <alignment vertical="top"/>
      <protection locked="0"/>
    </xf>
    <xf numFmtId="10" fontId="92" fillId="44" borderId="0" xfId="5" applyNumberFormat="1" applyFont="1" applyFill="1" applyBorder="1" applyAlignment="1">
      <alignment vertical="top"/>
    </xf>
    <xf numFmtId="38" fontId="110" fillId="44" borderId="0" xfId="5" applyNumberFormat="1" applyFont="1" applyFill="1" applyBorder="1" applyAlignment="1">
      <alignment vertical="top"/>
    </xf>
    <xf numFmtId="38" fontId="100" fillId="44" borderId="74" xfId="6" applyNumberFormat="1" applyFont="1" applyFill="1" applyBorder="1" applyAlignment="1">
      <alignment vertical="top"/>
    </xf>
    <xf numFmtId="38" fontId="100" fillId="44" borderId="0" xfId="6" applyNumberFormat="1" applyFont="1" applyFill="1" applyBorder="1" applyAlignment="1">
      <alignment vertical="top"/>
    </xf>
    <xf numFmtId="38" fontId="129" fillId="44" borderId="0" xfId="0" applyNumberFormat="1" applyFont="1" applyFill="1" applyAlignment="1">
      <alignment vertical="top"/>
    </xf>
    <xf numFmtId="0" fontId="129" fillId="44" borderId="0" xfId="0" applyFont="1" applyFill="1" applyAlignment="1">
      <alignment vertical="top"/>
    </xf>
    <xf numFmtId="38" fontId="24" fillId="44" borderId="74" xfId="6" applyNumberFormat="1" applyFont="1" applyFill="1" applyBorder="1" applyAlignment="1">
      <alignment vertical="top"/>
    </xf>
    <xf numFmtId="38" fontId="24" fillId="44" borderId="0" xfId="6" applyNumberFormat="1" applyFont="1" applyFill="1" applyBorder="1" applyAlignment="1">
      <alignment vertical="top"/>
    </xf>
    <xf numFmtId="165" fontId="94" fillId="44" borderId="0" xfId="0" applyNumberFormat="1" applyFont="1" applyFill="1" applyAlignment="1">
      <alignment vertical="top"/>
    </xf>
    <xf numFmtId="38" fontId="24" fillId="44" borderId="74" xfId="0" applyNumberFormat="1" applyFont="1" applyFill="1" applyBorder="1" applyAlignment="1">
      <alignment vertical="top"/>
    </xf>
    <xf numFmtId="38" fontId="24" fillId="44" borderId="0" xfId="0" applyNumberFormat="1" applyFont="1" applyFill="1" applyAlignment="1">
      <alignment vertical="top"/>
    </xf>
    <xf numFmtId="0" fontId="102" fillId="44" borderId="0" xfId="0" applyFont="1" applyFill="1" applyAlignment="1">
      <alignment vertical="top"/>
    </xf>
    <xf numFmtId="38" fontId="110" fillId="44" borderId="0" xfId="0" applyNumberFormat="1" applyFont="1" applyFill="1" applyAlignment="1">
      <alignment vertical="top"/>
    </xf>
    <xf numFmtId="38" fontId="92" fillId="44" borderId="74" xfId="6" applyNumberFormat="1" applyFont="1" applyFill="1" applyBorder="1" applyAlignment="1">
      <alignment vertical="top"/>
    </xf>
    <xf numFmtId="38" fontId="92" fillId="44" borderId="0" xfId="6" applyNumberFormat="1" applyFont="1" applyFill="1" applyBorder="1" applyAlignment="1">
      <alignment vertical="top"/>
    </xf>
    <xf numFmtId="0" fontId="95" fillId="44" borderId="0" xfId="0" applyFont="1" applyFill="1" applyAlignment="1">
      <alignment vertical="top"/>
    </xf>
    <xf numFmtId="38" fontId="94" fillId="44" borderId="74" xfId="0" applyNumberFormat="1" applyFont="1" applyFill="1" applyBorder="1" applyAlignment="1">
      <alignment vertical="top"/>
    </xf>
    <xf numFmtId="38" fontId="121" fillId="44" borderId="0" xfId="0" applyNumberFormat="1" applyFont="1" applyFill="1" applyAlignment="1">
      <alignment vertical="top"/>
    </xf>
    <xf numFmtId="8" fontId="24" fillId="44" borderId="0" xfId="0" applyNumberFormat="1" applyFont="1" applyFill="1" applyAlignment="1">
      <alignment vertical="top"/>
    </xf>
    <xf numFmtId="0" fontId="0" fillId="44" borderId="74" xfId="0" applyFill="1" applyBorder="1"/>
    <xf numFmtId="8" fontId="24" fillId="44" borderId="0" xfId="5" applyNumberFormat="1" applyFont="1" applyFill="1" applyBorder="1" applyAlignment="1">
      <alignment vertical="top"/>
    </xf>
    <xf numFmtId="183" fontId="24" fillId="44" borderId="0" xfId="7" applyNumberFormat="1" applyFont="1" applyFill="1" applyBorder="1" applyAlignment="1">
      <alignment vertical="top"/>
    </xf>
    <xf numFmtId="170" fontId="24" fillId="44" borderId="0" xfId="7" applyNumberFormat="1" applyFont="1" applyFill="1" applyBorder="1" applyAlignment="1">
      <alignment vertical="top"/>
    </xf>
    <xf numFmtId="170" fontId="24" fillId="44" borderId="0" xfId="0" applyNumberFormat="1" applyFont="1" applyFill="1" applyAlignment="1">
      <alignment vertical="top"/>
    </xf>
    <xf numFmtId="3" fontId="105" fillId="44" borderId="0" xfId="0" applyNumberFormat="1" applyFont="1" applyFill="1"/>
    <xf numFmtId="3" fontId="105" fillId="44" borderId="0" xfId="5" applyNumberFormat="1" applyFont="1" applyFill="1" applyBorder="1" applyAlignment="1">
      <alignment vertical="top"/>
    </xf>
    <xf numFmtId="42" fontId="24" fillId="44" borderId="0" xfId="0" applyNumberFormat="1" applyFont="1" applyFill="1" applyAlignment="1">
      <alignment vertical="top"/>
    </xf>
    <xf numFmtId="3" fontId="105" fillId="44" borderId="0" xfId="0" applyNumberFormat="1" applyFont="1" applyFill="1" applyAlignment="1">
      <alignment vertical="top"/>
    </xf>
    <xf numFmtId="9" fontId="24" fillId="44" borderId="0" xfId="3" applyFont="1" applyFill="1" applyAlignment="1">
      <alignment vertical="top"/>
    </xf>
    <xf numFmtId="0" fontId="94" fillId="44" borderId="0" xfId="0" applyFont="1" applyFill="1" applyAlignment="1">
      <alignment horizontal="left"/>
    </xf>
    <xf numFmtId="0" fontId="129" fillId="44" borderId="0" xfId="0" applyFont="1" applyFill="1"/>
    <xf numFmtId="38" fontId="105" fillId="44" borderId="0" xfId="0" applyNumberFormat="1" applyFont="1" applyFill="1"/>
    <xf numFmtId="164" fontId="24" fillId="44" borderId="74" xfId="6" applyNumberFormat="1" applyFont="1" applyFill="1" applyBorder="1" applyAlignment="1"/>
    <xf numFmtId="164" fontId="24" fillId="44" borderId="0" xfId="6" applyNumberFormat="1" applyFont="1" applyFill="1" applyBorder="1" applyAlignment="1"/>
    <xf numFmtId="164" fontId="24" fillId="44" borderId="74" xfId="6" applyNumberFormat="1" applyFont="1" applyFill="1" applyBorder="1" applyAlignment="1">
      <alignment vertical="top"/>
    </xf>
    <xf numFmtId="164" fontId="24" fillId="44" borderId="0" xfId="6" applyNumberFormat="1" applyFont="1" applyFill="1" applyBorder="1" applyAlignment="1">
      <alignment vertical="top"/>
    </xf>
    <xf numFmtId="10" fontId="105" fillId="44" borderId="0" xfId="5" applyNumberFormat="1" applyFont="1" applyFill="1" applyBorder="1" applyAlignment="1">
      <alignment vertical="top"/>
    </xf>
    <xf numFmtId="0" fontId="0" fillId="44" borderId="0" xfId="0" applyFill="1" applyAlignment="1">
      <alignment vertical="top"/>
    </xf>
    <xf numFmtId="184" fontId="24" fillId="44" borderId="0" xfId="0" applyNumberFormat="1" applyFont="1" applyFill="1" applyAlignment="1">
      <alignment vertical="top"/>
    </xf>
    <xf numFmtId="38" fontId="105" fillId="44" borderId="0" xfId="6" applyNumberFormat="1" applyFont="1" applyFill="1" applyBorder="1" applyAlignment="1">
      <alignment vertical="top"/>
    </xf>
    <xf numFmtId="0" fontId="134" fillId="44" borderId="0" xfId="0" applyFont="1" applyFill="1" applyAlignment="1">
      <alignment horizontal="right"/>
    </xf>
    <xf numFmtId="38" fontId="137" fillId="44" borderId="0" xfId="0" applyNumberFormat="1" applyFont="1" applyFill="1"/>
    <xf numFmtId="38" fontId="24" fillId="44" borderId="74" xfId="6" applyNumberFormat="1" applyFont="1" applyFill="1" applyBorder="1" applyAlignment="1"/>
    <xf numFmtId="38" fontId="24" fillId="44" borderId="0" xfId="6" applyNumberFormat="1" applyFont="1" applyFill="1" applyBorder="1" applyAlignment="1"/>
    <xf numFmtId="0" fontId="24" fillId="44" borderId="0" xfId="0" applyFont="1" applyFill="1"/>
    <xf numFmtId="10" fontId="24" fillId="44" borderId="0" xfId="0" applyNumberFormat="1" applyFont="1" applyFill="1"/>
    <xf numFmtId="3" fontId="105" fillId="44" borderId="0" xfId="6" applyNumberFormat="1" applyFont="1" applyFill="1" applyBorder="1" applyAlignment="1">
      <alignment vertical="top"/>
    </xf>
    <xf numFmtId="0" fontId="24" fillId="44" borderId="74" xfId="0" applyFont="1" applyFill="1" applyBorder="1"/>
    <xf numFmtId="10" fontId="24" fillId="44" borderId="0" xfId="0" applyNumberFormat="1" applyFont="1" applyFill="1" applyAlignment="1">
      <alignment vertical="top"/>
    </xf>
    <xf numFmtId="0" fontId="24" fillId="44" borderId="74" xfId="0" applyFont="1" applyFill="1" applyBorder="1" applyAlignment="1">
      <alignment vertical="top"/>
    </xf>
    <xf numFmtId="3" fontId="24" fillId="44" borderId="0" xfId="7" applyNumberFormat="1" applyFont="1" applyFill="1" applyBorder="1" applyAlignment="1">
      <alignment vertical="top"/>
    </xf>
    <xf numFmtId="3" fontId="24" fillId="44" borderId="0" xfId="0" applyNumberFormat="1" applyFont="1" applyFill="1" applyAlignment="1">
      <alignment vertical="top"/>
    </xf>
    <xf numFmtId="0" fontId="0" fillId="44" borderId="74" xfId="0" applyFill="1" applyBorder="1" applyAlignment="1">
      <alignment vertical="top"/>
    </xf>
    <xf numFmtId="38" fontId="24" fillId="44" borderId="0" xfId="0" applyNumberFormat="1" applyFont="1" applyFill="1" applyAlignment="1">
      <alignment horizontal="center"/>
    </xf>
    <xf numFmtId="0" fontId="94" fillId="44" borderId="0" xfId="0" applyFont="1" applyFill="1" applyAlignment="1" applyProtection="1">
      <alignment horizontal="left" vertical="top"/>
      <protection locked="0"/>
    </xf>
    <xf numFmtId="6" fontId="24" fillId="44" borderId="0" xfId="0" applyNumberFormat="1" applyFont="1" applyFill="1" applyAlignment="1">
      <alignment vertical="top"/>
    </xf>
    <xf numFmtId="40" fontId="24" fillId="44" borderId="74" xfId="6" applyNumberFormat="1" applyFont="1" applyFill="1" applyBorder="1" applyAlignment="1" applyProtection="1">
      <alignment vertical="top"/>
      <protection locked="0"/>
    </xf>
    <xf numFmtId="40" fontId="24" fillId="44" borderId="0" xfId="6" applyNumberFormat="1" applyFont="1" applyFill="1" applyBorder="1" applyAlignment="1" applyProtection="1">
      <alignment vertical="top"/>
      <protection locked="0"/>
    </xf>
    <xf numFmtId="165" fontId="94" fillId="44" borderId="0" xfId="5" applyNumberFormat="1" applyFont="1" applyFill="1" applyBorder="1" applyAlignment="1">
      <alignment vertical="top"/>
    </xf>
    <xf numFmtId="0" fontId="100" fillId="44" borderId="0" xfId="0" applyFont="1" applyFill="1" applyAlignment="1">
      <alignment vertical="top"/>
    </xf>
    <xf numFmtId="38" fontId="92" fillId="44" borderId="74" xfId="6" applyNumberFormat="1" applyFont="1" applyFill="1" applyBorder="1" applyAlignment="1" applyProtection="1">
      <alignment vertical="top"/>
      <protection locked="0"/>
    </xf>
    <xf numFmtId="38" fontId="92" fillId="44" borderId="0" xfId="6" applyNumberFormat="1" applyFont="1" applyFill="1" applyBorder="1" applyAlignment="1" applyProtection="1">
      <alignment vertical="top"/>
      <protection locked="0"/>
    </xf>
    <xf numFmtId="7" fontId="100" fillId="44" borderId="0" xfId="0" applyNumberFormat="1" applyFont="1" applyFill="1" applyAlignment="1">
      <alignment vertical="top"/>
    </xf>
    <xf numFmtId="10" fontId="94" fillId="44" borderId="0" xfId="5" applyNumberFormat="1" applyFont="1" applyFill="1" applyBorder="1" applyAlignment="1">
      <alignment vertical="top"/>
    </xf>
    <xf numFmtId="43" fontId="94" fillId="44" borderId="0" xfId="6" applyFont="1" applyFill="1" applyBorder="1" applyAlignment="1">
      <alignment vertical="top"/>
    </xf>
    <xf numFmtId="42" fontId="94" fillId="44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1" workbookViewId="0">
      <selection activeCell="F12" sqref="F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1094</v>
      </c>
      <c r="B14" s="1535"/>
      <c r="C14" s="1535"/>
      <c r="D14" s="1559" t="s">
        <v>1103</v>
      </c>
      <c r="E14" s="700"/>
    </row>
    <row r="15" spans="1:5">
      <c r="A15" s="1427" t="s">
        <v>1091</v>
      </c>
      <c r="B15" s="1522"/>
      <c r="C15" s="1529"/>
      <c r="D15" s="1523" cm="1">
        <f t="array" aca="1" ref="D15" ca="1">IF(D14="Year 7 Takeout", INDIRECT("GapCalc!K46"), INDIRECT("GapCalc!K58"))</f>
        <v>9.0153614945505708E-2</v>
      </c>
      <c r="E15" s="700"/>
    </row>
    <row r="16" spans="1:5">
      <c r="A16" s="1525" t="s">
        <v>1092</v>
      </c>
      <c r="B16" s="702"/>
      <c r="D16" s="1524" cm="1">
        <f t="array" aca="1" ref="D16" ca="1">IF(D14="Year 7 Takeout", INDIRECT("GapCalc!K51"), INDIRECT("GapCalc!K63"))</f>
        <v>9.0153614945505764E-2</v>
      </c>
      <c r="E16" s="700"/>
    </row>
    <row r="17" spans="1:6">
      <c r="A17" s="1530"/>
      <c r="B17" s="702"/>
      <c r="D17" s="1526"/>
      <c r="E17" s="1597" t="s">
        <v>961</v>
      </c>
    </row>
    <row r="18" spans="1:6">
      <c r="A18" s="1527" t="s">
        <v>1093</v>
      </c>
      <c r="B18" s="47"/>
      <c r="C18" s="47"/>
      <c r="D18" s="1528" cm="1">
        <f t="array" aca="1" ref="D18" ca="1">IF(D14="Year 7 Takeout", INDIRECT("GapCalc!I55"), INDIRECT("GapCalc!I67"))</f>
        <v>24392.988408344798</v>
      </c>
      <c r="E18" s="1598">
        <f ca="1">-D18/D28</f>
        <v>-2.3089362974788253E-4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13305000</v>
      </c>
      <c r="E21" s="1376">
        <f>D21/$D$10</f>
        <v>65866.336633663363</v>
      </c>
    </row>
    <row r="22" spans="1:6">
      <c r="A22" s="64"/>
      <c r="B22" s="4" t="s">
        <v>16</v>
      </c>
      <c r="C22" s="4"/>
      <c r="D22" s="1376">
        <f>'Development Budget'!G44</f>
        <v>81146435.312499985</v>
      </c>
      <c r="E22" s="1376">
        <f t="shared" ref="E22:E28" si="0">D22/$D$10</f>
        <v>401715.02629950485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2298240</v>
      </c>
      <c r="E23" s="1376">
        <f t="shared" si="0"/>
        <v>11377.425742574258</v>
      </c>
    </row>
    <row r="24" spans="1:6">
      <c r="A24" s="64"/>
      <c r="B24" s="4" t="s">
        <v>18</v>
      </c>
      <c r="C24" s="4"/>
      <c r="D24" s="1376">
        <f>'Development Budget'!G97</f>
        <v>3356436</v>
      </c>
      <c r="E24" s="1376">
        <f t="shared" si="0"/>
        <v>16616.019801980197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8463835.0966323353</v>
      </c>
      <c r="E25" s="1376">
        <f t="shared" si="0"/>
        <v>41900.173745704633</v>
      </c>
    </row>
    <row r="26" spans="1:6">
      <c r="A26" s="64"/>
      <c r="B26" s="4" t="s">
        <v>20</v>
      </c>
      <c r="C26" s="4"/>
      <c r="D26" s="1376">
        <f>'Development Budget'!G181</f>
        <v>5510948.7239028849</v>
      </c>
      <c r="E26" s="1376">
        <f t="shared" si="0"/>
        <v>27281.924375756855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-8434895.1330351979</v>
      </c>
      <c r="E27" s="1377">
        <f t="shared" si="0"/>
        <v>-41756.906599184149</v>
      </c>
    </row>
    <row r="28" spans="1:6" ht="16.5" thickTop="1">
      <c r="A28" s="4"/>
      <c r="B28" s="4"/>
      <c r="C28" s="150" t="s">
        <v>14</v>
      </c>
      <c r="D28" s="1378">
        <f>SUM(D21:D27)</f>
        <v>105646000</v>
      </c>
      <c r="E28" s="1376">
        <f t="shared" si="0"/>
        <v>523000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68669900</v>
      </c>
      <c r="E32" s="1431">
        <f t="shared" si="1"/>
        <v>339950</v>
      </c>
    </row>
    <row r="33" spans="1:5">
      <c r="A33" s="64"/>
      <c r="B33" s="4" t="s">
        <v>1051</v>
      </c>
      <c r="C33" s="4"/>
      <c r="D33" s="1432">
        <f>GapCalc!D29</f>
        <v>5546414.9999999991</v>
      </c>
      <c r="E33" s="1431">
        <f>D33/$D$10</f>
        <v>27457.499999999996</v>
      </c>
    </row>
    <row r="34" spans="1:5">
      <c r="A34" s="65"/>
      <c r="B34" s="4" t="s">
        <v>26</v>
      </c>
      <c r="C34" s="4"/>
      <c r="D34" s="1432">
        <f>GapCalc!D30</f>
        <v>31429684.999999993</v>
      </c>
      <c r="E34" s="1431">
        <f>D34/$D$10</f>
        <v>155592.49999999997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105646000</v>
      </c>
      <c r="E36" s="1431">
        <f>D36/$D$10</f>
        <v>523000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75020348.484821707</v>
      </c>
      <c r="E40" s="1431">
        <f t="shared" ref="E40" si="2">D40/$D$10</f>
        <v>371387.86378624605</v>
      </c>
    </row>
    <row r="41" spans="1:5">
      <c r="A41" s="60"/>
      <c r="B41" s="4" t="s">
        <v>1051</v>
      </c>
      <c r="C41" s="4"/>
      <c r="D41" s="1436">
        <f>GapCalc!D29+GapCalc!D38</f>
        <v>5546414.9999999991</v>
      </c>
      <c r="E41" s="1431">
        <f>D41/$D$10</f>
        <v>27457.499999999996</v>
      </c>
    </row>
    <row r="42" spans="1:5">
      <c r="A42" s="60"/>
      <c r="B42" s="1402" t="s">
        <v>26</v>
      </c>
      <c r="C42" s="4"/>
      <c r="D42" s="1437">
        <f>GapCalc!D30+GapCalc!D39</f>
        <v>31429684.999999993</v>
      </c>
      <c r="E42" s="1431">
        <f>D42/$D$10</f>
        <v>155592.49999999997</v>
      </c>
    </row>
    <row r="43" spans="1:5">
      <c r="A43" s="60"/>
      <c r="B43" s="1558" t="s">
        <v>1102</v>
      </c>
      <c r="C43" s="4"/>
      <c r="D43" s="1437">
        <f>IF(D32-D40&gt;0,0,D32-D40)</f>
        <v>-6350448.484821707</v>
      </c>
      <c r="E43" s="1431">
        <f>D43/$D$10</f>
        <v>-31437.863786246075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105646000</v>
      </c>
      <c r="E45" s="1433">
        <f>D45/$D$10</f>
        <v>523000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3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13305000</v>
      </c>
      <c r="E17" s="1376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81146435.312499985</v>
      </c>
      <c r="E18" s="1376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2298240</v>
      </c>
      <c r="E19" s="1376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3356436</v>
      </c>
      <c r="E20" s="1376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8463835.0966323353</v>
      </c>
      <c r="E21" s="1376">
        <f t="shared" si="0"/>
        <v>41900.173745704633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5510948.7239028849</v>
      </c>
      <c r="E22" s="1376">
        <f t="shared" si="0"/>
        <v>27281.924375756855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-8434895.1330351979</v>
      </c>
      <c r="E23" s="1377">
        <f t="shared" si="0"/>
        <v>-41756.906599184149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105646000</v>
      </c>
      <c r="E24" s="1376">
        <f t="shared" si="0"/>
        <v>523000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68669900</v>
      </c>
      <c r="E28" s="1431">
        <f t="shared" si="1"/>
        <v>339950</v>
      </c>
      <c r="F28" s="62"/>
      <c r="G28" s="1264" t="s">
        <v>608</v>
      </c>
      <c r="H28" s="1453">
        <f>H32/D11</f>
        <v>27457.499999999996</v>
      </c>
      <c r="I28" s="703"/>
    </row>
    <row r="29" spans="1:10" ht="15.75">
      <c r="A29" s="64"/>
      <c r="B29" s="4" t="s">
        <v>1051</v>
      </c>
      <c r="C29" s="4"/>
      <c r="D29" s="1432">
        <v>5546414.9999999991</v>
      </c>
      <c r="E29" s="1431">
        <f>D29/$D$11</f>
        <v>27457.499999999996</v>
      </c>
      <c r="F29" s="520"/>
      <c r="G29" s="1265" t="s">
        <v>971</v>
      </c>
      <c r="H29" s="1454">
        <f>H33/D11</f>
        <v>155592.49999999997</v>
      </c>
      <c r="I29" s="703"/>
    </row>
    <row r="30" spans="1:10" ht="16.5" thickBot="1">
      <c r="A30" s="65"/>
      <c r="B30" s="4" t="s">
        <v>26</v>
      </c>
      <c r="C30" s="4"/>
      <c r="D30" s="1432">
        <v>31429684.999999993</v>
      </c>
      <c r="E30" s="1431">
        <f>D30/$D$11</f>
        <v>155592.49999999997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5546414.9999999991</v>
      </c>
      <c r="I32" s="1192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105646000</v>
      </c>
      <c r="E33" s="1431">
        <f>D33/$D$11</f>
        <v>523000</v>
      </c>
      <c r="F33" s="62"/>
      <c r="G33" s="1286" t="s">
        <v>971</v>
      </c>
      <c r="H33" s="1456">
        <f>D30+D39</f>
        <v>31429684.999999993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36976099.999999993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0.34999999999999992</v>
      </c>
      <c r="J36" s="704"/>
    </row>
    <row r="37" spans="1:12" ht="16.5" thickBot="1">
      <c r="A37" s="60"/>
      <c r="B37" s="4" t="s">
        <v>995</v>
      </c>
      <c r="C37" s="4"/>
      <c r="D37" s="1431">
        <f>Data!C30</f>
        <v>75020348.484821707</v>
      </c>
      <c r="E37" s="1431">
        <f t="shared" ref="E37" si="2">D37/$D$11</f>
        <v>371387.86378624605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0</v>
      </c>
      <c r="E38" s="1431">
        <f>D38/$D$11</f>
        <v>0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608</v>
      </c>
      <c r="H39" s="1461">
        <f>-D32*0.15</f>
        <v>0</v>
      </c>
      <c r="I39" s="1441">
        <f>D29+H39</f>
        <v>5546414.9999999991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31429684.999999993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6350448.484821707</v>
      </c>
      <c r="E41" s="1433">
        <f>D41/$D$11</f>
        <v>31437.863786246075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75020348.484821707</v>
      </c>
      <c r="E42" s="1431">
        <f>D42/$D$11</f>
        <v>371387.86378624605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-952567.27272325603</v>
      </c>
      <c r="I43" s="1441">
        <f>D38+H43</f>
        <v>-952567.27272325603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-5397881.2120984504</v>
      </c>
      <c r="I44" s="1441">
        <f>D39+H44</f>
        <v>-5397881.2120984504</v>
      </c>
      <c r="J44" s="690"/>
    </row>
    <row r="45" spans="1:12" ht="15.75">
      <c r="A45" s="60"/>
      <c r="D45" s="159"/>
      <c r="E45" s="159"/>
      <c r="G45" s="4"/>
      <c r="H45" s="1549" t="s">
        <v>1095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31450419.040147085</v>
      </c>
      <c r="J46" s="1427" t="s">
        <v>1083</v>
      </c>
      <c r="K46" s="1428">
        <f>'Cash Flow'!C76</f>
        <v>9.0153614945505708E-2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11421131.122884722</v>
      </c>
      <c r="J47" s="1429" t="s">
        <v>1098</v>
      </c>
      <c r="K47" s="1452">
        <f>'Cash Flow'!C70</f>
        <v>51264183.035439745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20734.040147092193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5550073.9482612517</v>
      </c>
      <c r="J51" s="1430" t="s">
        <v>1083</v>
      </c>
      <c r="K51" s="1463">
        <f>'Cash Flow'!H76</f>
        <v>9.0153614945505764E-2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5546414.9999999991</v>
      </c>
      <c r="J52" s="1429" t="s">
        <v>1097</v>
      </c>
      <c r="K52" s="1452">
        <f>'Cash Flow'!H70</f>
        <v>9046620.5356658399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3658.9482612526044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24392.988408344798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1096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44796592.349981792</v>
      </c>
      <c r="J58" s="1427" t="s">
        <v>1083</v>
      </c>
      <c r="K58" s="1428">
        <f>'Cash Flow'!C103</f>
        <v>0.13232318596406653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1097</v>
      </c>
      <c r="K59" s="1452">
        <f>'Cash Flow'!C97</f>
        <v>73018445.530470312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13366907.3499818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6209127.8071558997</v>
      </c>
      <c r="J63" s="1430" t="s">
        <v>1083</v>
      </c>
      <c r="K63" s="1463">
        <f>'Cash Flow'!H103</f>
        <v>8.2476037686760151E-2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5546414.9999999991</v>
      </c>
      <c r="J64" s="1429" t="s">
        <v>1097</v>
      </c>
      <c r="K64" s="1452">
        <f>'Cash Flow'!H97</f>
        <v>10120878.325664116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662712.80715590063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14029620.157137699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0" zoomScale="130" zoomScaleNormal="130" workbookViewId="0">
      <selection activeCell="L65" sqref="L6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40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725124</v>
      </c>
      <c r="F18" s="285"/>
      <c r="H18" s="286"/>
      <c r="I18" s="287"/>
      <c r="K18" s="226"/>
      <c r="M18" s="328" t="s">
        <v>10</v>
      </c>
      <c r="N18" s="1268">
        <f>N17+N16</f>
        <v>202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8000</v>
      </c>
      <c r="K41" s="292">
        <f>E41*I41</f>
        <v>38820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9000</v>
      </c>
      <c r="K43" s="292">
        <f>E43*I43</f>
        <v>22464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60</v>
      </c>
      <c r="D46" s="245"/>
      <c r="E46" s="309">
        <f>SUM(E41:E45)</f>
        <v>40</v>
      </c>
      <c r="F46" s="203"/>
      <c r="G46" s="203"/>
      <c r="H46" s="246"/>
      <c r="I46" s="247"/>
      <c r="J46" s="296">
        <f>SUM(J41:J45)</f>
        <v>24370</v>
      </c>
      <c r="K46" s="297">
        <f>SUM(K41:K45)</f>
        <v>84164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50">
        <v>2400</v>
      </c>
      <c r="J50" s="284">
        <f>D50*E50</f>
        <v>9600</v>
      </c>
      <c r="K50" s="292">
        <f>E50*I50</f>
        <v>57600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50">
        <f>ROUND(G51-H51,0)</f>
        <v>3120</v>
      </c>
      <c r="J51" s="284">
        <f>D51*E51</f>
        <v>16080</v>
      </c>
      <c r="K51" s="292">
        <f>E51*I51</f>
        <v>74880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50">
        <v>4540</v>
      </c>
      <c r="J52" s="284">
        <f>D52*E52</f>
        <v>112000</v>
      </c>
      <c r="K52" s="292">
        <f>E52*I52</f>
        <v>508480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0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I249" sqref="C18:I249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6350448.484821707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0" t="s">
        <v>84</v>
      </c>
      <c r="G14" s="1601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3" t="s">
        <v>640</v>
      </c>
      <c r="D18" s="1623"/>
      <c r="E18" s="1624">
        <f>N18</f>
        <v>13130000</v>
      </c>
      <c r="F18" s="1625"/>
      <c r="G18" s="1626">
        <f>E18</f>
        <v>13130000</v>
      </c>
      <c r="H18" s="1627"/>
      <c r="I18" s="1627">
        <f>G18/$F$9</f>
        <v>65000</v>
      </c>
      <c r="J18" s="1003"/>
      <c r="K18" s="1004"/>
      <c r="L18" s="1004"/>
      <c r="M18" s="1276">
        <f>F9*N17</f>
        <v>13130000</v>
      </c>
      <c r="N18" s="1518">
        <v>13130000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13130000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3" t="s">
        <v>641</v>
      </c>
      <c r="D19" s="1623"/>
      <c r="E19" s="1628"/>
      <c r="F19" s="1629"/>
      <c r="G19" s="1630">
        <f>SUM(F20:F22)</f>
        <v>25000</v>
      </c>
      <c r="H19" s="1627"/>
      <c r="I19" s="1627">
        <f t="shared" ref="I19:I82" si="0">G19/$F$9</f>
        <v>123.76237623762377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1"/>
      <c r="D20" s="1623" t="s">
        <v>642</v>
      </c>
      <c r="E20" s="1628"/>
      <c r="F20" s="1629">
        <v>10000</v>
      </c>
      <c r="G20" s="1630"/>
      <c r="H20" s="1627"/>
      <c r="I20" s="1627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1"/>
      <c r="D21" s="1623" t="s">
        <v>643</v>
      </c>
      <c r="E21" s="1632">
        <v>0</v>
      </c>
      <c r="F21" s="1629">
        <f>E21*G18</f>
        <v>0</v>
      </c>
      <c r="G21" s="1630"/>
      <c r="H21" s="1627"/>
      <c r="I21" s="1627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1"/>
      <c r="D22" s="1623" t="s">
        <v>644</v>
      </c>
      <c r="E22" s="1628"/>
      <c r="F22" s="1629">
        <v>15000</v>
      </c>
      <c r="G22" s="1630"/>
      <c r="H22" s="1627"/>
      <c r="I22" s="1627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3" t="s">
        <v>645</v>
      </c>
      <c r="D23" s="1623"/>
      <c r="E23" s="1633">
        <v>150000</v>
      </c>
      <c r="F23" s="1629"/>
      <c r="G23" s="1630">
        <f>E23</f>
        <v>150000</v>
      </c>
      <c r="H23" s="1627"/>
      <c r="I23" s="1627">
        <f t="shared" si="0"/>
        <v>742.57425742574253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3" t="s">
        <v>646</v>
      </c>
      <c r="D24" s="1623"/>
      <c r="E24" s="1634"/>
      <c r="F24" s="1629"/>
      <c r="G24" s="1630">
        <f>SUM(F25:F26)</f>
        <v>0</v>
      </c>
      <c r="H24" s="1627"/>
      <c r="I24" s="1627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1"/>
      <c r="D25" s="1623" t="s">
        <v>647</v>
      </c>
      <c r="E25" s="1635">
        <f>5</f>
        <v>5</v>
      </c>
      <c r="F25" s="1636">
        <v>0</v>
      </c>
      <c r="G25" s="1630"/>
      <c r="H25" s="1627"/>
      <c r="I25" s="1627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1"/>
      <c r="D26" s="1623" t="s">
        <v>648</v>
      </c>
      <c r="E26" s="1635">
        <v>7</v>
      </c>
      <c r="F26" s="1636">
        <v>0</v>
      </c>
      <c r="G26" s="1630"/>
      <c r="H26" s="1627"/>
      <c r="I26" s="1627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3" t="s">
        <v>769</v>
      </c>
      <c r="D27" s="1623"/>
      <c r="E27" s="1637"/>
      <c r="F27" s="1629"/>
      <c r="G27" s="1630">
        <v>0</v>
      </c>
      <c r="H27" s="1627"/>
      <c r="I27" s="1627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8" t="s">
        <v>770</v>
      </c>
      <c r="D28" s="1639"/>
      <c r="E28" s="1640"/>
      <c r="F28" s="1641"/>
      <c r="G28" s="1642">
        <f>SUM(G18:G27)</f>
        <v>13305000</v>
      </c>
      <c r="H28" s="1643"/>
      <c r="I28" s="1644">
        <f t="shared" si="0"/>
        <v>65866.336633663363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13305000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5" t="s">
        <v>90</v>
      </c>
      <c r="D29" s="1623"/>
      <c r="E29" s="1646"/>
      <c r="F29" s="1629"/>
      <c r="G29" s="1647"/>
      <c r="H29" s="1648"/>
      <c r="I29" s="1627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3" t="s">
        <v>707</v>
      </c>
      <c r="D30" s="1623"/>
      <c r="E30" s="1649">
        <v>0</v>
      </c>
      <c r="F30" s="1629"/>
      <c r="G30" s="1647">
        <v>0</v>
      </c>
      <c r="H30" s="1648"/>
      <c r="I30" s="1627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3" t="s">
        <v>708</v>
      </c>
      <c r="D31" s="1623"/>
      <c r="E31" s="1624">
        <v>35</v>
      </c>
      <c r="F31" s="1629"/>
      <c r="G31" s="1650">
        <f>E31*'Construction Calculation'!G11</f>
        <v>0</v>
      </c>
      <c r="H31" s="1651"/>
      <c r="I31" s="1627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3" t="s">
        <v>94</v>
      </c>
      <c r="D32" s="1623"/>
      <c r="E32" s="1652"/>
      <c r="F32" s="1653"/>
      <c r="G32" s="1647">
        <f>F33+F35</f>
        <v>64797148.25</v>
      </c>
      <c r="H32" s="1648"/>
      <c r="I32" s="1627">
        <f t="shared" si="0"/>
        <v>320777.96163366339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71276863.075000003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3"/>
      <c r="D33" s="1623" t="s">
        <v>669</v>
      </c>
      <c r="E33" s="1654">
        <v>300</v>
      </c>
      <c r="F33" s="1655">
        <f>E33*'Construction Calculation'!C14</f>
        <v>59058000</v>
      </c>
      <c r="G33" s="1647"/>
      <c r="H33" s="1648"/>
      <c r="I33" s="1627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3"/>
      <c r="D34" s="1623" t="s">
        <v>709</v>
      </c>
      <c r="E34" s="1654">
        <v>35</v>
      </c>
      <c r="F34" s="1655">
        <v>0</v>
      </c>
      <c r="G34" s="1647"/>
      <c r="H34" s="1648"/>
      <c r="I34" s="1627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3"/>
      <c r="D35" s="1623" t="s">
        <v>691</v>
      </c>
      <c r="E35" s="1654">
        <f>'Construction Calculation'!G49</f>
        <v>143</v>
      </c>
      <c r="F35" s="1655">
        <f>'Construction Calculation'!I55</f>
        <v>5739148.2500000009</v>
      </c>
      <c r="G35" s="1647">
        <f>0*F35</f>
        <v>0</v>
      </c>
      <c r="H35" s="1648"/>
      <c r="I35" s="1627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1"/>
      <c r="D36" s="1623" t="s">
        <v>710</v>
      </c>
      <c r="E36" s="1656">
        <v>0.1</v>
      </c>
      <c r="F36" s="1657">
        <f>E36*(G32+G31+G30)</f>
        <v>6479714.8250000002</v>
      </c>
      <c r="G36" s="1630">
        <f>F36</f>
        <v>6479714.8250000002</v>
      </c>
      <c r="H36" s="1627"/>
      <c r="I36" s="1627">
        <f t="shared" si="0"/>
        <v>32077.796163366336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3" t="s">
        <v>711</v>
      </c>
      <c r="D37" s="1623"/>
      <c r="E37" s="1656">
        <v>7.0000000000000007E-2</v>
      </c>
      <c r="F37" s="1658"/>
      <c r="G37" s="1659">
        <f>SUM($G$29:$G$32,$G$20,$G$21)*E37</f>
        <v>4535800.3775000004</v>
      </c>
      <c r="H37" s="1660"/>
      <c r="I37" s="1627">
        <f t="shared" si="0"/>
        <v>22454.457314356438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4535800.3775000004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3" t="s">
        <v>712</v>
      </c>
      <c r="D38" s="1623"/>
      <c r="E38" s="1656">
        <v>0.05</v>
      </c>
      <c r="F38" s="1658"/>
      <c r="G38" s="1659">
        <f>SUM($G$29:$G$32,$G$20,$G$21)*E38</f>
        <v>3239857.4125000001</v>
      </c>
      <c r="H38" s="1660"/>
      <c r="I38" s="1627">
        <f t="shared" si="0"/>
        <v>16038.898081683168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3239857.4125000001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3" t="s">
        <v>713</v>
      </c>
      <c r="D39" s="1623"/>
      <c r="E39" s="1656">
        <v>0</v>
      </c>
      <c r="F39" s="1658"/>
      <c r="G39" s="1659">
        <f>SUM($G$29:$G$32,$G$20,$G$21)*E39</f>
        <v>0</v>
      </c>
      <c r="H39" s="1660"/>
      <c r="I39" s="1627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3" t="s">
        <v>714</v>
      </c>
      <c r="D40" s="1623"/>
      <c r="E40" s="1656">
        <v>1.4999999999999999E-2</v>
      </c>
      <c r="F40" s="1658"/>
      <c r="G40" s="1659">
        <f>SUM($G$29:$G$32,$G$20,$G$21)*E40</f>
        <v>971957.22375</v>
      </c>
      <c r="H40" s="1660"/>
      <c r="I40" s="1627">
        <f t="shared" si="0"/>
        <v>4811.6694245049503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971957.22375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3" t="s">
        <v>715</v>
      </c>
      <c r="D41" s="1623"/>
      <c r="E41" s="1656">
        <v>1.4999999999999999E-2</v>
      </c>
      <c r="F41" s="1661"/>
      <c r="G41" s="1659">
        <f>SUM($G$29:$G$33,$G$20,$G$21)*E41</f>
        <v>971957.22375</v>
      </c>
      <c r="H41" s="1660"/>
      <c r="I41" s="1627">
        <f t="shared" si="0"/>
        <v>4811.6694245049503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971957.22375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3" t="s">
        <v>224</v>
      </c>
      <c r="D42" s="1623"/>
      <c r="E42" s="1656">
        <v>0</v>
      </c>
      <c r="F42" s="1662"/>
      <c r="G42" s="1659">
        <f>SUM($G$29:$G$32,$G$20,$G$21)*E42</f>
        <v>0</v>
      </c>
      <c r="H42" s="1660"/>
      <c r="I42" s="1627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1" t="s">
        <v>716</v>
      </c>
      <c r="D43" s="1658"/>
      <c r="E43" s="1656">
        <v>0</v>
      </c>
      <c r="F43" s="1658"/>
      <c r="G43" s="1659">
        <f>SUM($G$29:$G$32,$G$20,$G$21)*E43</f>
        <v>0</v>
      </c>
      <c r="H43" s="1660"/>
      <c r="I43" s="1627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3" t="s">
        <v>717</v>
      </c>
      <c r="D44" s="1664"/>
      <c r="E44" s="1665"/>
      <c r="F44" s="1666"/>
      <c r="G44" s="1667">
        <f>SUM(G30:G43)+G23+G24</f>
        <v>81146435.312499985</v>
      </c>
      <c r="H44" s="1668"/>
      <c r="I44" s="1644">
        <f t="shared" si="0"/>
        <v>401715.02629950485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81146435.312499985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5" t="s">
        <v>718</v>
      </c>
      <c r="D45" s="1623"/>
      <c r="E45" s="1669">
        <v>0</v>
      </c>
      <c r="F45" s="1670"/>
      <c r="G45" s="1671">
        <f>E45*G44</f>
        <v>0</v>
      </c>
      <c r="H45" s="1672"/>
      <c r="I45" s="1627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3" t="s">
        <v>719</v>
      </c>
      <c r="D46" s="1673"/>
      <c r="E46" s="1674"/>
      <c r="F46" s="1675"/>
      <c r="G46" s="1642">
        <f>SUM(G44:G45)</f>
        <v>81146435.312499985</v>
      </c>
      <c r="H46" s="1643"/>
      <c r="I46" s="1644">
        <f t="shared" si="0"/>
        <v>401715.02629950485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81146435.312499985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5" t="s">
        <v>720</v>
      </c>
      <c r="D47" s="1623"/>
      <c r="E47" s="1676">
        <v>0.1</v>
      </c>
      <c r="F47" s="1677">
        <v>0.15</v>
      </c>
      <c r="G47" s="1647">
        <f>(E47*G46)</f>
        <v>8114643.5312499991</v>
      </c>
      <c r="H47" s="1648"/>
      <c r="I47" s="1627">
        <f t="shared" si="0"/>
        <v>40171.50262995049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8114643.5312499991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8" t="s">
        <v>721</v>
      </c>
      <c r="D48" s="1623"/>
      <c r="E48" s="1679"/>
      <c r="F48" s="1680"/>
      <c r="G48" s="1647"/>
      <c r="H48" s="1648"/>
      <c r="I48" s="1627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1"/>
      <c r="D49" s="1623" t="s">
        <v>771</v>
      </c>
      <c r="E49" s="1653"/>
      <c r="F49" s="1653">
        <f>335*F9</f>
        <v>67670</v>
      </c>
      <c r="G49" s="1682">
        <f>F49</f>
        <v>67670</v>
      </c>
      <c r="H49" s="1683"/>
      <c r="I49" s="1627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1"/>
      <c r="D50" s="1623" t="s">
        <v>772</v>
      </c>
      <c r="E50" s="1653">
        <v>0</v>
      </c>
      <c r="F50" s="1653">
        <f>368*F9</f>
        <v>74336</v>
      </c>
      <c r="G50" s="1682">
        <f>F50</f>
        <v>74336</v>
      </c>
      <c r="H50" s="1683"/>
      <c r="I50" s="1627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8"/>
      <c r="D51" s="1623" t="s">
        <v>773</v>
      </c>
      <c r="E51" s="1680">
        <v>0</v>
      </c>
      <c r="F51" s="1680">
        <v>1225</v>
      </c>
      <c r="G51" s="1682">
        <f>F51</f>
        <v>1225</v>
      </c>
      <c r="H51" s="1648"/>
      <c r="I51" s="1627">
        <f t="shared" si="0"/>
        <v>6.064356435643564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8" t="s">
        <v>774</v>
      </c>
      <c r="D52" s="1645"/>
      <c r="E52" s="1684"/>
      <c r="F52" s="1685"/>
      <c r="G52" s="1686">
        <f>SUM(F49:F51)</f>
        <v>143231</v>
      </c>
      <c r="H52" s="1687"/>
      <c r="I52" s="1627">
        <f t="shared" si="0"/>
        <v>709.06435643564362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143231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5" t="s">
        <v>775</v>
      </c>
      <c r="D53" s="1623"/>
      <c r="E53" s="1688"/>
      <c r="F53" s="1670"/>
      <c r="G53" s="1647"/>
      <c r="H53" s="1648"/>
      <c r="I53" s="1627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3" t="s">
        <v>385</v>
      </c>
      <c r="D54" s="1623"/>
      <c r="E54" s="1689"/>
      <c r="F54" s="1670"/>
      <c r="G54" s="1647">
        <f>SUM(F55:F56)</f>
        <v>2139800</v>
      </c>
      <c r="H54" s="1648"/>
      <c r="I54" s="1627">
        <f t="shared" si="0"/>
        <v>10593.069306930693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2139800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3"/>
      <c r="D55" s="1623" t="s">
        <v>776</v>
      </c>
      <c r="E55" s="1631"/>
      <c r="F55" s="1660">
        <v>163800</v>
      </c>
      <c r="G55" s="1690"/>
      <c r="H55" s="1691"/>
      <c r="I55" s="1627">
        <f t="shared" si="0"/>
        <v>0</v>
      </c>
      <c r="J55" s="1051"/>
      <c r="K55" s="1054"/>
      <c r="L55" s="1001"/>
      <c r="M55" s="1050" t="s">
        <v>1089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3"/>
      <c r="D56" s="1623" t="s">
        <v>385</v>
      </c>
      <c r="E56" s="1669">
        <v>0.06</v>
      </c>
      <c r="F56" s="1653">
        <f>M56</f>
        <v>1976000</v>
      </c>
      <c r="G56" s="1690"/>
      <c r="H56" s="1691"/>
      <c r="I56" s="1627">
        <f>G56/$F$9</f>
        <v>0</v>
      </c>
      <c r="J56" s="1051"/>
      <c r="K56" s="1055" t="s">
        <v>984</v>
      </c>
      <c r="L56" s="1056"/>
      <c r="M56" s="1515">
        <f>SUM(M57:M58)</f>
        <v>1976000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3" t="s">
        <v>777</v>
      </c>
      <c r="D57" s="1623"/>
      <c r="E57" s="1692">
        <v>6.5000000000000002E-2</v>
      </c>
      <c r="F57" s="1653"/>
      <c r="G57" s="1693">
        <f>E57*F56</f>
        <v>128440</v>
      </c>
      <c r="H57" s="1694"/>
      <c r="I57" s="1627">
        <f t="shared" si="0"/>
        <v>635.8415841584158</v>
      </c>
      <c r="J57" s="1003"/>
      <c r="K57" s="1057"/>
      <c r="L57" s="1058"/>
      <c r="M57" s="1059">
        <f>(5000*F9)*1.6</f>
        <v>1616000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128440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3" t="s">
        <v>778</v>
      </c>
      <c r="D58" s="1623"/>
      <c r="E58" s="1632"/>
      <c r="F58" s="1653"/>
      <c r="G58" s="1693">
        <v>30000</v>
      </c>
      <c r="H58" s="1694"/>
      <c r="I58" s="1627">
        <f t="shared" si="0"/>
        <v>148.51485148514851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8" t="s">
        <v>966</v>
      </c>
      <c r="D59" s="1645"/>
      <c r="E59" s="1695"/>
      <c r="F59" s="1696"/>
      <c r="G59" s="1697">
        <f>SUM(G54:G58)-SUM(F75:F76,G78:G79,G67:G69)</f>
        <v>1904373.9117187499</v>
      </c>
      <c r="H59" s="1698"/>
      <c r="I59" s="1627">
        <f t="shared" si="0"/>
        <v>9427.5936223700483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2298240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5" t="s">
        <v>967</v>
      </c>
      <c r="D60" s="1623"/>
      <c r="E60" s="1689"/>
      <c r="F60" s="1653"/>
      <c r="G60" s="1690"/>
      <c r="H60" s="1691"/>
      <c r="I60" s="1627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3" t="s">
        <v>385</v>
      </c>
      <c r="D61" s="1623"/>
      <c r="E61" s="1689"/>
      <c r="F61" s="1670"/>
      <c r="G61" s="1647">
        <v>0</v>
      </c>
      <c r="H61" s="1648"/>
      <c r="I61" s="1627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3"/>
      <c r="D62" s="1623" t="s">
        <v>776</v>
      </c>
      <c r="E62" s="1689"/>
      <c r="F62" s="1660">
        <v>0</v>
      </c>
      <c r="G62" s="1690"/>
      <c r="H62" s="1691"/>
      <c r="I62" s="1627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3"/>
      <c r="D63" s="1623" t="s">
        <v>385</v>
      </c>
      <c r="E63" s="1679">
        <v>0.06</v>
      </c>
      <c r="F63" s="1653">
        <v>0</v>
      </c>
      <c r="G63" s="1690"/>
      <c r="H63" s="1691"/>
      <c r="I63" s="1627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3" t="s">
        <v>777</v>
      </c>
      <c r="D64" s="1623"/>
      <c r="E64" s="1632">
        <v>0.15</v>
      </c>
      <c r="F64" s="1699"/>
      <c r="G64" s="1700">
        <f>+E64*F63</f>
        <v>0</v>
      </c>
      <c r="H64" s="1646"/>
      <c r="I64" s="1627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8" t="s">
        <v>780</v>
      </c>
      <c r="D65" s="1645"/>
      <c r="E65" s="1695"/>
      <c r="F65" s="1701"/>
      <c r="G65" s="1686">
        <f>SUM(G61:G64)</f>
        <v>0</v>
      </c>
      <c r="H65" s="1687"/>
      <c r="I65" s="1627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8" t="s">
        <v>368</v>
      </c>
      <c r="D66" s="1623"/>
      <c r="E66" s="1689"/>
      <c r="F66" s="1670"/>
      <c r="G66" s="1647"/>
      <c r="H66" s="1648"/>
      <c r="I66" s="1627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3" t="s">
        <v>781</v>
      </c>
      <c r="D67" s="1631"/>
      <c r="E67" s="1679">
        <v>2.5000000000000001E-3</v>
      </c>
      <c r="F67" s="1680"/>
      <c r="G67" s="1647">
        <f>(E67*G46)</f>
        <v>202866.08828124998</v>
      </c>
      <c r="H67" s="1648"/>
      <c r="I67" s="1627">
        <f t="shared" si="0"/>
        <v>1004.2875657487623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202866.08828124998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3" t="s">
        <v>783</v>
      </c>
      <c r="D68" s="1631"/>
      <c r="E68" s="1702">
        <v>0</v>
      </c>
      <c r="F68" s="1680"/>
      <c r="G68" s="1700">
        <v>7000</v>
      </c>
      <c r="H68" s="1646"/>
      <c r="I68" s="1627">
        <f t="shared" si="0"/>
        <v>34.653465346534652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3" t="s">
        <v>395</v>
      </c>
      <c r="D69" s="1631"/>
      <c r="E69" s="1702"/>
      <c r="F69" s="1680"/>
      <c r="G69" s="1700">
        <f>F70+F71+F72+F73</f>
        <v>95000</v>
      </c>
      <c r="H69" s="1646"/>
      <c r="I69" s="1627">
        <f t="shared" si="0"/>
        <v>470.29702970297029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3"/>
      <c r="D70" s="1623" t="s">
        <v>784</v>
      </c>
      <c r="E70" s="1702"/>
      <c r="F70" s="1646">
        <v>0</v>
      </c>
      <c r="G70" s="1703"/>
      <c r="H70" s="1658"/>
      <c r="I70" s="1627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8"/>
      <c r="D71" s="1623" t="s">
        <v>786</v>
      </c>
      <c r="E71" s="1702"/>
      <c r="F71" s="1646">
        <v>8000</v>
      </c>
      <c r="G71" s="1703"/>
      <c r="H71" s="1658"/>
      <c r="I71" s="1627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8"/>
      <c r="D72" s="1623" t="s">
        <v>787</v>
      </c>
      <c r="E72" s="1702"/>
      <c r="F72" s="1646">
        <v>42000</v>
      </c>
      <c r="G72" s="1703"/>
      <c r="H72" s="1658"/>
      <c r="I72" s="1627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8"/>
      <c r="D73" s="1623" t="s">
        <v>773</v>
      </c>
      <c r="E73" s="1702"/>
      <c r="F73" s="1646">
        <v>45000</v>
      </c>
      <c r="G73" s="1703"/>
      <c r="H73" s="1658"/>
      <c r="I73" s="1627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3" t="s">
        <v>104</v>
      </c>
      <c r="D74" s="1631"/>
      <c r="E74" s="1704"/>
      <c r="F74" s="1680"/>
      <c r="G74" s="1647">
        <f>SUM(F75:F76)</f>
        <v>25000</v>
      </c>
      <c r="H74" s="1648"/>
      <c r="I74" s="1627">
        <f t="shared" si="0"/>
        <v>123.76237623762377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1"/>
      <c r="D75" s="1623" t="s">
        <v>788</v>
      </c>
      <c r="E75" s="1704"/>
      <c r="F75" s="1680">
        <v>20000</v>
      </c>
      <c r="G75" s="1647"/>
      <c r="H75" s="1648"/>
      <c r="I75" s="1627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1"/>
      <c r="D76" s="1623" t="s">
        <v>789</v>
      </c>
      <c r="E76" s="1704"/>
      <c r="F76" s="1680">
        <v>5000</v>
      </c>
      <c r="G76" s="1647"/>
      <c r="H76" s="1648"/>
      <c r="I76" s="1627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1"/>
      <c r="D77" s="1623" t="s">
        <v>790</v>
      </c>
      <c r="E77" s="1704"/>
      <c r="F77" s="1680">
        <v>0</v>
      </c>
      <c r="G77" s="1647"/>
      <c r="H77" s="1648"/>
      <c r="I77" s="1627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3" t="s">
        <v>791</v>
      </c>
      <c r="D78" s="1631"/>
      <c r="E78" s="1689"/>
      <c r="F78" s="1653"/>
      <c r="G78" s="1630">
        <v>30000</v>
      </c>
      <c r="H78" s="1627"/>
      <c r="I78" s="1627">
        <f t="shared" si="0"/>
        <v>148.51485148514851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3" t="s">
        <v>792</v>
      </c>
      <c r="D79" s="1631"/>
      <c r="E79" s="1689"/>
      <c r="F79" s="1653"/>
      <c r="G79" s="1630">
        <v>34000</v>
      </c>
      <c r="H79" s="1627"/>
      <c r="I79" s="1627">
        <f t="shared" si="0"/>
        <v>168.31683168316832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8" t="s">
        <v>795</v>
      </c>
      <c r="D80" s="1645"/>
      <c r="E80" s="1684"/>
      <c r="F80" s="1685"/>
      <c r="G80" s="1686">
        <f>SUM(G67:G79)</f>
        <v>393866.08828124998</v>
      </c>
      <c r="H80" s="1687"/>
      <c r="I80" s="1627">
        <f t="shared" si="0"/>
        <v>1949.8321202042077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393866.08828124998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8" t="s">
        <v>796</v>
      </c>
      <c r="D81" s="1623"/>
      <c r="E81" s="1679"/>
      <c r="F81" s="1680"/>
      <c r="G81" s="1647"/>
      <c r="H81" s="1648"/>
      <c r="I81" s="1627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3" t="s">
        <v>797</v>
      </c>
      <c r="D82" s="1623"/>
      <c r="E82" s="1679"/>
      <c r="F82" s="1680"/>
      <c r="G82" s="1690">
        <v>0</v>
      </c>
      <c r="H82" s="1691"/>
      <c r="I82" s="1627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1"/>
      <c r="D83" s="1623" t="s">
        <v>968</v>
      </c>
      <c r="E83" s="1705">
        <v>4.08</v>
      </c>
      <c r="F83" s="1653">
        <v>0</v>
      </c>
      <c r="G83" s="1690"/>
      <c r="H83" s="1691"/>
      <c r="I83" s="1627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1"/>
      <c r="D84" s="1623"/>
      <c r="E84" s="1705"/>
      <c r="F84" s="1653"/>
      <c r="G84" s="1690"/>
      <c r="H84" s="1691"/>
      <c r="I84" s="1627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1"/>
      <c r="D85" s="1623"/>
      <c r="E85" s="1705"/>
      <c r="F85" s="1653"/>
      <c r="G85" s="1690"/>
      <c r="H85" s="1691"/>
      <c r="I85" s="1627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1"/>
      <c r="D86" s="1623"/>
      <c r="E86" s="1705"/>
      <c r="F86" s="1653"/>
      <c r="G86" s="1690"/>
      <c r="H86" s="1691"/>
      <c r="I86" s="1627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1"/>
      <c r="D87" s="1623"/>
      <c r="E87" s="1705"/>
      <c r="F87" s="1653"/>
      <c r="G87" s="1690"/>
      <c r="H87" s="1691"/>
      <c r="I87" s="1627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1"/>
      <c r="D88" s="1623"/>
      <c r="E88" s="1706"/>
      <c r="F88" s="1653">
        <v>0</v>
      </c>
      <c r="G88" s="1690"/>
      <c r="H88" s="1691"/>
      <c r="I88" s="1627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1"/>
      <c r="D89" s="1623"/>
      <c r="E89" s="1707">
        <v>0</v>
      </c>
      <c r="F89" s="1653">
        <v>0</v>
      </c>
      <c r="G89" s="1690"/>
      <c r="H89" s="1691"/>
      <c r="I89" s="1627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1" t="s">
        <v>413</v>
      </c>
      <c r="D90" s="1623"/>
      <c r="E90" s="1631"/>
      <c r="F90" s="1653"/>
      <c r="G90" s="1690">
        <f>SUM(F91:F96)</f>
        <v>3256436</v>
      </c>
      <c r="H90" s="1691"/>
      <c r="I90" s="1627">
        <f t="shared" si="3"/>
        <v>16120.970297029702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3256436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1"/>
      <c r="D91" s="1623" t="s">
        <v>799</v>
      </c>
      <c r="E91" s="1679"/>
      <c r="F91" s="1708">
        <v>51432</v>
      </c>
      <c r="G91" s="1690">
        <v>100000</v>
      </c>
      <c r="H91" s="1691"/>
      <c r="I91" s="1627">
        <f t="shared" si="3"/>
        <v>495.04950495049508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1"/>
      <c r="D92" s="1623" t="s">
        <v>802</v>
      </c>
      <c r="E92" s="1679"/>
      <c r="F92" s="1709">
        <v>11500</v>
      </c>
      <c r="G92" s="1690"/>
      <c r="H92" s="1691"/>
      <c r="I92" s="1627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1"/>
      <c r="D93" s="1623" t="s">
        <v>803</v>
      </c>
      <c r="E93" s="1710"/>
      <c r="F93" s="1711">
        <v>285455</v>
      </c>
      <c r="G93" s="1690"/>
      <c r="H93" s="1691"/>
      <c r="I93" s="1627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1"/>
      <c r="D94" s="1623" t="s">
        <v>535</v>
      </c>
      <c r="E94" s="1631"/>
      <c r="F94" s="1709">
        <f>M94</f>
        <v>2380974</v>
      </c>
      <c r="G94" s="1690"/>
      <c r="H94" s="1691"/>
      <c r="I94" s="1627">
        <f t="shared" si="3"/>
        <v>0</v>
      </c>
      <c r="J94" s="1046"/>
      <c r="K94" s="1068" t="s">
        <v>800</v>
      </c>
      <c r="L94" s="1025"/>
      <c r="M94" s="1516">
        <f>11787*F9</f>
        <v>2380974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1"/>
      <c r="D95" s="1623" t="s">
        <v>804</v>
      </c>
      <c r="E95" s="1706">
        <v>2600</v>
      </c>
      <c r="F95" s="1711">
        <f>E95*F9</f>
        <v>525200</v>
      </c>
      <c r="G95" s="1690"/>
      <c r="H95" s="1691"/>
      <c r="I95" s="1627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1"/>
      <c r="D96" s="1623" t="s">
        <v>805</v>
      </c>
      <c r="E96" s="1669">
        <v>0</v>
      </c>
      <c r="F96" s="1711">
        <v>1875</v>
      </c>
      <c r="G96" s="1690"/>
      <c r="H96" s="1691"/>
      <c r="I96" s="1627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8" t="s">
        <v>806</v>
      </c>
      <c r="D97" s="1645"/>
      <c r="E97" s="1684"/>
      <c r="F97" s="1685"/>
      <c r="G97" s="1686">
        <f>SUM(G82:G96)</f>
        <v>3356436</v>
      </c>
      <c r="H97" s="1687"/>
      <c r="I97" s="1627">
        <f t="shared" si="3"/>
        <v>16616.019801980197</v>
      </c>
      <c r="J97" s="1048"/>
      <c r="K97" s="1080">
        <f>I97/I250</f>
        <v>3.1770592355602673E-2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3356436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8" t="s">
        <v>807</v>
      </c>
      <c r="D98" s="1623"/>
      <c r="E98" s="1679"/>
      <c r="F98" s="1680"/>
      <c r="G98" s="1690"/>
      <c r="H98" s="1691"/>
      <c r="I98" s="1627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3" t="s">
        <v>808</v>
      </c>
      <c r="D99" s="1623"/>
      <c r="E99" s="1679"/>
      <c r="F99" s="1680"/>
      <c r="G99" s="1690">
        <f>SUM(F100:F101)</f>
        <v>0</v>
      </c>
      <c r="H99" s="1691"/>
      <c r="I99" s="1627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1"/>
      <c r="D100" s="1623" t="s">
        <v>809</v>
      </c>
      <c r="E100" s="1694"/>
      <c r="F100" s="1655">
        <v>0</v>
      </c>
      <c r="G100" s="1690"/>
      <c r="H100" s="1691"/>
      <c r="I100" s="1627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1"/>
      <c r="D101" s="1623" t="s">
        <v>810</v>
      </c>
      <c r="E101" s="1631"/>
      <c r="F101" s="1655">
        <v>0</v>
      </c>
      <c r="G101" s="1690"/>
      <c r="H101" s="1691"/>
      <c r="I101" s="1627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1" t="s">
        <v>812</v>
      </c>
      <c r="D102" s="1623"/>
      <c r="E102" s="1631"/>
      <c r="F102" s="1653"/>
      <c r="G102" s="1690">
        <f>SUM(F103:F105)</f>
        <v>311129.67854023521</v>
      </c>
      <c r="H102" s="1691"/>
      <c r="I102" s="1627">
        <f t="shared" si="3"/>
        <v>1540.245933367501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311129.67854023521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1"/>
      <c r="D103" s="1623" t="s">
        <v>809</v>
      </c>
      <c r="E103" s="1712">
        <v>0.05</v>
      </c>
      <c r="F103" s="1653">
        <f>E103*N103</f>
        <v>296129.67854023521</v>
      </c>
      <c r="G103" s="1690"/>
      <c r="H103" s="1691"/>
      <c r="I103" s="1627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5866518.7931793602</v>
      </c>
      <c r="N103" s="1085">
        <v>5922593.570804704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1"/>
      <c r="D104" s="1623" t="s">
        <v>816</v>
      </c>
      <c r="E104" s="1631"/>
      <c r="F104" s="1653"/>
      <c r="G104" s="1690"/>
      <c r="H104" s="1691"/>
      <c r="I104" s="1627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1"/>
      <c r="D105" s="1623" t="s">
        <v>817</v>
      </c>
      <c r="E105" s="1631"/>
      <c r="F105" s="1653">
        <v>15000</v>
      </c>
      <c r="G105" s="1690"/>
      <c r="H105" s="1691"/>
      <c r="I105" s="1627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1" t="s">
        <v>818</v>
      </c>
      <c r="D106" s="1623"/>
      <c r="E106" s="1631"/>
      <c r="F106" s="1653"/>
      <c r="G106" s="1690">
        <f>SUM(F107:F109)</f>
        <v>0</v>
      </c>
      <c r="H106" s="1691"/>
      <c r="I106" s="1627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1"/>
      <c r="D107" s="1623" t="s">
        <v>809</v>
      </c>
      <c r="E107" s="1631"/>
      <c r="F107" s="1653">
        <f>N107</f>
        <v>0</v>
      </c>
      <c r="G107" s="1690"/>
      <c r="H107" s="1691"/>
      <c r="I107" s="1627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1"/>
      <c r="D108" s="1623" t="s">
        <v>816</v>
      </c>
      <c r="E108" s="1631"/>
      <c r="F108" s="1653">
        <f>N108</f>
        <v>0</v>
      </c>
      <c r="G108" s="1690"/>
      <c r="H108" s="1691"/>
      <c r="I108" s="1627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1"/>
      <c r="D109" s="1623" t="s">
        <v>817</v>
      </c>
      <c r="E109" s="1631"/>
      <c r="F109" s="1653"/>
      <c r="G109" s="1690"/>
      <c r="H109" s="1691"/>
      <c r="I109" s="1627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1" t="s">
        <v>819</v>
      </c>
      <c r="D110" s="1623"/>
      <c r="E110" s="1631"/>
      <c r="F110" s="1653"/>
      <c r="G110" s="1690">
        <f>SUM(F111:F113)</f>
        <v>0</v>
      </c>
      <c r="H110" s="1691"/>
      <c r="I110" s="1627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1"/>
      <c r="D111" s="1623" t="s">
        <v>809</v>
      </c>
      <c r="E111" s="1631"/>
      <c r="F111" s="1653">
        <f>N111</f>
        <v>0</v>
      </c>
      <c r="G111" s="1690"/>
      <c r="H111" s="1691"/>
      <c r="I111" s="1627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1"/>
      <c r="D112" s="1623" t="s">
        <v>816</v>
      </c>
      <c r="E112" s="1631"/>
      <c r="F112" s="1653">
        <f>N112</f>
        <v>0</v>
      </c>
      <c r="G112" s="1690"/>
      <c r="H112" s="1691"/>
      <c r="I112" s="1627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1"/>
      <c r="D113" s="1623" t="s">
        <v>817</v>
      </c>
      <c r="E113" s="1631"/>
      <c r="F113" s="1653"/>
      <c r="G113" s="1690"/>
      <c r="H113" s="1691"/>
      <c r="I113" s="1627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8" t="s">
        <v>820</v>
      </c>
      <c r="D114" s="1645"/>
      <c r="E114" s="1695"/>
      <c r="F114" s="1701"/>
      <c r="G114" s="1686">
        <f>SUM(G99:G110)</f>
        <v>311129.67854023521</v>
      </c>
      <c r="H114" s="1687"/>
      <c r="I114" s="1627">
        <f t="shared" si="3"/>
        <v>1540.245933367501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311129.67854023521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5" t="s">
        <v>821</v>
      </c>
      <c r="D115" s="1623"/>
      <c r="E115" s="1689"/>
      <c r="F115" s="1653"/>
      <c r="G115" s="1647"/>
      <c r="H115" s="1648"/>
      <c r="I115" s="1627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3" t="s">
        <v>108</v>
      </c>
      <c r="D116" s="1713"/>
      <c r="E116" s="1714"/>
      <c r="F116" s="1715"/>
      <c r="G116" s="1716">
        <f>N116</f>
        <v>5865967.482485503</v>
      </c>
      <c r="H116" s="1717"/>
      <c r="I116" s="1627">
        <f t="shared" si="3"/>
        <v>29039.4429826015</v>
      </c>
      <c r="J116" s="1088"/>
      <c r="K116" s="1089" t="s">
        <v>822</v>
      </c>
      <c r="L116" s="1039"/>
      <c r="M116" s="1090">
        <f>0.5*Data!C20*Data!C17/12*Data!C19</f>
        <v>4841227.95</v>
      </c>
      <c r="N116" s="1091">
        <v>5865967.482485503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5865967.482485503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3" t="s">
        <v>823</v>
      </c>
      <c r="D117" s="1623"/>
      <c r="E117" s="1689"/>
      <c r="F117" s="1653"/>
      <c r="G117" s="1718">
        <f>N117</f>
        <v>832052.1251752486</v>
      </c>
      <c r="H117" s="1719"/>
      <c r="I117" s="1627">
        <f t="shared" si="3"/>
        <v>4119.0699266101419</v>
      </c>
      <c r="J117" s="1003"/>
      <c r="K117" s="1093" t="s">
        <v>824</v>
      </c>
      <c r="L117" s="1094"/>
      <c r="M117" s="1095">
        <f>0.01*Data!C20</f>
        <v>686699</v>
      </c>
      <c r="N117" s="1085">
        <v>832052.1251752486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832052.1251752486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3" t="s">
        <v>825</v>
      </c>
      <c r="D118" s="1623"/>
      <c r="E118" s="1689"/>
      <c r="F118" s="1653"/>
      <c r="G118" s="1718"/>
      <c r="H118" s="1719"/>
      <c r="I118" s="1627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3" t="s">
        <v>828</v>
      </c>
      <c r="D119" s="1623"/>
      <c r="E119" s="1689"/>
      <c r="F119" s="1653"/>
      <c r="G119" s="1718"/>
      <c r="H119" s="1719"/>
      <c r="I119" s="1627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3" t="s">
        <v>829</v>
      </c>
      <c r="D120" s="1623"/>
      <c r="E120" s="1720">
        <f>'Tax Calc'!E3</f>
        <v>1.199398E-2</v>
      </c>
      <c r="F120" s="1658"/>
      <c r="G120" s="1647">
        <f>'Tax Calc'!C15</f>
        <v>393702.39350000001</v>
      </c>
      <c r="H120" s="1648"/>
      <c r="I120" s="1627">
        <f t="shared" si="3"/>
        <v>1949.0217500000001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393702.39350000001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3" t="s">
        <v>407</v>
      </c>
      <c r="D121" s="1623"/>
      <c r="E121" s="1721"/>
      <c r="F121" s="1653"/>
      <c r="G121" s="1693">
        <f>SUM(F122:F124)</f>
        <v>1111905.2766952969</v>
      </c>
      <c r="H121" s="1694"/>
      <c r="I121" s="1627">
        <f t="shared" si="3"/>
        <v>5504.4815677984998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1111905.2766952969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3"/>
      <c r="D122" s="1623" t="s">
        <v>830</v>
      </c>
      <c r="E122" s="1631"/>
      <c r="F122" s="1653">
        <v>0</v>
      </c>
      <c r="G122" s="1690"/>
      <c r="H122" s="1691"/>
      <c r="I122" s="1627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3"/>
      <c r="D123" s="1623" t="s">
        <v>831</v>
      </c>
      <c r="E123" s="1722"/>
      <c r="F123" s="1723">
        <f>'Insurance Estimator'!E19*1.35</f>
        <v>1111905.2766952969</v>
      </c>
      <c r="G123" s="1690"/>
      <c r="H123" s="1691"/>
      <c r="I123" s="1627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3"/>
      <c r="D124" s="1623" t="s">
        <v>833</v>
      </c>
      <c r="E124" s="1689"/>
      <c r="F124" s="1653">
        <v>0</v>
      </c>
      <c r="G124" s="1690"/>
      <c r="H124" s="1691"/>
      <c r="I124" s="1627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3" t="s">
        <v>834</v>
      </c>
      <c r="D125" s="1623"/>
      <c r="E125" s="1689"/>
      <c r="F125" s="1653"/>
      <c r="G125" s="1690">
        <f>SUM(F126:F127)</f>
        <v>134807.81877628728</v>
      </c>
      <c r="H125" s="1691"/>
      <c r="I125" s="1627">
        <f t="shared" si="3"/>
        <v>667.36543948657072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134807.81877628728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3"/>
      <c r="D126" s="1623" t="s">
        <v>835</v>
      </c>
      <c r="E126" s="1722">
        <v>1.5E-3</v>
      </c>
      <c r="F126" s="1653">
        <f>N126</f>
        <v>124807.81877628728</v>
      </c>
      <c r="G126" s="1690"/>
      <c r="H126" s="1691"/>
      <c r="I126" s="1627">
        <f t="shared" si="3"/>
        <v>0</v>
      </c>
      <c r="J126" s="1046"/>
      <c r="K126" s="1049"/>
      <c r="L126" s="1015"/>
      <c r="M126" s="1095">
        <f>+E126*Data!C20</f>
        <v>103004.85</v>
      </c>
      <c r="N126" s="1085">
        <v>124807.81877628728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3"/>
      <c r="D127" s="1623" t="s">
        <v>836</v>
      </c>
      <c r="E127" s="1689"/>
      <c r="F127" s="1653">
        <v>10000</v>
      </c>
      <c r="G127" s="1690"/>
      <c r="H127" s="1691"/>
      <c r="I127" s="1627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3" t="s">
        <v>837</v>
      </c>
      <c r="D128" s="1623"/>
      <c r="E128" s="1689"/>
      <c r="F128" s="1653"/>
      <c r="G128" s="1690">
        <f>SUM(F129:F131)</f>
        <v>15400</v>
      </c>
      <c r="H128" s="1691"/>
      <c r="I128" s="1627">
        <f t="shared" si="3"/>
        <v>76.237623762376231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3"/>
      <c r="D129" s="1623" t="s">
        <v>838</v>
      </c>
      <c r="E129" s="1689"/>
      <c r="F129" s="1653">
        <v>10000</v>
      </c>
      <c r="G129" s="1690"/>
      <c r="H129" s="1691"/>
      <c r="I129" s="1627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3"/>
      <c r="D130" s="1623" t="s">
        <v>839</v>
      </c>
      <c r="E130" s="1631">
        <v>600</v>
      </c>
      <c r="F130" s="1653">
        <v>2400</v>
      </c>
      <c r="G130" s="1690"/>
      <c r="H130" s="1691"/>
      <c r="I130" s="1627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3"/>
      <c r="D131" s="1623" t="s">
        <v>840</v>
      </c>
      <c r="E131" s="1689"/>
      <c r="F131" s="1653">
        <v>3000</v>
      </c>
      <c r="G131" s="1690"/>
      <c r="H131" s="1691"/>
      <c r="I131" s="1627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3" t="s">
        <v>841</v>
      </c>
      <c r="D132" s="1713"/>
      <c r="E132" s="1724" t="s">
        <v>842</v>
      </c>
      <c r="F132" s="1725">
        <v>0</v>
      </c>
      <c r="G132" s="1726"/>
      <c r="H132" s="1727"/>
      <c r="I132" s="1627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8"/>
      <c r="D133" s="1728"/>
      <c r="E133" s="1729"/>
      <c r="F133" s="1730"/>
      <c r="G133" s="1731"/>
      <c r="H133" s="1728"/>
      <c r="I133" s="1627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1"/>
      <c r="D134" s="1631"/>
      <c r="E134" s="1732"/>
      <c r="F134" s="1730"/>
      <c r="G134" s="1733"/>
      <c r="H134" s="1631"/>
      <c r="I134" s="1627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1"/>
      <c r="D135" s="1631"/>
      <c r="E135" s="1631"/>
      <c r="F135" s="1730"/>
      <c r="G135" s="1733"/>
      <c r="H135" s="1631"/>
      <c r="I135" s="1627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1"/>
      <c r="D136" s="1631"/>
      <c r="E136" s="1732"/>
      <c r="F136" s="1730"/>
      <c r="G136" s="1733"/>
      <c r="H136" s="1631"/>
      <c r="I136" s="1627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1"/>
      <c r="D137" s="1631"/>
      <c r="E137" s="1631"/>
      <c r="F137" s="1730"/>
      <c r="G137" s="1733"/>
      <c r="H137" s="1631"/>
      <c r="I137" s="1627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1"/>
      <c r="D138" s="1631"/>
      <c r="E138" s="1631"/>
      <c r="F138" s="1730"/>
      <c r="G138" s="1733"/>
      <c r="H138" s="1631"/>
      <c r="I138" s="1627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1"/>
      <c r="D139" s="1631"/>
      <c r="E139" s="1631"/>
      <c r="F139" s="1730"/>
      <c r="G139" s="1733"/>
      <c r="H139" s="1631"/>
      <c r="I139" s="1627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1"/>
      <c r="D140" s="1631"/>
      <c r="E140" s="1631"/>
      <c r="F140" s="1730"/>
      <c r="G140" s="1733"/>
      <c r="H140" s="1631"/>
      <c r="I140" s="1627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1"/>
      <c r="D141" s="1631"/>
      <c r="E141" s="1631"/>
      <c r="F141" s="1730"/>
      <c r="G141" s="1733"/>
      <c r="H141" s="1631"/>
      <c r="I141" s="1627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1"/>
      <c r="D142" s="1631"/>
      <c r="E142" s="1631"/>
      <c r="F142" s="1730"/>
      <c r="G142" s="1733"/>
      <c r="H142" s="1631"/>
      <c r="I142" s="1627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1"/>
      <c r="D143" s="1631"/>
      <c r="E143" s="1631"/>
      <c r="F143" s="1730"/>
      <c r="G143" s="1733"/>
      <c r="H143" s="1631"/>
      <c r="I143" s="1627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1"/>
      <c r="D144" s="1631"/>
      <c r="E144" s="1631"/>
      <c r="F144" s="1730"/>
      <c r="G144" s="1733"/>
      <c r="H144" s="1631"/>
      <c r="I144" s="1627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1"/>
      <c r="D145" s="1631"/>
      <c r="E145" s="1631"/>
      <c r="F145" s="1730"/>
      <c r="G145" s="1733"/>
      <c r="H145" s="1631"/>
      <c r="I145" s="1627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1"/>
      <c r="D146" s="1631"/>
      <c r="E146" s="1732"/>
      <c r="F146" s="1730"/>
      <c r="G146" s="1733"/>
      <c r="H146" s="1631"/>
      <c r="I146" s="1627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1"/>
      <c r="D147" s="1631"/>
      <c r="E147" s="1631"/>
      <c r="F147" s="1730"/>
      <c r="G147" s="1733"/>
      <c r="H147" s="1631"/>
      <c r="I147" s="1627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8" t="s">
        <v>860</v>
      </c>
      <c r="D148" s="1645"/>
      <c r="E148" s="1695"/>
      <c r="F148" s="1696"/>
      <c r="G148" s="1697">
        <f>SUM(G116:G147)</f>
        <v>8353835.0966323363</v>
      </c>
      <c r="H148" s="1698"/>
      <c r="I148" s="1627">
        <f t="shared" si="6"/>
        <v>41355.619290259092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8353835.0966323363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5" t="s">
        <v>996</v>
      </c>
      <c r="D149" s="1623"/>
      <c r="E149" s="1689"/>
      <c r="F149" s="1653"/>
      <c r="G149" s="1690"/>
      <c r="H149" s="1691"/>
      <c r="I149" s="1627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3"/>
      <c r="D150" s="1623"/>
      <c r="E150" s="1689"/>
      <c r="F150" s="1653"/>
      <c r="G150" s="1690">
        <f>N150</f>
        <v>0</v>
      </c>
      <c r="H150" s="1691"/>
      <c r="I150" s="1627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3" t="s">
        <v>861</v>
      </c>
      <c r="D151" s="1623"/>
      <c r="E151" s="1679"/>
      <c r="F151" s="1653"/>
      <c r="G151" s="1690">
        <f>N151</f>
        <v>750203.48484821711</v>
      </c>
      <c r="H151" s="1683"/>
      <c r="I151" s="1627">
        <f t="shared" ref="I151:I158" si="7">G151/$F$9</f>
        <v>3713.8786378624609</v>
      </c>
      <c r="J151" s="1046"/>
      <c r="K151" s="1136" t="s">
        <v>862</v>
      </c>
      <c r="L151" s="1137"/>
      <c r="M151" s="1403">
        <f>Data!C31*Data!C30</f>
        <v>750203.48484821711</v>
      </c>
      <c r="N151" s="1191">
        <v>750203.48484821711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3" t="s">
        <v>863</v>
      </c>
      <c r="D152" s="1623"/>
      <c r="E152" s="1689"/>
      <c r="F152" s="1653"/>
      <c r="G152" s="1690">
        <f>SUM(F153:F154)</f>
        <v>0</v>
      </c>
      <c r="H152" s="1691"/>
      <c r="I152" s="1627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3"/>
      <c r="D153" s="1623" t="s">
        <v>835</v>
      </c>
      <c r="E153" s="1689"/>
      <c r="F153" s="1653">
        <v>0</v>
      </c>
      <c r="G153" s="1690"/>
      <c r="H153" s="1691"/>
      <c r="I153" s="1627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3"/>
      <c r="D154" s="1623" t="s">
        <v>836</v>
      </c>
      <c r="E154" s="1689"/>
      <c r="F154" s="1653">
        <v>0</v>
      </c>
      <c r="G154" s="1690"/>
      <c r="H154" s="1691"/>
      <c r="I154" s="1627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3" t="s">
        <v>204</v>
      </c>
      <c r="D155" s="1623"/>
      <c r="E155" s="1689"/>
      <c r="F155" s="1653"/>
      <c r="G155" s="1690">
        <f>SUM(F156:F158)</f>
        <v>0</v>
      </c>
      <c r="H155" s="1691"/>
      <c r="I155" s="1627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3"/>
      <c r="D156" s="1623" t="s">
        <v>864</v>
      </c>
      <c r="E156" s="1734">
        <v>0</v>
      </c>
      <c r="F156" s="1711"/>
      <c r="G156" s="1690"/>
      <c r="H156" s="1691"/>
      <c r="I156" s="1627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3"/>
      <c r="D157" s="1623" t="s">
        <v>865</v>
      </c>
      <c r="E157" s="1735"/>
      <c r="F157" s="1711"/>
      <c r="G157" s="1690"/>
      <c r="H157" s="1691"/>
      <c r="I157" s="1627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3"/>
      <c r="D158" s="1623" t="s">
        <v>865</v>
      </c>
      <c r="E158" s="1689"/>
      <c r="F158" s="1653"/>
      <c r="G158" s="1690"/>
      <c r="H158" s="1691"/>
      <c r="I158" s="1627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8" t="s">
        <v>866</v>
      </c>
      <c r="D159" s="1623"/>
      <c r="E159" s="1689"/>
      <c r="F159" s="1653"/>
      <c r="G159" s="1690"/>
      <c r="H159" s="1691"/>
      <c r="I159" s="1627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5" t="s">
        <v>965</v>
      </c>
      <c r="D160" s="1623"/>
      <c r="E160" s="1689"/>
      <c r="F160" s="1653"/>
      <c r="G160" s="1690"/>
      <c r="H160" s="1691"/>
      <c r="I160" s="1627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3" t="s">
        <v>962</v>
      </c>
      <c r="D161" s="1623"/>
      <c r="E161" s="1689"/>
      <c r="F161" s="1653"/>
      <c r="G161" s="1690">
        <f>N161</f>
        <v>0</v>
      </c>
      <c r="H161" s="1691"/>
      <c r="I161" s="1627"/>
      <c r="J161" s="1046"/>
      <c r="K161" s="1054"/>
      <c r="L161" s="1001"/>
      <c r="M161" s="1189">
        <f>37500+(Data!C38*0.0005)</f>
        <v>91059.686861470691</v>
      </c>
      <c r="N161" s="1190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3" t="s">
        <v>861</v>
      </c>
      <c r="D162" s="1623"/>
      <c r="E162" s="1679"/>
      <c r="F162" s="1653"/>
      <c r="G162" s="1690">
        <f>N162</f>
        <v>0</v>
      </c>
      <c r="H162" s="1683"/>
      <c r="I162" s="1627">
        <f t="shared" si="6"/>
        <v>0</v>
      </c>
      <c r="J162" s="1046"/>
      <c r="K162" s="1136" t="s">
        <v>862</v>
      </c>
      <c r="L162" s="1137"/>
      <c r="M162" s="1189">
        <f>Data!C38*Data!C39</f>
        <v>1071193.7372294138</v>
      </c>
      <c r="N162" s="1191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3" t="s">
        <v>863</v>
      </c>
      <c r="D163" s="1623"/>
      <c r="E163" s="1689"/>
      <c r="F163" s="1653"/>
      <c r="G163" s="1690">
        <f>SUM(F164:F165)</f>
        <v>0</v>
      </c>
      <c r="H163" s="1691"/>
      <c r="I163" s="1627">
        <f t="shared" si="6"/>
        <v>0</v>
      </c>
      <c r="J163" s="1046"/>
      <c r="K163" s="1049"/>
      <c r="L163" s="1015"/>
      <c r="M163" s="1403">
        <f>0.015*Data!C38*2</f>
        <v>3213581.211688241</v>
      </c>
      <c r="N163" s="1190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3"/>
      <c r="D164" s="1623" t="s">
        <v>835</v>
      </c>
      <c r="E164" s="1689"/>
      <c r="F164" s="1653">
        <v>0</v>
      </c>
      <c r="G164" s="1690"/>
      <c r="H164" s="1691"/>
      <c r="I164" s="1627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3"/>
      <c r="D165" s="1623" t="s">
        <v>836</v>
      </c>
      <c r="E165" s="1689"/>
      <c r="F165" s="1653">
        <v>0</v>
      </c>
      <c r="G165" s="1690"/>
      <c r="H165" s="1691"/>
      <c r="I165" s="1627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3" t="s">
        <v>204</v>
      </c>
      <c r="D166" s="1623"/>
      <c r="E166" s="1689"/>
      <c r="F166" s="1653"/>
      <c r="G166" s="1690">
        <f>SUM(F167:F169)</f>
        <v>0</v>
      </c>
      <c r="H166" s="1691"/>
      <c r="I166" s="1627">
        <f t="shared" si="6"/>
        <v>0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3"/>
      <c r="D167" s="1623" t="s">
        <v>1088</v>
      </c>
      <c r="E167" s="1734"/>
      <c r="F167" s="1711">
        <f>N163</f>
        <v>0</v>
      </c>
      <c r="G167" s="1690"/>
      <c r="H167" s="1691"/>
      <c r="I167" s="1627">
        <f t="shared" si="6"/>
        <v>0</v>
      </c>
      <c r="J167" s="1046"/>
      <c r="K167" s="1054"/>
      <c r="L167" s="1001"/>
      <c r="M167" s="1090">
        <f>Data!C20*24*(Data!C33/12)</f>
        <v>6180291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3"/>
      <c r="D168" s="1623" t="s">
        <v>865</v>
      </c>
      <c r="E168" s="1735"/>
      <c r="F168" s="1711"/>
      <c r="G168" s="1690"/>
      <c r="H168" s="1691"/>
      <c r="I168" s="1627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3"/>
      <c r="D169" s="1623" t="s">
        <v>865</v>
      </c>
      <c r="E169" s="1689"/>
      <c r="F169" s="1653"/>
      <c r="G169" s="1690"/>
      <c r="H169" s="1691"/>
      <c r="I169" s="1627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8" t="s">
        <v>866</v>
      </c>
      <c r="D170" s="1645"/>
      <c r="E170" s="1695"/>
      <c r="F170" s="1696"/>
      <c r="G170" s="1697">
        <f>SUM(G162:G166)</f>
        <v>0</v>
      </c>
      <c r="H170" s="1698"/>
      <c r="I170" s="1627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5" t="s">
        <v>118</v>
      </c>
      <c r="D171" s="1623"/>
      <c r="E171" s="1689"/>
      <c r="F171" s="1653"/>
      <c r="G171" s="1690"/>
      <c r="H171" s="1691"/>
      <c r="I171" s="1627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3" t="s">
        <v>867</v>
      </c>
      <c r="D172" s="1623"/>
      <c r="E172" s="1689"/>
      <c r="F172" s="1653"/>
      <c r="G172" s="1690">
        <v>60000</v>
      </c>
      <c r="H172" s="1691"/>
      <c r="I172" s="1627">
        <f t="shared" si="6"/>
        <v>297.02970297029702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3" t="s">
        <v>868</v>
      </c>
      <c r="D173" s="1623"/>
      <c r="E173" s="1689"/>
      <c r="F173" s="1653"/>
      <c r="G173" s="1690">
        <f>SUM(F174:F175)</f>
        <v>50000</v>
      </c>
      <c r="H173" s="1691"/>
      <c r="I173" s="1627">
        <f t="shared" si="6"/>
        <v>247.52475247524754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3"/>
      <c r="D174" s="1623" t="s">
        <v>869</v>
      </c>
      <c r="E174" s="1689"/>
      <c r="F174" s="1723">
        <v>50000</v>
      </c>
      <c r="G174" s="1736"/>
      <c r="H174" s="1721"/>
      <c r="I174" s="1627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3"/>
      <c r="D175" s="1623" t="s">
        <v>204</v>
      </c>
      <c r="E175" s="1689"/>
      <c r="F175" s="1653">
        <v>0</v>
      </c>
      <c r="G175" s="1690"/>
      <c r="H175" s="1691"/>
      <c r="I175" s="1627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8" t="s">
        <v>871</v>
      </c>
      <c r="D176" s="1645"/>
      <c r="E176" s="1695"/>
      <c r="F176" s="1696"/>
      <c r="G176" s="1697">
        <f>SUM(G172:G173)</f>
        <v>110000</v>
      </c>
      <c r="H176" s="1698"/>
      <c r="I176" s="1627">
        <f t="shared" si="6"/>
        <v>544.55445544554459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5" t="s">
        <v>124</v>
      </c>
      <c r="D177" s="1623"/>
      <c r="E177" s="1689"/>
      <c r="F177" s="1653"/>
      <c r="G177" s="1690"/>
      <c r="H177" s="1691"/>
      <c r="I177" s="1627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3" t="s">
        <v>872</v>
      </c>
      <c r="D178" s="1623"/>
      <c r="E178" s="1628">
        <v>3</v>
      </c>
      <c r="F178" s="1653"/>
      <c r="G178" s="1682">
        <f>E178*(-'Cash Flow'!E18/12)-'Cash Flow'!E22</f>
        <v>5510948.7239028849</v>
      </c>
      <c r="H178" s="1683"/>
      <c r="I178" s="1627">
        <f t="shared" si="6"/>
        <v>27281.924375756855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5510948.7239028849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3" t="s">
        <v>874</v>
      </c>
      <c r="D179" s="1713"/>
      <c r="E179" s="1714"/>
      <c r="F179" s="1737" t="s">
        <v>875</v>
      </c>
      <c r="G179" s="1726" t="b">
        <v>0</v>
      </c>
      <c r="H179" s="1727"/>
      <c r="I179" s="1627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3" t="s">
        <v>253</v>
      </c>
      <c r="D180" s="1713"/>
      <c r="E180" s="1689"/>
      <c r="F180" s="1653"/>
      <c r="G180" s="1726">
        <v>0</v>
      </c>
      <c r="H180" s="1691"/>
      <c r="I180" s="1627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8" t="s">
        <v>878</v>
      </c>
      <c r="D181" s="1645"/>
      <c r="E181" s="1695"/>
      <c r="F181" s="1696"/>
      <c r="G181" s="1697">
        <f>SUM(G178:G180)</f>
        <v>5510948.7239028849</v>
      </c>
      <c r="H181" s="1698"/>
      <c r="I181" s="1627">
        <f t="shared" si="6"/>
        <v>27281.924375756855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5510948.7239028849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5" t="s">
        <v>409</v>
      </c>
      <c r="D182" s="1623"/>
      <c r="E182" s="1689"/>
      <c r="F182" s="1653"/>
      <c r="G182" s="1690"/>
      <c r="H182" s="1691"/>
      <c r="I182" s="1627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3" t="s">
        <v>879</v>
      </c>
      <c r="D183" s="1623"/>
      <c r="E183" s="1689"/>
      <c r="F183" s="1653"/>
      <c r="G183" s="1690">
        <f>SUM(F184:F185)</f>
        <v>13000</v>
      </c>
      <c r="H183" s="1691"/>
      <c r="I183" s="1627">
        <f t="shared" si="6"/>
        <v>64.356435643564353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1"/>
      <c r="D184" s="1623" t="s">
        <v>15</v>
      </c>
      <c r="E184" s="1689"/>
      <c r="F184" s="1653">
        <v>8000</v>
      </c>
      <c r="G184" s="1690"/>
      <c r="H184" s="1691"/>
      <c r="I184" s="1627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1"/>
      <c r="D185" s="1623" t="s">
        <v>880</v>
      </c>
      <c r="E185" s="1689"/>
      <c r="F185" s="1653">
        <v>5000</v>
      </c>
      <c r="G185" s="1690"/>
      <c r="H185" s="1691"/>
      <c r="I185" s="1627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3" t="s">
        <v>137</v>
      </c>
      <c r="D186" s="1623"/>
      <c r="E186" s="1689"/>
      <c r="F186" s="1653"/>
      <c r="G186" s="1690">
        <v>12000</v>
      </c>
      <c r="H186" s="1691"/>
      <c r="I186" s="1627">
        <f t="shared" si="6"/>
        <v>59.405940594059409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3" t="s">
        <v>881</v>
      </c>
      <c r="D187" s="1623"/>
      <c r="E187" s="1631"/>
      <c r="F187" s="1653"/>
      <c r="G187" s="1690">
        <v>0</v>
      </c>
      <c r="H187" s="1691"/>
      <c r="I187" s="1627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3" t="s">
        <v>882</v>
      </c>
      <c r="D188" s="1623"/>
      <c r="E188" s="1631"/>
      <c r="F188" s="1653"/>
      <c r="G188" s="1690">
        <v>0</v>
      </c>
      <c r="H188" s="1691"/>
      <c r="I188" s="1627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8" t="s">
        <v>883</v>
      </c>
      <c r="D189" s="1645"/>
      <c r="E189" s="1695"/>
      <c r="F189" s="1696"/>
      <c r="G189" s="1697">
        <f>SUM(G183:G188)</f>
        <v>25000</v>
      </c>
      <c r="H189" s="1698"/>
      <c r="I189" s="1627">
        <f t="shared" si="6"/>
        <v>123.76237623762377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5" t="s">
        <v>410</v>
      </c>
      <c r="D190" s="1623"/>
      <c r="E190" s="1631"/>
      <c r="F190" s="1653"/>
      <c r="G190" s="1690"/>
      <c r="H190" s="1691"/>
      <c r="I190" s="1627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8" t="s">
        <v>884</v>
      </c>
      <c r="D191" s="1623"/>
      <c r="E191" s="1628"/>
      <c r="F191" s="1653"/>
      <c r="G191" s="1682">
        <f>N191</f>
        <v>0</v>
      </c>
      <c r="H191" s="1683"/>
      <c r="I191" s="1627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3" t="s">
        <v>411</v>
      </c>
      <c r="D192" s="1738"/>
      <c r="E192" s="1631"/>
      <c r="F192" s="1653"/>
      <c r="G192" s="1690">
        <f>SUM(F193:F199)</f>
        <v>14500</v>
      </c>
      <c r="H192" s="1691"/>
      <c r="I192" s="1627">
        <f t="shared" si="6"/>
        <v>71.78217821782178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3"/>
      <c r="D193" s="1738" t="s">
        <v>885</v>
      </c>
      <c r="E193" s="1631"/>
      <c r="F193" s="1653">
        <v>2500</v>
      </c>
      <c r="G193" s="1690"/>
      <c r="H193" s="1691"/>
      <c r="I193" s="1627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3"/>
      <c r="D194" s="1738" t="s">
        <v>886</v>
      </c>
      <c r="E194" s="1631"/>
      <c r="F194" s="1653">
        <v>0</v>
      </c>
      <c r="G194" s="1690"/>
      <c r="H194" s="1691"/>
      <c r="I194" s="1627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3"/>
      <c r="D195" s="1738" t="s">
        <v>887</v>
      </c>
      <c r="E195" s="1631"/>
      <c r="F195" s="1653">
        <v>12000</v>
      </c>
      <c r="G195" s="1690"/>
      <c r="H195" s="1691"/>
      <c r="I195" s="1627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3"/>
      <c r="D196" s="1738" t="s">
        <v>888</v>
      </c>
      <c r="E196" s="1631"/>
      <c r="F196" s="1653">
        <v>0</v>
      </c>
      <c r="G196" s="1690"/>
      <c r="H196" s="1691"/>
      <c r="I196" s="1627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3"/>
      <c r="D197" s="1738" t="s">
        <v>889</v>
      </c>
      <c r="E197" s="1631"/>
      <c r="F197" s="1653">
        <v>0</v>
      </c>
      <c r="G197" s="1690"/>
      <c r="H197" s="1691"/>
      <c r="I197" s="1627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3"/>
      <c r="D198" s="1738" t="s">
        <v>890</v>
      </c>
      <c r="E198" s="1631"/>
      <c r="F198" s="1653">
        <v>0</v>
      </c>
      <c r="G198" s="1690"/>
      <c r="H198" s="1691"/>
      <c r="I198" s="1627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3"/>
      <c r="D199" s="1738" t="s">
        <v>891</v>
      </c>
      <c r="E199" s="1631"/>
      <c r="F199" s="1653">
        <v>0</v>
      </c>
      <c r="G199" s="1690"/>
      <c r="H199" s="1691"/>
      <c r="I199" s="1627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3" t="s">
        <v>892</v>
      </c>
      <c r="D200" s="1623"/>
      <c r="E200" s="1631"/>
      <c r="F200" s="1653"/>
      <c r="G200" s="1682">
        <f>SUM(F201:F205)</f>
        <v>93250</v>
      </c>
      <c r="H200" s="1683"/>
      <c r="I200" s="1627">
        <f t="shared" si="6"/>
        <v>461.63366336633663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1"/>
      <c r="D201" s="1623" t="s">
        <v>893</v>
      </c>
      <c r="E201" s="1702"/>
      <c r="F201" s="1653">
        <v>0</v>
      </c>
      <c r="G201" s="1682"/>
      <c r="H201" s="1683"/>
      <c r="I201" s="1627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1"/>
      <c r="D202" s="1623" t="s">
        <v>895</v>
      </c>
      <c r="E202" s="1631"/>
      <c r="F202" s="1653">
        <v>87750</v>
      </c>
      <c r="G202" s="1682"/>
      <c r="H202" s="1683"/>
      <c r="I202" s="1627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1"/>
      <c r="D203" s="1623" t="s">
        <v>896</v>
      </c>
      <c r="E203" s="1631"/>
      <c r="F203" s="1653">
        <v>2500</v>
      </c>
      <c r="G203" s="1682"/>
      <c r="H203" s="1683"/>
      <c r="I203" s="1627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1"/>
      <c r="D204" s="1623" t="s">
        <v>897</v>
      </c>
      <c r="E204" s="1631"/>
      <c r="F204" s="1653">
        <v>1500</v>
      </c>
      <c r="G204" s="1682"/>
      <c r="H204" s="1683"/>
      <c r="I204" s="1627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1"/>
      <c r="D205" s="1623" t="s">
        <v>898</v>
      </c>
      <c r="E205" s="1631"/>
      <c r="F205" s="1653">
        <v>1500</v>
      </c>
      <c r="G205" s="1682"/>
      <c r="H205" s="1683"/>
      <c r="I205" s="1627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3" t="s">
        <v>899</v>
      </c>
      <c r="D206" s="1623"/>
      <c r="E206" s="1631"/>
      <c r="F206" s="1653"/>
      <c r="G206" s="1690">
        <f>SUM(F207:F209)</f>
        <v>0</v>
      </c>
      <c r="H206" s="1691"/>
      <c r="I206" s="1627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3"/>
      <c r="D207" s="1623" t="s">
        <v>487</v>
      </c>
      <c r="E207" s="1631"/>
      <c r="F207" s="1653">
        <v>0</v>
      </c>
      <c r="G207" s="1690"/>
      <c r="H207" s="1691"/>
      <c r="I207" s="1627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3"/>
      <c r="D208" s="1623" t="s">
        <v>900</v>
      </c>
      <c r="E208" s="1631"/>
      <c r="F208" s="1653">
        <v>0</v>
      </c>
      <c r="G208" s="1690"/>
      <c r="H208" s="1691"/>
      <c r="I208" s="1627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3"/>
      <c r="D209" s="1623" t="s">
        <v>901</v>
      </c>
      <c r="E209" s="1631"/>
      <c r="F209" s="1653">
        <v>0</v>
      </c>
      <c r="G209" s="1690"/>
      <c r="H209" s="1691"/>
      <c r="I209" s="1627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3" t="s">
        <v>902</v>
      </c>
      <c r="D210" s="1623"/>
      <c r="E210" s="1631"/>
      <c r="F210" s="1653"/>
      <c r="G210" s="1682">
        <f>SUM(F211:F216)</f>
        <v>50000</v>
      </c>
      <c r="H210" s="1683"/>
      <c r="I210" s="1627">
        <f t="shared" si="6"/>
        <v>247.52475247524754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3"/>
      <c r="D211" s="1623" t="s">
        <v>903</v>
      </c>
      <c r="E211" s="1739">
        <v>2500</v>
      </c>
      <c r="F211" s="1653">
        <v>0</v>
      </c>
      <c r="G211" s="1682"/>
      <c r="H211" s="1683"/>
      <c r="I211" s="1627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3"/>
      <c r="D212" s="1623" t="s">
        <v>904</v>
      </c>
      <c r="E212" s="1631"/>
      <c r="F212" s="1653">
        <v>5000</v>
      </c>
      <c r="G212" s="1682"/>
      <c r="H212" s="1683"/>
      <c r="I212" s="1627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3"/>
      <c r="D213" s="1623" t="s">
        <v>905</v>
      </c>
      <c r="E213" s="1631"/>
      <c r="F213" s="1653">
        <v>15000</v>
      </c>
      <c r="G213" s="1682"/>
      <c r="H213" s="1683"/>
      <c r="I213" s="1627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3"/>
      <c r="D214" s="1623" t="s">
        <v>906</v>
      </c>
      <c r="E214" s="1631"/>
      <c r="F214" s="1653">
        <v>5000</v>
      </c>
      <c r="G214" s="1682"/>
      <c r="H214" s="1683"/>
      <c r="I214" s="1627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3"/>
      <c r="D215" s="1623" t="s">
        <v>907</v>
      </c>
      <c r="E215" s="1631"/>
      <c r="F215" s="1653">
        <v>20000</v>
      </c>
      <c r="G215" s="1682"/>
      <c r="H215" s="1683"/>
      <c r="I215" s="1627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3"/>
      <c r="D216" s="1623" t="s">
        <v>908</v>
      </c>
      <c r="E216" s="1631"/>
      <c r="F216" s="1653">
        <v>5000</v>
      </c>
      <c r="G216" s="1682"/>
      <c r="H216" s="1683"/>
      <c r="I216" s="1627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3" t="s">
        <v>909</v>
      </c>
      <c r="D217" s="1623"/>
      <c r="E217" s="1631"/>
      <c r="F217" s="1653"/>
      <c r="G217" s="1682">
        <f>SUM(F218:F220)</f>
        <v>0</v>
      </c>
      <c r="H217" s="1683"/>
      <c r="I217" s="1627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3"/>
      <c r="D218" s="1623" t="s">
        <v>487</v>
      </c>
      <c r="E218" s="1631"/>
      <c r="F218" s="1653">
        <v>0</v>
      </c>
      <c r="G218" s="1682"/>
      <c r="H218" s="1683"/>
      <c r="I218" s="1627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3"/>
      <c r="D219" s="1623" t="s">
        <v>106</v>
      </c>
      <c r="E219" s="1631"/>
      <c r="F219" s="1653">
        <v>0</v>
      </c>
      <c r="G219" s="1682"/>
      <c r="H219" s="1683"/>
      <c r="I219" s="1627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3"/>
      <c r="D220" s="1623" t="s">
        <v>911</v>
      </c>
      <c r="E220" s="1631"/>
      <c r="F220" s="1653">
        <v>0</v>
      </c>
      <c r="G220" s="1682"/>
      <c r="H220" s="1683"/>
      <c r="I220" s="1627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3" t="s">
        <v>912</v>
      </c>
      <c r="D221" s="1623"/>
      <c r="E221" s="1631"/>
      <c r="F221" s="1653"/>
      <c r="G221" s="1682">
        <f>SUM(F222:F230)</f>
        <v>281000</v>
      </c>
      <c r="H221" s="1683"/>
      <c r="I221" s="1627">
        <f t="shared" si="6"/>
        <v>1391.0891089108911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1"/>
      <c r="D222" s="1623" t="s">
        <v>224</v>
      </c>
      <c r="E222" s="1702">
        <v>0</v>
      </c>
      <c r="F222" s="1653">
        <v>0</v>
      </c>
      <c r="G222" s="1740"/>
      <c r="H222" s="1741"/>
      <c r="I222" s="1627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1"/>
      <c r="D223" s="1623" t="s">
        <v>415</v>
      </c>
      <c r="E223" s="1631"/>
      <c r="F223" s="1653">
        <v>25000</v>
      </c>
      <c r="G223" s="1682"/>
      <c r="H223" s="1683"/>
      <c r="I223" s="1627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1"/>
      <c r="D224" s="1623" t="s">
        <v>913</v>
      </c>
      <c r="E224" s="1739">
        <v>6500</v>
      </c>
      <c r="F224" s="1653">
        <f>E224*24</f>
        <v>156000</v>
      </c>
      <c r="G224" s="1682"/>
      <c r="H224" s="1683"/>
      <c r="I224" s="1627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1"/>
      <c r="D225" s="1623" t="s">
        <v>914</v>
      </c>
      <c r="E225" s="1631"/>
      <c r="F225" s="1653">
        <v>50000</v>
      </c>
      <c r="G225" s="1682"/>
      <c r="H225" s="1683"/>
      <c r="I225" s="1627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1"/>
      <c r="D226" s="1623" t="s">
        <v>915</v>
      </c>
      <c r="E226" s="1631"/>
      <c r="F226" s="1653">
        <v>0</v>
      </c>
      <c r="G226" s="1682"/>
      <c r="H226" s="1683"/>
      <c r="I226" s="1627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1"/>
      <c r="D227" s="1623" t="s">
        <v>916</v>
      </c>
      <c r="E227" s="1631"/>
      <c r="F227" s="1653">
        <v>50000</v>
      </c>
      <c r="G227" s="1682"/>
      <c r="H227" s="1683"/>
      <c r="I227" s="1627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1"/>
      <c r="D228" s="1623" t="s">
        <v>917</v>
      </c>
      <c r="E228" s="1631"/>
      <c r="F228" s="1653">
        <v>0</v>
      </c>
      <c r="G228" s="1682"/>
      <c r="H228" s="1683"/>
      <c r="I228" s="1627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1"/>
      <c r="D229" s="1623" t="s">
        <v>918</v>
      </c>
      <c r="E229" s="1631"/>
      <c r="F229" s="1653">
        <v>0</v>
      </c>
      <c r="G229" s="1682"/>
      <c r="H229" s="1683"/>
      <c r="I229" s="1627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1"/>
      <c r="D230" s="1623" t="s">
        <v>920</v>
      </c>
      <c r="E230" s="1631"/>
      <c r="F230" s="1653">
        <v>0</v>
      </c>
      <c r="G230" s="1682"/>
      <c r="H230" s="1683"/>
      <c r="I230" s="1627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3" t="s">
        <v>922</v>
      </c>
      <c r="D231" s="1623"/>
      <c r="E231" s="1631"/>
      <c r="F231" s="1653"/>
      <c r="G231" s="1682">
        <v>0</v>
      </c>
      <c r="H231" s="1683"/>
      <c r="I231" s="1627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3" t="s">
        <v>924</v>
      </c>
      <c r="D232" s="1623"/>
      <c r="E232" s="1631"/>
      <c r="F232" s="1653"/>
      <c r="G232" s="1682"/>
      <c r="H232" s="1683"/>
      <c r="I232" s="1627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3" t="s">
        <v>925</v>
      </c>
      <c r="D233" s="1623"/>
      <c r="E233" s="1742">
        <v>0.05</v>
      </c>
      <c r="F233" s="1680"/>
      <c r="G233" s="1690">
        <f>SUM(G190:G231,G189,G181,G176,G170,G148,G114,G97,G80)*E233</f>
        <v>924998.27936783549</v>
      </c>
      <c r="H233" s="1691"/>
      <c r="I233" s="1627">
        <f t="shared" si="8"/>
        <v>4579.1994028110666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924998.27936783549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8" t="s">
        <v>926</v>
      </c>
      <c r="D234" s="1645"/>
      <c r="E234" s="1743"/>
      <c r="F234" s="1696"/>
      <c r="G234" s="1744">
        <f>SUM(G191:G233)</f>
        <v>1363748.2793678355</v>
      </c>
      <c r="H234" s="1745"/>
      <c r="I234" s="1627">
        <f t="shared" si="8"/>
        <v>6751.2291057813636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1363748.2793678355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5" t="s">
        <v>150</v>
      </c>
      <c r="D235" s="1623"/>
      <c r="E235" s="1628"/>
      <c r="F235" s="1653"/>
      <c r="G235" s="1682"/>
      <c r="H235" s="1683"/>
      <c r="I235" s="1627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3" t="s">
        <v>151</v>
      </c>
      <c r="D236" s="1623"/>
      <c r="E236" s="1646"/>
      <c r="F236" s="1653"/>
      <c r="G236" s="1690">
        <v>2500000</v>
      </c>
      <c r="H236" s="1691"/>
      <c r="I236" s="1627">
        <f t="shared" si="8"/>
        <v>12376.237623762376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3" t="s">
        <v>145</v>
      </c>
      <c r="D237" s="1623"/>
      <c r="E237" s="1628"/>
      <c r="F237" s="1653"/>
      <c r="G237" s="1682">
        <v>0</v>
      </c>
      <c r="H237" s="1683"/>
      <c r="I237" s="1627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3" t="s">
        <v>143</v>
      </c>
      <c r="D238" s="1623"/>
      <c r="E238" s="1628"/>
      <c r="F238" s="1653"/>
      <c r="G238" s="1682">
        <f>SUM(F239:F241)</f>
        <v>20750</v>
      </c>
      <c r="H238" s="1683"/>
      <c r="I238" s="1627">
        <f t="shared" si="8"/>
        <v>102.72277227722772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3"/>
      <c r="D239" s="1623" t="s">
        <v>928</v>
      </c>
      <c r="E239" s="1633">
        <v>1300</v>
      </c>
      <c r="F239" s="1653">
        <v>3250</v>
      </c>
      <c r="G239" s="1682"/>
      <c r="H239" s="1683"/>
      <c r="I239" s="1627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3"/>
      <c r="D240" s="1623" t="s">
        <v>929</v>
      </c>
      <c r="E240" s="1628"/>
      <c r="F240" s="1723">
        <v>15000</v>
      </c>
      <c r="G240" s="1682"/>
      <c r="H240" s="1683"/>
      <c r="I240" s="1627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3"/>
      <c r="D241" s="1623" t="s">
        <v>930</v>
      </c>
      <c r="E241" s="1628"/>
      <c r="F241" s="1653">
        <v>2500</v>
      </c>
      <c r="G241" s="1682"/>
      <c r="H241" s="1683"/>
      <c r="I241" s="1627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8" t="s">
        <v>931</v>
      </c>
      <c r="D242" s="1645"/>
      <c r="E242" s="1746"/>
      <c r="F242" s="1696"/>
      <c r="G242" s="1697">
        <f>SUM(G236:G241)</f>
        <v>2520750</v>
      </c>
      <c r="H242" s="1698"/>
      <c r="I242" s="1627">
        <f>G242/$F$9</f>
        <v>12478.960396039603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5" t="s">
        <v>932</v>
      </c>
      <c r="D243" s="1623"/>
      <c r="E243" s="1747"/>
      <c r="F243" s="1680"/>
      <c r="G243" s="1690"/>
      <c r="H243" s="1691"/>
      <c r="I243" s="1627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3" t="s">
        <v>933</v>
      </c>
      <c r="D244" s="1631"/>
      <c r="E244" s="1748"/>
      <c r="F244" s="1680"/>
      <c r="G244" s="1690">
        <v>0</v>
      </c>
      <c r="H244" s="1691"/>
      <c r="I244" s="1627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3" t="s">
        <v>934</v>
      </c>
      <c r="D245" s="1631"/>
      <c r="E245" s="1747"/>
      <c r="F245" s="1680"/>
      <c r="G245" s="1690">
        <v>0</v>
      </c>
      <c r="H245" s="1691"/>
      <c r="I245" s="1627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3" t="s">
        <v>935</v>
      </c>
      <c r="D246" s="1631"/>
      <c r="E246" s="1747"/>
      <c r="F246" s="1680"/>
      <c r="G246" s="1690">
        <v>0</v>
      </c>
      <c r="H246" s="1691"/>
      <c r="I246" s="1627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3" t="s">
        <v>937</v>
      </c>
      <c r="D247" s="1631"/>
      <c r="E247" s="1749">
        <v>800</v>
      </c>
      <c r="F247" s="1680"/>
      <c r="G247" s="1690">
        <v>666.66666666666663</v>
      </c>
      <c r="H247" s="1691"/>
      <c r="I247" s="1627">
        <f t="shared" si="8"/>
        <v>3.3003300330033003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3" t="s">
        <v>938</v>
      </c>
      <c r="D248" s="1631"/>
      <c r="E248" s="1747"/>
      <c r="F248" s="1680"/>
      <c r="G248" s="1690">
        <v>2000</v>
      </c>
      <c r="H248" s="1691"/>
      <c r="I248" s="1627">
        <f t="shared" si="8"/>
        <v>9.9009900990099009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8" t="s">
        <v>939</v>
      </c>
      <c r="D249" s="1645"/>
      <c r="E249" s="1746"/>
      <c r="F249" s="1696"/>
      <c r="G249" s="1697">
        <f>SUM(G244:G248)</f>
        <v>2666.6666666666665</v>
      </c>
      <c r="H249" s="1698"/>
      <c r="I249" s="1627">
        <f t="shared" si="8"/>
        <v>13.201320132013201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F9*I250</f>
        <v>105646000</v>
      </c>
      <c r="H250" s="1161"/>
      <c r="I250" s="1599">
        <v>523000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536.65549121202889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6" zoomScale="70" zoomScaleNormal="70" workbookViewId="0">
      <selection activeCell="E39" sqref="E39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202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196860</v>
      </c>
      <c r="D5" t="s">
        <v>427</v>
      </c>
      <c r="G5" s="510"/>
    </row>
    <row r="6" spans="1:15">
      <c r="B6" s="1196" t="s">
        <v>12</v>
      </c>
      <c r="C6" s="700">
        <f>'Construction Calculation'!C14</f>
        <v>196860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32810</v>
      </c>
      <c r="D8" t="s">
        <v>427</v>
      </c>
      <c r="G8" s="510"/>
    </row>
    <row r="9" spans="1:15">
      <c r="B9" s="1196" t="s">
        <v>429</v>
      </c>
      <c r="C9" s="700">
        <f>'Construction Calculation'!C47</f>
        <v>101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1100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68669900</v>
      </c>
      <c r="D20" s="1221">
        <f>MIN(D22,GapCalc!D24)</f>
        <v>68669900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68669900</v>
      </c>
      <c r="G22" s="147"/>
    </row>
    <row r="23" spans="1:13">
      <c r="A23" s="1275" t="s">
        <v>438</v>
      </c>
      <c r="B23" s="1216"/>
      <c r="C23" s="1216" t="s">
        <v>68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-5207948.7239028607</v>
      </c>
      <c r="E24" s="1230"/>
      <c r="G24" s="1223"/>
      <c r="H24" s="1231"/>
      <c r="K24" s="1270"/>
    </row>
    <row r="25" spans="1:13">
      <c r="A25" s="1217"/>
      <c r="B25" t="s">
        <v>1101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5207948.7239028849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99260575.199999973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75020348.484821707</v>
      </c>
      <c r="D30" s="1222">
        <f>-PV($C$24/12,$C$29*12,C27/12)</f>
        <v>75020348.484821707</v>
      </c>
      <c r="E30" s="1230"/>
      <c r="F30" t="s">
        <v>437</v>
      </c>
      <c r="G30" s="1227"/>
      <c r="H30" s="1222">
        <f>PV(G23,G29,-'Cash Flow'!E41*H28,)</f>
        <v>8395930.4044076335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1101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5207948.7239028849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107119373.72294137</v>
      </c>
      <c r="D38" s="516" t="s">
        <v>1038</v>
      </c>
      <c r="E38" s="1237">
        <f>C37*GapCalc!D24</f>
        <v>84516800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85653899.684015468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8701488</v>
      </c>
      <c r="F12" s="89">
        <f>E12*(1+$D$12)</f>
        <v>8919025.1999999993</v>
      </c>
      <c r="G12" s="89">
        <f t="shared" ref="G12:AH12" si="0">F12*(1+$D$12)</f>
        <v>9142000.8299999982</v>
      </c>
      <c r="H12" s="89">
        <f t="shared" si="0"/>
        <v>9370550.8507499974</v>
      </c>
      <c r="I12" s="89">
        <f t="shared" si="0"/>
        <v>9604814.622018747</v>
      </c>
      <c r="J12" s="89">
        <f t="shared" si="0"/>
        <v>9844934.9875692148</v>
      </c>
      <c r="K12" s="89">
        <f t="shared" si="0"/>
        <v>10091058.362258444</v>
      </c>
      <c r="L12" s="89">
        <f t="shared" si="0"/>
        <v>10343334.821314903</v>
      </c>
      <c r="M12" s="89">
        <f t="shared" si="0"/>
        <v>10601918.191847775</v>
      </c>
      <c r="N12" s="89">
        <f t="shared" si="0"/>
        <v>10866966.146643968</v>
      </c>
      <c r="O12" s="89">
        <f t="shared" si="0"/>
        <v>11138640.300310066</v>
      </c>
      <c r="P12" s="89">
        <f t="shared" si="0"/>
        <v>11417106.307817817</v>
      </c>
      <c r="Q12" s="89">
        <f t="shared" si="0"/>
        <v>11702533.965513261</v>
      </c>
      <c r="R12" s="89">
        <f t="shared" si="0"/>
        <v>11995097.314651091</v>
      </c>
      <c r="S12" s="90">
        <f t="shared" si="0"/>
        <v>12294974.747517366</v>
      </c>
      <c r="T12" s="89">
        <f t="shared" si="0"/>
        <v>12602349.116205299</v>
      </c>
      <c r="U12" s="89">
        <f t="shared" si="0"/>
        <v>12917407.844110431</v>
      </c>
      <c r="V12" s="89">
        <f t="shared" si="0"/>
        <v>13240343.04021319</v>
      </c>
      <c r="W12" s="89">
        <f t="shared" si="0"/>
        <v>13571351.616218518</v>
      </c>
      <c r="X12" s="89">
        <f t="shared" si="0"/>
        <v>13910635.40662398</v>
      </c>
      <c r="Y12" s="89">
        <f t="shared" si="0"/>
        <v>14258401.291789578</v>
      </c>
      <c r="Z12" s="89">
        <f t="shared" si="0"/>
        <v>14614861.324084317</v>
      </c>
      <c r="AA12" s="89">
        <f t="shared" si="0"/>
        <v>14980232.857186424</v>
      </c>
      <c r="AB12" s="89">
        <f t="shared" si="0"/>
        <v>15354738.678616082</v>
      </c>
      <c r="AC12" s="89">
        <f t="shared" si="0"/>
        <v>15738607.145581484</v>
      </c>
      <c r="AD12" s="89">
        <f t="shared" si="0"/>
        <v>16132072.324221019</v>
      </c>
      <c r="AE12" s="89">
        <f t="shared" si="0"/>
        <v>16535374.132326543</v>
      </c>
      <c r="AF12" s="89">
        <f t="shared" si="0"/>
        <v>16948758.485634707</v>
      </c>
      <c r="AG12" s="89">
        <f t="shared" si="0"/>
        <v>17372477.447775573</v>
      </c>
      <c r="AH12" s="89">
        <f t="shared" si="0"/>
        <v>17806789.383969959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-435353.4</v>
      </c>
      <c r="F14" s="100">
        <f t="shared" ref="F14:AH14" si="2">-((F12+F13)*$C$14)</f>
        <v>-446237.23499999999</v>
      </c>
      <c r="G14" s="100">
        <f t="shared" si="2"/>
        <v>-457393.16587499995</v>
      </c>
      <c r="H14" s="100">
        <f t="shared" si="2"/>
        <v>-468827.99502187484</v>
      </c>
      <c r="I14" s="100">
        <f t="shared" si="2"/>
        <v>-480548.69489742175</v>
      </c>
      <c r="J14" s="100">
        <f t="shared" si="2"/>
        <v>-492562.41226985725</v>
      </c>
      <c r="K14" s="100">
        <f t="shared" si="2"/>
        <v>-504876.47257660358</v>
      </c>
      <c r="L14" s="100">
        <f t="shared" si="2"/>
        <v>-517498.3843910186</v>
      </c>
      <c r="M14" s="100">
        <f t="shared" si="2"/>
        <v>-530435.84400079399</v>
      </c>
      <c r="N14" s="100">
        <f t="shared" si="2"/>
        <v>-543696.74010081391</v>
      </c>
      <c r="O14" s="100">
        <f t="shared" si="2"/>
        <v>-557289.1586033341</v>
      </c>
      <c r="P14" s="100">
        <f t="shared" si="2"/>
        <v>-571221.38756841735</v>
      </c>
      <c r="Q14" s="100">
        <f t="shared" si="2"/>
        <v>-585501.92225762771</v>
      </c>
      <c r="R14" s="100">
        <f t="shared" si="2"/>
        <v>-600139.47031406837</v>
      </c>
      <c r="S14" s="101">
        <f t="shared" si="2"/>
        <v>-615142.95707192004</v>
      </c>
      <c r="T14" s="100">
        <f t="shared" si="2"/>
        <v>-630521.53099871799</v>
      </c>
      <c r="U14" s="100">
        <f t="shared" si="2"/>
        <v>-646284.56927368592</v>
      </c>
      <c r="V14" s="100">
        <f t="shared" si="2"/>
        <v>-662441.68350552791</v>
      </c>
      <c r="W14" s="100">
        <f t="shared" si="2"/>
        <v>-679002.72559316608</v>
      </c>
      <c r="X14" s="100">
        <f t="shared" si="2"/>
        <v>-695977.79373299517</v>
      </c>
      <c r="Y14" s="100">
        <f t="shared" si="2"/>
        <v>-713377.23857632</v>
      </c>
      <c r="Z14" s="100">
        <f t="shared" si="2"/>
        <v>-731211.66954072798</v>
      </c>
      <c r="AA14" s="100">
        <f t="shared" si="2"/>
        <v>-749491.96127924602</v>
      </c>
      <c r="AB14" s="100">
        <f t="shared" si="2"/>
        <v>-768229.26031122718</v>
      </c>
      <c r="AC14" s="100">
        <f t="shared" si="2"/>
        <v>-787434.99181900779</v>
      </c>
      <c r="AD14" s="100">
        <f t="shared" si="2"/>
        <v>-807120.86661448283</v>
      </c>
      <c r="AE14" s="100">
        <f t="shared" si="2"/>
        <v>-827298.88827984489</v>
      </c>
      <c r="AF14" s="100">
        <f t="shared" si="2"/>
        <v>-847981.36048684106</v>
      </c>
      <c r="AG14" s="100">
        <f t="shared" si="2"/>
        <v>-869180.89449901192</v>
      </c>
      <c r="AH14" s="100">
        <f t="shared" si="2"/>
        <v>-890910.41686148709</v>
      </c>
    </row>
    <row r="15" spans="1:34">
      <c r="A15" s="76"/>
      <c r="B15" s="102" t="s">
        <v>311</v>
      </c>
      <c r="C15" s="76"/>
      <c r="D15" s="76"/>
      <c r="E15" s="95">
        <f>SUM(E12:E14)</f>
        <v>8271714.5999999996</v>
      </c>
      <c r="F15" s="95">
        <f t="shared" ref="F15:AH15" si="3">SUM(F12:F14)</f>
        <v>8478507.4649999999</v>
      </c>
      <c r="G15" s="103">
        <f t="shared" si="3"/>
        <v>8690470.1516249999</v>
      </c>
      <c r="H15" s="104">
        <f t="shared" si="3"/>
        <v>8907731.9054156225</v>
      </c>
      <c r="I15" s="104">
        <f t="shared" si="3"/>
        <v>9130425.203051012</v>
      </c>
      <c r="J15" s="95">
        <f t="shared" si="3"/>
        <v>9358685.8331272881</v>
      </c>
      <c r="K15" s="103">
        <f t="shared" si="3"/>
        <v>9592652.9789554682</v>
      </c>
      <c r="L15" s="95">
        <f t="shared" si="3"/>
        <v>9832469.3034293521</v>
      </c>
      <c r="M15" s="95">
        <f t="shared" si="3"/>
        <v>10078281.036015086</v>
      </c>
      <c r="N15" s="95">
        <f t="shared" si="3"/>
        <v>10330238.061915463</v>
      </c>
      <c r="O15" s="95">
        <f t="shared" si="3"/>
        <v>10588494.013463346</v>
      </c>
      <c r="P15" s="95">
        <f t="shared" si="3"/>
        <v>10853206.36379993</v>
      </c>
      <c r="Q15" s="95">
        <f t="shared" si="3"/>
        <v>11124536.522894926</v>
      </c>
      <c r="R15" s="95">
        <f t="shared" si="3"/>
        <v>11402649.935967298</v>
      </c>
      <c r="S15" s="96">
        <f t="shared" si="3"/>
        <v>11687716.18436648</v>
      </c>
      <c r="T15" s="95">
        <f t="shared" si="3"/>
        <v>11979909.08897564</v>
      </c>
      <c r="U15" s="95">
        <f t="shared" si="3"/>
        <v>12279406.816200031</v>
      </c>
      <c r="V15" s="95">
        <f t="shared" si="3"/>
        <v>12586391.98660503</v>
      </c>
      <c r="W15" s="95">
        <f t="shared" si="3"/>
        <v>12901051.786270155</v>
      </c>
      <c r="X15" s="95">
        <f t="shared" si="3"/>
        <v>13223578.080926906</v>
      </c>
      <c r="Y15" s="95">
        <f t="shared" si="3"/>
        <v>13554167.532950077</v>
      </c>
      <c r="Z15" s="95">
        <f t="shared" si="3"/>
        <v>13893021.72127383</v>
      </c>
      <c r="AA15" s="95">
        <f t="shared" si="3"/>
        <v>14240347.264305674</v>
      </c>
      <c r="AB15" s="95">
        <f t="shared" si="3"/>
        <v>14596355.945913315</v>
      </c>
      <c r="AC15" s="95">
        <f t="shared" si="3"/>
        <v>14961264.844561147</v>
      </c>
      <c r="AD15" s="95">
        <f t="shared" si="3"/>
        <v>15335296.465675173</v>
      </c>
      <c r="AE15" s="95">
        <f t="shared" si="3"/>
        <v>15718678.877317052</v>
      </c>
      <c r="AF15" s="95">
        <f t="shared" si="3"/>
        <v>16111645.849249979</v>
      </c>
      <c r="AG15" s="95">
        <f t="shared" si="3"/>
        <v>16514436.995481227</v>
      </c>
      <c r="AH15" s="95">
        <f t="shared" si="3"/>
        <v>16927297.920368254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314</v>
      </c>
      <c r="C19" s="1557" t="s">
        <v>1099</v>
      </c>
      <c r="D19" s="88">
        <v>1.2500000000000001E-2</v>
      </c>
      <c r="E19" s="95">
        <f>IF(C19="Abatement", 0, -'Tax Calc'!B10)</f>
        <v>-749576.13131653797</v>
      </c>
      <c r="F19" s="89">
        <f>E19*(1+$D$19)</f>
        <v>-758945.83295799466</v>
      </c>
      <c r="G19" s="89">
        <f t="shared" ref="G19:AH19" si="6">F19*(1+$D$19)</f>
        <v>-768432.65586996952</v>
      </c>
      <c r="H19" s="89">
        <f t="shared" si="6"/>
        <v>-778038.06406834407</v>
      </c>
      <c r="I19" s="89">
        <f t="shared" si="6"/>
        <v>-787763.53986919834</v>
      </c>
      <c r="J19" s="89">
        <f t="shared" si="6"/>
        <v>-797610.58411756332</v>
      </c>
      <c r="K19" s="89">
        <f t="shared" si="6"/>
        <v>-807580.71641903277</v>
      </c>
      <c r="L19" s="89">
        <f t="shared" si="6"/>
        <v>-817675.4753742707</v>
      </c>
      <c r="M19" s="89">
        <f t="shared" si="6"/>
        <v>-827896.418816449</v>
      </c>
      <c r="N19" s="89">
        <f t="shared" si="6"/>
        <v>-838245.12405165459</v>
      </c>
      <c r="O19" s="89">
        <f t="shared" si="6"/>
        <v>-848723.18810230028</v>
      </c>
      <c r="P19" s="89">
        <f t="shared" si="6"/>
        <v>-859332.22795357904</v>
      </c>
      <c r="Q19" s="89">
        <f t="shared" si="6"/>
        <v>-870073.88080299878</v>
      </c>
      <c r="R19" s="89">
        <f t="shared" si="6"/>
        <v>-880949.80431303626</v>
      </c>
      <c r="S19" s="90">
        <f t="shared" si="6"/>
        <v>-891961.67686694919</v>
      </c>
      <c r="T19" s="89">
        <f t="shared" si="6"/>
        <v>-903111.19782778597</v>
      </c>
      <c r="U19" s="89">
        <f t="shared" si="6"/>
        <v>-914400.08780063328</v>
      </c>
      <c r="V19" s="89">
        <f t="shared" si="6"/>
        <v>-925830.08889814117</v>
      </c>
      <c r="W19" s="89">
        <f t="shared" si="6"/>
        <v>-937402.96500936791</v>
      </c>
      <c r="X19" s="89">
        <f t="shared" si="6"/>
        <v>-949120.50207198493</v>
      </c>
      <c r="Y19" s="89">
        <f t="shared" si="6"/>
        <v>-960984.50834788475</v>
      </c>
      <c r="Z19" s="89">
        <f t="shared" si="6"/>
        <v>-972996.8147022333</v>
      </c>
      <c r="AA19" s="89">
        <f t="shared" si="6"/>
        <v>-985159.27488601115</v>
      </c>
      <c r="AB19" s="89">
        <f t="shared" si="6"/>
        <v>-997473.76582208625</v>
      </c>
      <c r="AC19" s="89">
        <f t="shared" si="6"/>
        <v>-1009942.1878948623</v>
      </c>
      <c r="AD19" s="89">
        <f t="shared" si="6"/>
        <v>-1022566.465243548</v>
      </c>
      <c r="AE19" s="89">
        <f t="shared" si="6"/>
        <v>-1035348.5460590924</v>
      </c>
      <c r="AF19" s="89">
        <f t="shared" si="6"/>
        <v>-1048290.402884831</v>
      </c>
      <c r="AG19" s="89">
        <f t="shared" si="6"/>
        <v>-1061394.0329208912</v>
      </c>
      <c r="AH19" s="89">
        <f t="shared" si="6"/>
        <v>-1074661.4583324022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6249538.4686834617</v>
      </c>
      <c r="F21" s="95">
        <f t="shared" si="8"/>
        <v>6404541.6320420057</v>
      </c>
      <c r="G21" s="95">
        <f t="shared" si="8"/>
        <v>6563112.7957550306</v>
      </c>
      <c r="H21" s="95">
        <f t="shared" si="8"/>
        <v>6725327.7768472778</v>
      </c>
      <c r="I21" s="95">
        <f t="shared" si="8"/>
        <v>6891263.7864243137</v>
      </c>
      <c r="J21" s="95">
        <f t="shared" si="8"/>
        <v>7060999.4465657128</v>
      </c>
      <c r="K21" s="95">
        <f t="shared" si="8"/>
        <v>7234614.8070068834</v>
      </c>
      <c r="L21" s="95">
        <f t="shared" si="8"/>
        <v>7412191.3615819942</v>
      </c>
      <c r="M21" s="95">
        <f t="shared" si="8"/>
        <v>7593812.0643989928</v>
      </c>
      <c r="N21" s="95">
        <f t="shared" si="8"/>
        <v>7779561.3457161766</v>
      </c>
      <c r="O21" s="95">
        <f t="shared" si="8"/>
        <v>7969525.1274882471</v>
      </c>
      <c r="P21" s="95">
        <f t="shared" si="8"/>
        <v>8163790.8385480028</v>
      </c>
      <c r="Q21" s="95">
        <f t="shared" si="8"/>
        <v>8362447.4293881394</v>
      </c>
      <c r="R21" s="95">
        <f t="shared" si="8"/>
        <v>8565585.3865058403</v>
      </c>
      <c r="S21" s="96">
        <f t="shared" si="8"/>
        <v>8773296.7462709155</v>
      </c>
      <c r="T21" s="95">
        <f t="shared" si="8"/>
        <v>8985675.1082762368</v>
      </c>
      <c r="U21" s="95">
        <f t="shared" si="8"/>
        <v>9202815.6481272746</v>
      </c>
      <c r="V21" s="95">
        <f t="shared" si="8"/>
        <v>9424815.1296252403</v>
      </c>
      <c r="W21" s="95">
        <f t="shared" si="8"/>
        <v>9651771.9162962828</v>
      </c>
      <c r="X21" s="95">
        <f t="shared" si="8"/>
        <v>9883785.9822166599</v>
      </c>
      <c r="Y21" s="95">
        <f t="shared" si="8"/>
        <v>10120958.92208159</v>
      </c>
      <c r="Z21" s="95">
        <f t="shared" si="8"/>
        <v>10363393.960462773</v>
      </c>
      <c r="AA21" s="95">
        <f t="shared" si="8"/>
        <v>10611195.960197031</v>
      </c>
      <c r="AB21" s="95">
        <f t="shared" si="8"/>
        <v>10864471.429845806</v>
      </c>
      <c r="AC21" s="95">
        <f t="shared" si="8"/>
        <v>11123328.530162271</v>
      </c>
      <c r="AD21" s="95">
        <f t="shared" si="8"/>
        <v>11387877.079499971</v>
      </c>
      <c r="AE21" s="95">
        <f t="shared" si="8"/>
        <v>11658228.558093699</v>
      </c>
      <c r="AF21" s="95">
        <f t="shared" si="8"/>
        <v>11934496.111140138</v>
      </c>
      <c r="AG21" s="95">
        <f t="shared" si="8"/>
        <v>12216794.550602451</v>
      </c>
      <c r="AH21" s="95">
        <f t="shared" si="8"/>
        <v>12505240.355659442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-5207948.7239028849</v>
      </c>
      <c r="F22" s="95">
        <f t="shared" ref="F22:AH22" si="9">$E$22</f>
        <v>-5207948.7239028849</v>
      </c>
      <c r="G22" s="95">
        <f t="shared" si="9"/>
        <v>-5207948.7239028849</v>
      </c>
      <c r="H22" s="95">
        <f t="shared" si="9"/>
        <v>-5207948.7239028849</v>
      </c>
      <c r="I22" s="95">
        <f t="shared" si="9"/>
        <v>-5207948.7239028849</v>
      </c>
      <c r="J22" s="95">
        <f t="shared" si="9"/>
        <v>-5207948.7239028849</v>
      </c>
      <c r="K22" s="95">
        <f t="shared" si="9"/>
        <v>-5207948.7239028849</v>
      </c>
      <c r="L22" s="95">
        <f t="shared" si="9"/>
        <v>-5207948.7239028849</v>
      </c>
      <c r="M22" s="95">
        <f t="shared" si="9"/>
        <v>-5207948.7239028849</v>
      </c>
      <c r="N22" s="95">
        <f t="shared" si="9"/>
        <v>-5207948.7239028849</v>
      </c>
      <c r="O22" s="95">
        <f t="shared" si="9"/>
        <v>-5207948.7239028849</v>
      </c>
      <c r="P22" s="95">
        <f t="shared" si="9"/>
        <v>-5207948.7239028849</v>
      </c>
      <c r="Q22" s="95">
        <f t="shared" si="9"/>
        <v>-5207948.7239028849</v>
      </c>
      <c r="R22" s="95">
        <f t="shared" si="9"/>
        <v>-5207948.7239028849</v>
      </c>
      <c r="S22" s="96">
        <f t="shared" si="9"/>
        <v>-5207948.7239028849</v>
      </c>
      <c r="T22" s="95">
        <f t="shared" si="9"/>
        <v>-5207948.7239028849</v>
      </c>
      <c r="U22" s="95">
        <f t="shared" si="9"/>
        <v>-5207948.7239028849</v>
      </c>
      <c r="V22" s="95">
        <f t="shared" si="9"/>
        <v>-5207948.7239028849</v>
      </c>
      <c r="W22" s="95">
        <f t="shared" si="9"/>
        <v>-5207948.7239028849</v>
      </c>
      <c r="X22" s="95">
        <f t="shared" si="9"/>
        <v>-5207948.7239028849</v>
      </c>
      <c r="Y22" s="95">
        <f t="shared" si="9"/>
        <v>-5207948.7239028849</v>
      </c>
      <c r="Z22" s="95">
        <f t="shared" si="9"/>
        <v>-5207948.7239028849</v>
      </c>
      <c r="AA22" s="95">
        <f t="shared" si="9"/>
        <v>-5207948.7239028849</v>
      </c>
      <c r="AB22" s="95">
        <f t="shared" si="9"/>
        <v>-5207948.7239028849</v>
      </c>
      <c r="AC22" s="95">
        <f t="shared" si="9"/>
        <v>-5207948.7239028849</v>
      </c>
      <c r="AD22" s="95">
        <f t="shared" si="9"/>
        <v>-5207948.7239028849</v>
      </c>
      <c r="AE22" s="95">
        <f t="shared" si="9"/>
        <v>-5207948.7239028849</v>
      </c>
      <c r="AF22" s="95">
        <f t="shared" si="9"/>
        <v>-5207948.7239028849</v>
      </c>
      <c r="AG22" s="95">
        <f t="shared" si="9"/>
        <v>-5207948.7239028849</v>
      </c>
      <c r="AH22" s="95">
        <f t="shared" si="9"/>
        <v>-5207948.7239028849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1041589.7447805768</v>
      </c>
      <c r="F25" s="119">
        <f t="shared" ref="F25:AH25" si="11">+F21+F22+F23</f>
        <v>1196592.9081391208</v>
      </c>
      <c r="G25" s="119">
        <f t="shared" si="11"/>
        <v>1355164.0718521457</v>
      </c>
      <c r="H25" s="119">
        <f t="shared" si="11"/>
        <v>1517379.0529443929</v>
      </c>
      <c r="I25" s="119">
        <f t="shared" si="11"/>
        <v>1683315.0625214288</v>
      </c>
      <c r="J25" s="119">
        <f t="shared" si="11"/>
        <v>1853050.7226628279</v>
      </c>
      <c r="K25" s="119">
        <f t="shared" si="11"/>
        <v>2026666.0831039986</v>
      </c>
      <c r="L25" s="119">
        <f t="shared" si="11"/>
        <v>2204242.6376791093</v>
      </c>
      <c r="M25" s="119">
        <f t="shared" si="11"/>
        <v>2385863.3404961079</v>
      </c>
      <c r="N25" s="119">
        <f t="shared" si="11"/>
        <v>2571612.6218132917</v>
      </c>
      <c r="O25" s="119">
        <f t="shared" si="11"/>
        <v>2761576.4035853622</v>
      </c>
      <c r="P25" s="119">
        <f t="shared" si="11"/>
        <v>2955842.1146451179</v>
      </c>
      <c r="Q25" s="119">
        <f t="shared" si="11"/>
        <v>3154498.7054852545</v>
      </c>
      <c r="R25" s="119">
        <f t="shared" si="11"/>
        <v>3357636.6626029555</v>
      </c>
      <c r="S25" s="160">
        <f t="shared" si="11"/>
        <v>3565348.0223680306</v>
      </c>
      <c r="T25" s="119">
        <f t="shared" si="11"/>
        <v>3777726.3843733519</v>
      </c>
      <c r="U25" s="119">
        <f t="shared" si="11"/>
        <v>3994866.9242243897</v>
      </c>
      <c r="V25" s="119">
        <f t="shared" si="11"/>
        <v>4216866.4057223555</v>
      </c>
      <c r="W25" s="119">
        <f t="shared" si="11"/>
        <v>4443823.1923933979</v>
      </c>
      <c r="X25" s="119">
        <f t="shared" si="11"/>
        <v>4675837.2583137751</v>
      </c>
      <c r="Y25" s="119">
        <f t="shared" si="11"/>
        <v>4913010.1981787048</v>
      </c>
      <c r="Z25" s="119">
        <f t="shared" si="11"/>
        <v>5155445.2365598883</v>
      </c>
      <c r="AA25" s="119">
        <f t="shared" si="11"/>
        <v>5403247.2362941466</v>
      </c>
      <c r="AB25" s="119">
        <f t="shared" si="11"/>
        <v>5656522.7059429213</v>
      </c>
      <c r="AC25" s="119">
        <f t="shared" si="11"/>
        <v>5915379.8062593862</v>
      </c>
      <c r="AD25" s="119">
        <f t="shared" si="11"/>
        <v>6179928.3555970863</v>
      </c>
      <c r="AE25" s="119">
        <f t="shared" si="11"/>
        <v>6450279.8341908138</v>
      </c>
      <c r="AF25" s="119">
        <f t="shared" si="11"/>
        <v>6726547.3872372527</v>
      </c>
      <c r="AG25" s="119">
        <f t="shared" si="11"/>
        <v>7008845.8266995661</v>
      </c>
      <c r="AH25" s="119">
        <f t="shared" si="11"/>
        <v>7297291.6317565572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1.2297628051995073</v>
      </c>
      <c r="G27" s="122">
        <f t="shared" si="12"/>
        <v>1.2602107170587835</v>
      </c>
      <c r="H27" s="122">
        <f t="shared" si="12"/>
        <v>1.2913582935216104</v>
      </c>
      <c r="I27" s="122">
        <f t="shared" si="12"/>
        <v>1.3232203602150554</v>
      </c>
      <c r="J27" s="122">
        <f t="shared" si="12"/>
        <v>1.3558120136932021</v>
      </c>
      <c r="K27" s="122">
        <f t="shared" si="12"/>
        <v>1.3891486246402973</v>
      </c>
      <c r="L27" s="122">
        <f t="shared" si="12"/>
        <v>1.4232458410280255</v>
      </c>
      <c r="M27" s="122">
        <f t="shared" si="12"/>
        <v>1.4581195912213436</v>
      </c>
      <c r="N27" s="122">
        <f t="shared" si="12"/>
        <v>1.4937860870270054</v>
      </c>
      <c r="O27" s="122">
        <f t="shared" si="12"/>
        <v>1.5302618266786259</v>
      </c>
      <c r="P27" s="122">
        <f t="shared" si="12"/>
        <v>1.567563597751781</v>
      </c>
      <c r="Q27" s="122">
        <f t="shared" si="12"/>
        <v>1.6057084800023231</v>
      </c>
      <c r="R27" s="122">
        <f t="shared" si="12"/>
        <v>1.6447138481207457</v>
      </c>
      <c r="S27" s="161">
        <f t="shared" si="12"/>
        <v>1.6845973743950624</v>
      </c>
      <c r="T27" s="122">
        <f t="shared" si="12"/>
        <v>1.7253770312742804</v>
      </c>
      <c r="U27" s="122">
        <f t="shared" si="12"/>
        <v>1.7670710938241725</v>
      </c>
      <c r="V27" s="122">
        <f t="shared" si="12"/>
        <v>1.8096981420666134</v>
      </c>
      <c r="W27" s="122">
        <f t="shared" si="12"/>
        <v>1.853277063193348</v>
      </c>
      <c r="X27" s="122">
        <f t="shared" si="12"/>
        <v>1.8978270536445796</v>
      </c>
      <c r="Y27" s="122">
        <f t="shared" si="12"/>
        <v>1.9433676210423303</v>
      </c>
      <c r="Z27" s="122">
        <f t="shared" si="12"/>
        <v>1.9899185859680182</v>
      </c>
      <c r="AA27" s="122">
        <f t="shared" si="12"/>
        <v>2.0375000835731929</v>
      </c>
      <c r="AB27" s="122">
        <f t="shared" si="12"/>
        <v>2.0861325650118672</v>
      </c>
      <c r="AC27" s="122">
        <f t="shared" si="12"/>
        <v>2.135836798682293</v>
      </c>
      <c r="AD27" s="122">
        <f t="shared" si="12"/>
        <v>2.1866338712654971</v>
      </c>
      <c r="AE27" s="122">
        <f t="shared" si="12"/>
        <v>2.23854518854727</v>
      </c>
      <c r="AF27" s="122">
        <f t="shared" si="12"/>
        <v>2.291592476009694</v>
      </c>
      <c r="AG27" s="122">
        <f t="shared" si="12"/>
        <v>2.3457977791776474</v>
      </c>
      <c r="AH27" s="122">
        <f t="shared" si="12"/>
        <v>2.4011834637050535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1041589.7447805768</v>
      </c>
      <c r="F41" s="129">
        <f t="shared" ref="F41:S41" si="20">F25+F37</f>
        <v>1196592.9081391208</v>
      </c>
      <c r="G41" s="129">
        <f t="shared" si="20"/>
        <v>1355164.0718521457</v>
      </c>
      <c r="H41" s="129">
        <f t="shared" si="20"/>
        <v>1517379.0529443929</v>
      </c>
      <c r="I41" s="129">
        <f t="shared" si="20"/>
        <v>1683315.0625214288</v>
      </c>
      <c r="J41" s="129">
        <f t="shared" si="20"/>
        <v>1853050.7226628279</v>
      </c>
      <c r="K41" s="129">
        <f t="shared" si="20"/>
        <v>2026666.0831039986</v>
      </c>
      <c r="L41" s="129">
        <f t="shared" si="20"/>
        <v>2204242.6376791093</v>
      </c>
      <c r="M41" s="129">
        <f t="shared" si="20"/>
        <v>2385863.3404961079</v>
      </c>
      <c r="N41" s="129">
        <f t="shared" si="20"/>
        <v>2571612.6218132917</v>
      </c>
      <c r="O41" s="129">
        <f t="shared" si="20"/>
        <v>2761576.4035853622</v>
      </c>
      <c r="P41" s="129">
        <f t="shared" si="20"/>
        <v>2955842.1146451179</v>
      </c>
      <c r="Q41" s="129">
        <f t="shared" si="20"/>
        <v>3154498.7054852545</v>
      </c>
      <c r="R41" s="129">
        <f t="shared" si="20"/>
        <v>3357636.6626029555</v>
      </c>
      <c r="S41" s="130">
        <f t="shared" si="20"/>
        <v>3565348.0223680306</v>
      </c>
      <c r="T41" s="130">
        <f t="shared" ref="T41:AH41" si="21">T25+T37</f>
        <v>3777726.3843733519</v>
      </c>
      <c r="U41" s="130">
        <f t="shared" si="21"/>
        <v>3994866.9242243897</v>
      </c>
      <c r="V41" s="130">
        <f t="shared" si="21"/>
        <v>4216866.4057223555</v>
      </c>
      <c r="W41" s="130">
        <f t="shared" si="21"/>
        <v>4443823.1923933979</v>
      </c>
      <c r="X41" s="130">
        <f t="shared" si="21"/>
        <v>4675837.2583137751</v>
      </c>
      <c r="Y41" s="130">
        <f t="shared" si="21"/>
        <v>4913010.1981787048</v>
      </c>
      <c r="Z41" s="130">
        <f t="shared" si="21"/>
        <v>5155445.2365598883</v>
      </c>
      <c r="AA41" s="130">
        <f t="shared" si="21"/>
        <v>5403247.2362941466</v>
      </c>
      <c r="AB41" s="130">
        <f t="shared" si="21"/>
        <v>5656522.7059429213</v>
      </c>
      <c r="AC41" s="130">
        <f t="shared" si="21"/>
        <v>5915379.8062593862</v>
      </c>
      <c r="AD41" s="130">
        <f t="shared" si="21"/>
        <v>6179928.3555970863</v>
      </c>
      <c r="AE41" s="130">
        <f t="shared" si="21"/>
        <v>6450279.8341908138</v>
      </c>
      <c r="AF41" s="130">
        <f t="shared" si="21"/>
        <v>6726547.3872372527</v>
      </c>
      <c r="AG41" s="130">
        <f t="shared" si="21"/>
        <v>7008845.8266995661</v>
      </c>
      <c r="AH41" s="130">
        <f t="shared" si="21"/>
        <v>7297291.6317565572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885351.28306349029</v>
      </c>
      <c r="F42" s="129">
        <f t="shared" ref="F42:S42" si="22">((F41*$C$42))</f>
        <v>1017103.9719182526</v>
      </c>
      <c r="G42" s="129">
        <f t="shared" si="22"/>
        <v>1151889.4610743239</v>
      </c>
      <c r="H42" s="129">
        <f t="shared" si="22"/>
        <v>1289772.195002734</v>
      </c>
      <c r="I42" s="129">
        <f t="shared" si="22"/>
        <v>1430817.8031432144</v>
      </c>
      <c r="J42" s="129">
        <f t="shared" si="22"/>
        <v>1575093.1142634037</v>
      </c>
      <c r="K42" s="129">
        <f t="shared" si="22"/>
        <v>1722666.1706383987</v>
      </c>
      <c r="L42" s="129">
        <f t="shared" si="22"/>
        <v>1873606.2420272429</v>
      </c>
      <c r="M42" s="129">
        <f t="shared" si="22"/>
        <v>2027983.8394216916</v>
      </c>
      <c r="N42" s="129">
        <f t="shared" si="22"/>
        <v>2185870.7285412978</v>
      </c>
      <c r="O42" s="129">
        <f t="shared" si="22"/>
        <v>2347339.943047558</v>
      </c>
      <c r="P42" s="129">
        <f t="shared" si="22"/>
        <v>2512465.7974483501</v>
      </c>
      <c r="Q42" s="129">
        <f t="shared" si="22"/>
        <v>2681323.8996624663</v>
      </c>
      <c r="R42" s="129">
        <f t="shared" si="22"/>
        <v>2853991.1632125122</v>
      </c>
      <c r="S42" s="129">
        <f t="shared" si="22"/>
        <v>3030545.8190128258</v>
      </c>
      <c r="T42" s="129">
        <f t="shared" ref="T42:AH42" si="23">((T41*$C$42))</f>
        <v>3211067.4267173489</v>
      </c>
      <c r="U42" s="129">
        <f t="shared" si="23"/>
        <v>3395636.8855907312</v>
      </c>
      <c r="V42" s="129">
        <f t="shared" si="23"/>
        <v>3584336.4448640021</v>
      </c>
      <c r="W42" s="129">
        <f t="shared" si="23"/>
        <v>3777249.7135343882</v>
      </c>
      <c r="X42" s="129">
        <f t="shared" si="23"/>
        <v>3974461.6695667086</v>
      </c>
      <c r="Y42" s="129">
        <f t="shared" si="23"/>
        <v>4176058.6684518992</v>
      </c>
      <c r="Z42" s="129">
        <f t="shared" si="23"/>
        <v>4382128.451075905</v>
      </c>
      <c r="AA42" s="129">
        <f t="shared" si="23"/>
        <v>4592760.1508500241</v>
      </c>
      <c r="AB42" s="129">
        <f t="shared" si="23"/>
        <v>4808044.3000514833</v>
      </c>
      <c r="AC42" s="129">
        <f t="shared" si="23"/>
        <v>5028072.8353204783</v>
      </c>
      <c r="AD42" s="129">
        <f t="shared" si="23"/>
        <v>5252939.1022575228</v>
      </c>
      <c r="AE42" s="129">
        <f t="shared" si="23"/>
        <v>5482737.859062192</v>
      </c>
      <c r="AF42" s="129">
        <f t="shared" si="23"/>
        <v>5717565.279151665</v>
      </c>
      <c r="AG42" s="129">
        <f t="shared" si="23"/>
        <v>5957518.9526946312</v>
      </c>
      <c r="AH42" s="129">
        <f t="shared" si="23"/>
        <v>6202697.8869930739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156238.46171708652</v>
      </c>
      <c r="F43" s="108">
        <f t="shared" ref="F43:S43" si="24">$C$43*(F41)</f>
        <v>179488.93622086811</v>
      </c>
      <c r="G43" s="108">
        <f t="shared" si="24"/>
        <v>203274.61077782186</v>
      </c>
      <c r="H43" s="108">
        <f t="shared" si="24"/>
        <v>227606.85794165893</v>
      </c>
      <c r="I43" s="108">
        <f t="shared" si="24"/>
        <v>252497.25937821431</v>
      </c>
      <c r="J43" s="108">
        <f t="shared" si="24"/>
        <v>277957.60839942418</v>
      </c>
      <c r="K43" s="108">
        <f t="shared" si="24"/>
        <v>303999.91246559977</v>
      </c>
      <c r="L43" s="108">
        <f t="shared" si="24"/>
        <v>330636.39565186639</v>
      </c>
      <c r="M43" s="108">
        <f t="shared" si="24"/>
        <v>357879.50107441616</v>
      </c>
      <c r="N43" s="108">
        <f t="shared" si="24"/>
        <v>385741.89327199373</v>
      </c>
      <c r="O43" s="108">
        <f t="shared" si="24"/>
        <v>414236.46053780435</v>
      </c>
      <c r="P43" s="108">
        <f t="shared" si="24"/>
        <v>443376.31719676766</v>
      </c>
      <c r="Q43" s="108">
        <f t="shared" si="24"/>
        <v>473174.80582278816</v>
      </c>
      <c r="R43" s="108">
        <f t="shared" si="24"/>
        <v>503645.49939044332</v>
      </c>
      <c r="S43" s="108">
        <f t="shared" si="24"/>
        <v>534802.20335520455</v>
      </c>
      <c r="T43" s="108">
        <f t="shared" ref="T43:AH43" si="25">$C$43*(T41)</f>
        <v>566658.95765600272</v>
      </c>
      <c r="U43" s="108">
        <f t="shared" si="25"/>
        <v>599230.03863365843</v>
      </c>
      <c r="V43" s="108">
        <f t="shared" si="25"/>
        <v>632529.9608583533</v>
      </c>
      <c r="W43" s="108">
        <f t="shared" si="25"/>
        <v>666573.47885900969</v>
      </c>
      <c r="X43" s="108">
        <f t="shared" si="25"/>
        <v>701375.58874706621</v>
      </c>
      <c r="Y43" s="108">
        <f t="shared" si="25"/>
        <v>736951.52972680575</v>
      </c>
      <c r="Z43" s="108">
        <f t="shared" si="25"/>
        <v>773316.78548398323</v>
      </c>
      <c r="AA43" s="108">
        <f t="shared" si="25"/>
        <v>810487.08544412197</v>
      </c>
      <c r="AB43" s="108">
        <f t="shared" si="25"/>
        <v>848478.40589143813</v>
      </c>
      <c r="AC43" s="108">
        <f t="shared" si="25"/>
        <v>887306.97093890794</v>
      </c>
      <c r="AD43" s="108">
        <f t="shared" si="25"/>
        <v>926989.25333956291</v>
      </c>
      <c r="AE43" s="108">
        <f t="shared" si="25"/>
        <v>967541.97512862203</v>
      </c>
      <c r="AF43" s="108">
        <f t="shared" si="25"/>
        <v>1008982.1080855879</v>
      </c>
      <c r="AG43" s="108">
        <f t="shared" si="25"/>
        <v>1051326.8740049349</v>
      </c>
      <c r="AH43" s="108">
        <f t="shared" si="25"/>
        <v>1094593.7447634835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5.8341812983779801E-2</v>
      </c>
      <c r="F46" s="1374">
        <f>F21/Data!$C$38</f>
        <v>5.978882632946507E-2</v>
      </c>
      <c r="G46" s="1374">
        <f>G21/Data!$C$38</f>
        <v>6.1269148312332156E-2</v>
      </c>
      <c r="H46" s="1374">
        <f>H21/Data!$C$38</f>
        <v>6.2783486713075681E-2</v>
      </c>
      <c r="I46" s="1374">
        <f>I21/Data!$C$38</f>
        <v>6.4332562326663761E-2</v>
      </c>
      <c r="J46" s="1374">
        <f>J21/Data!$C$38</f>
        <v>6.5917109120042255E-2</v>
      </c>
      <c r="K46" s="1374">
        <f>K21/Data!$C$38</f>
        <v>6.7537874387865959E-2</v>
      </c>
      <c r="L46" s="1374">
        <f>L21/Data!$C$38</f>
        <v>6.9195618905999554E-2</v>
      </c>
      <c r="M46" s="1374">
        <f>M21/Data!$C$38</f>
        <v>7.0891117082517566E-2</v>
      </c>
      <c r="N46" s="1374">
        <f>N21/Data!$C$38</f>
        <v>7.2625157105918145E-2</v>
      </c>
      <c r="O46" s="1374">
        <f>O21/Data!$C$38</f>
        <v>7.4398541090251374E-2</v>
      </c>
      <c r="P46" s="1374">
        <f>P21/Data!$C$38</f>
        <v>7.6212085216846193E-2</v>
      </c>
      <c r="Q46" s="1374">
        <f>Q21/Data!$C$38</f>
        <v>7.8066619872304052E-2</v>
      </c>
      <c r="R46" s="1374">
        <f>R21/Data!$C$38</f>
        <v>7.9962989782411134E-2</v>
      </c>
      <c r="S46" s="1374">
        <f>S21/Data!$C$38</f>
        <v>8.1902054141602676E-2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3.3140317657672259E-2</v>
      </c>
      <c r="F47" s="142">
        <f>F41/GapCalc!$H$33</f>
        <v>3.8072061751147718E-2</v>
      </c>
      <c r="G47" s="142">
        <f>G41/GapCalc!$H$33</f>
        <v>4.311732910629381E-2</v>
      </c>
      <c r="H47" s="142">
        <f>H41/GapCalc!$H$33</f>
        <v>4.8278531997517415E-2</v>
      </c>
      <c r="I47" s="142">
        <f>I41/GapCalc!$H$33</f>
        <v>5.3558127054770963E-2</v>
      </c>
      <c r="J47" s="142">
        <f>J41/GapCalc!$H$33</f>
        <v>5.8958615801043772E-2</v>
      </c>
      <c r="K47" s="142">
        <f>K41/GapCalc!$H$33</f>
        <v>6.4482545183128598E-2</v>
      </c>
      <c r="L47" s="142">
        <f>L41/GapCalc!$H$33</f>
        <v>7.0132508094787133E-2</v>
      </c>
      <c r="M47" s="142">
        <f>M41/GapCalc!$H$33</f>
        <v>7.5911143891391489E-2</v>
      </c>
      <c r="N47" s="142">
        <f>N41/GapCalc!$H$33</f>
        <v>8.1821138895069812E-2</v>
      </c>
      <c r="O47" s="142">
        <f>O41/GapCalc!$H$33</f>
        <v>8.7865226889336082E-2</v>
      </c>
      <c r="P47" s="142">
        <f>P41/GapCalc!$H$33</f>
        <v>9.404618960212674E-2</v>
      </c>
      <c r="Q47" s="142">
        <f>Q41/GapCalc!$H$33</f>
        <v>0.10036685717611409</v>
      </c>
      <c r="R47" s="142">
        <f>R41/GapCalc!$H$33</f>
        <v>0.10683010862510892</v>
      </c>
      <c r="S47" s="142">
        <f>S41/GapCalc!$H$33</f>
        <v>0.11343887227530379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2.8169270009021422E-2</v>
      </c>
      <c r="F48" s="142">
        <f>F43/GapCalc!$H$32</f>
        <v>3.2361252488475552E-2</v>
      </c>
      <c r="G48" s="142">
        <f>G43/GapCalc!$H$32</f>
        <v>3.6649729740349739E-2</v>
      </c>
      <c r="H48" s="142">
        <f>H43/GapCalc!$H$32</f>
        <v>4.1036752197889804E-2</v>
      </c>
      <c r="I48" s="142">
        <f>I43/GapCalc!$H$32</f>
        <v>4.5524407996555313E-2</v>
      </c>
      <c r="J48" s="142">
        <f>J43/GapCalc!$H$32</f>
        <v>5.0114823430887197E-2</v>
      </c>
      <c r="K48" s="142">
        <f>K43/GapCalc!$H$32</f>
        <v>5.48101634056593E-2</v>
      </c>
      <c r="L48" s="142">
        <f>L43/GapCalc!$H$32</f>
        <v>5.9612631880569061E-2</v>
      </c>
      <c r="M48" s="142">
        <f>M43/GapCalc!$H$32</f>
        <v>6.4524472307682754E-2</v>
      </c>
      <c r="N48" s="142">
        <f>N43/GapCalc!$H$32</f>
        <v>6.9547968060809331E-2</v>
      </c>
      <c r="O48" s="142">
        <f>O43/GapCalc!$H$32</f>
        <v>7.468544285593566E-2</v>
      </c>
      <c r="P48" s="142">
        <f>P43/GapCalc!$H$32</f>
        <v>7.9939261161807718E-2</v>
      </c>
      <c r="Q48" s="142">
        <f>Q43/GapCalc!$H$32</f>
        <v>8.5311828599696965E-2</v>
      </c>
      <c r="R48" s="142">
        <f>R43/GapCalc!$H$32</f>
        <v>9.0805592331342569E-2</v>
      </c>
      <c r="S48" s="142">
        <f>S43/GapCalc!$H$32</f>
        <v>9.6423041434008205E-2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31450419.040147085</v>
      </c>
      <c r="D66" s="1389"/>
      <c r="E66" s="1409" t="s">
        <v>284</v>
      </c>
      <c r="G66" s="1365" t="s">
        <v>1072</v>
      </c>
      <c r="H66" s="1410">
        <f>H70/1.63</f>
        <v>5550073.9482612517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9072693.9991038181</v>
      </c>
      <c r="D67" s="1390" t="s">
        <v>68</v>
      </c>
      <c r="G67" s="1366" t="s">
        <v>1073</v>
      </c>
      <c r="H67" s="1405">
        <f>SUMIFS(E43:AH43, E50:AH50, "&lt;=" &amp; VALUE(RIGHT(E66, LEN(E66)-FIND(" ", E66))))</f>
        <v>1601063.6469006739</v>
      </c>
      <c r="I67" s="1390" t="s">
        <v>68</v>
      </c>
    </row>
    <row r="68" spans="2:10">
      <c r="B68" s="1366" t="s">
        <v>1077</v>
      </c>
      <c r="C68" s="1413">
        <f>IF(GapCalc!D41*C42&lt; 0,0,GapCalc!D41*C42)</f>
        <v>5397881.2120984504</v>
      </c>
      <c r="D68" s="1390" t="s">
        <v>68</v>
      </c>
      <c r="G68" s="1366" t="s">
        <v>1078</v>
      </c>
      <c r="H68" s="1413">
        <f>IF(GapCalc!D41*C43&lt; 0,0,GapCalc!D41*C43)</f>
        <v>952567.27272325603</v>
      </c>
      <c r="I68" s="1390" t="s">
        <v>68</v>
      </c>
    </row>
    <row r="69" spans="2:10">
      <c r="B69" s="1366" t="s">
        <v>1058</v>
      </c>
      <c r="C69" s="1413">
        <f>'Debt Calc'!E60</f>
        <v>36793607.824237481</v>
      </c>
      <c r="D69" s="1391">
        <v>0.9</v>
      </c>
      <c r="G69" s="1366" t="s">
        <v>1074</v>
      </c>
      <c r="H69" s="1413">
        <f>'Debt Calc'!E59*C43</f>
        <v>6492989.616041909</v>
      </c>
      <c r="I69" s="1391">
        <v>0.9</v>
      </c>
    </row>
    <row r="70" spans="2:10">
      <c r="B70" s="1368" t="s">
        <v>1041</v>
      </c>
      <c r="C70" s="1422">
        <f>C67+C68+C69</f>
        <v>51264183.035439745</v>
      </c>
      <c r="D70" s="1390" t="s">
        <v>68</v>
      </c>
      <c r="G70" s="1368" t="s">
        <v>1041</v>
      </c>
      <c r="H70" s="1422">
        <f>H67+H68+H69</f>
        <v>9046620.5356658399</v>
      </c>
      <c r="I70" s="1390" t="s">
        <v>68</v>
      </c>
    </row>
    <row r="71" spans="2:10">
      <c r="B71" s="1368" t="s">
        <v>1042</v>
      </c>
      <c r="C71" s="1416">
        <f>C70/C66</f>
        <v>1.63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0.62999999999999989</v>
      </c>
      <c r="D72" s="1393"/>
      <c r="G72" s="1366" t="s">
        <v>1043</v>
      </c>
      <c r="H72" s="1369">
        <f>(H70-H66)/H66</f>
        <v>0.62999999999999989</v>
      </c>
      <c r="I72" s="1393"/>
    </row>
    <row r="73" spans="2:10">
      <c r="B73" s="1368" t="s">
        <v>1044</v>
      </c>
      <c r="C73" s="1411">
        <f>C72/7</f>
        <v>8.9999999999999983E-2</v>
      </c>
      <c r="D73" s="1393"/>
      <c r="G73" s="1368" t="s">
        <v>1044</v>
      </c>
      <c r="H73" s="1411">
        <f>H72/7</f>
        <v>8.9999999999999983E-2</v>
      </c>
      <c r="I73" s="1393"/>
    </row>
    <row r="74" spans="2:10" ht="13.5" thickBot="1">
      <c r="B74" s="1423" t="s">
        <v>1079</v>
      </c>
      <c r="C74" s="1426">
        <f>GapCalc!H33</f>
        <v>31429684.999999993</v>
      </c>
      <c r="D74" s="1394"/>
      <c r="F74" s="1404"/>
      <c r="G74" s="1423" t="s">
        <v>1081</v>
      </c>
      <c r="H74" s="1426">
        <f>GapCalc!H32</f>
        <v>5546414.9999999991</v>
      </c>
      <c r="I74" s="1394"/>
    </row>
    <row r="75" spans="2:10">
      <c r="B75" s="70" t="s">
        <v>1080</v>
      </c>
      <c r="C75" s="1424">
        <f>(C70-C74)/C74</f>
        <v>0.63107530461854</v>
      </c>
      <c r="G75" s="70" t="s">
        <v>1080</v>
      </c>
      <c r="H75" s="1424">
        <f>(H70-H74)/H74</f>
        <v>0.63107530461854033</v>
      </c>
    </row>
    <row r="76" spans="2:10">
      <c r="B76" s="70" t="s">
        <v>1044</v>
      </c>
      <c r="C76" s="1424">
        <f>C75/7</f>
        <v>9.0153614945505708E-2</v>
      </c>
      <c r="G76" s="70" t="s">
        <v>1044</v>
      </c>
      <c r="H76" s="1424">
        <f>H75/7</f>
        <v>9.0153614945505764E-2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11421131.122884722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15160154.809094051</v>
      </c>
      <c r="D81" s="1390" t="s">
        <v>68</v>
      </c>
    </row>
    <row r="82" spans="2:10">
      <c r="B82" s="1366" t="s">
        <v>1058</v>
      </c>
      <c r="C82" s="1413">
        <f>C68</f>
        <v>5397881.2120984504</v>
      </c>
      <c r="D82" s="1390" t="s">
        <v>68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20558036.021192502</v>
      </c>
      <c r="D84" s="1390" t="s">
        <v>68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0.80000000000000016</v>
      </c>
      <c r="D86" s="1393"/>
    </row>
    <row r="87" spans="2:10">
      <c r="B87" s="1368" t="s">
        <v>1044</v>
      </c>
      <c r="C87" s="1411">
        <f>C86/10</f>
        <v>8.0000000000000016E-2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44796592.349981792</v>
      </c>
      <c r="D93" s="1389"/>
      <c r="E93" s="1409" t="s">
        <v>287</v>
      </c>
      <c r="G93" s="1365" t="s">
        <v>1072</v>
      </c>
      <c r="H93" s="1410">
        <f>H97/1.63</f>
        <v>6209127.8071558997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15160154.809094051</v>
      </c>
      <c r="D94" s="1390" t="s">
        <v>68</v>
      </c>
      <c r="G94" s="1366" t="s">
        <v>1073</v>
      </c>
      <c r="H94" s="1405">
        <f>SUMIFS(E43:AH43, E50:AH50, "&lt;=" &amp; VALUE(RIGHT(J93, LEN(J93)-FIND(" ", J93))))</f>
        <v>2675321.4368989505</v>
      </c>
      <c r="I94" s="1390" t="s">
        <v>68</v>
      </c>
    </row>
    <row r="95" spans="2:10">
      <c r="B95" s="1366" t="s">
        <v>1077</v>
      </c>
      <c r="C95" s="1413">
        <f>IF(GapCalc!D41*C42&lt; 0,0,GapCalc!D41*C42)</f>
        <v>5397881.2120984504</v>
      </c>
      <c r="D95" s="1390" t="s">
        <v>68</v>
      </c>
      <c r="G95" s="1366" t="s">
        <v>1078</v>
      </c>
      <c r="H95" s="1413">
        <f>IF(GapCalc!D41*C43&lt; 0,0,GapCalc!D41*C43)</f>
        <v>952567.27272325603</v>
      </c>
      <c r="I95" s="1390" t="s">
        <v>68</v>
      </c>
    </row>
    <row r="96" spans="2:10">
      <c r="B96" s="1366" t="s">
        <v>1058</v>
      </c>
      <c r="C96" s="1413">
        <f>'Debt Calc'!H60</f>
        <v>52460409.509277813</v>
      </c>
      <c r="D96" s="1391">
        <v>0.9</v>
      </c>
      <c r="G96" s="1366" t="s">
        <v>1074</v>
      </c>
      <c r="H96" s="1413">
        <f>'Debt Calc'!E59*C43</f>
        <v>6492989.616041909</v>
      </c>
      <c r="I96" s="1391">
        <v>0.9</v>
      </c>
    </row>
    <row r="97" spans="2:9">
      <c r="B97" s="1368" t="s">
        <v>1041</v>
      </c>
      <c r="C97" s="1422">
        <f>C94+C95+C96</f>
        <v>73018445.530470312</v>
      </c>
      <c r="D97" s="1390" t="s">
        <v>68</v>
      </c>
      <c r="G97" s="1368" t="s">
        <v>1041</v>
      </c>
      <c r="H97" s="1422">
        <f>H94+H95+H96</f>
        <v>10120878.325664116</v>
      </c>
      <c r="I97" s="1390" t="s">
        <v>68</v>
      </c>
    </row>
    <row r="98" spans="2:9">
      <c r="B98" s="1368" t="s">
        <v>1042</v>
      </c>
      <c r="C98" s="1416">
        <f>C97/C93</f>
        <v>1.6299999999999997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0.62999999999999978</v>
      </c>
      <c r="D99" s="1393"/>
      <c r="G99" s="1366" t="s">
        <v>1043</v>
      </c>
      <c r="H99" s="1369">
        <f>(H97-H93)/H93</f>
        <v>0.62999999999999989</v>
      </c>
      <c r="I99" s="1393"/>
    </row>
    <row r="100" spans="2:9">
      <c r="B100" s="1368" t="s">
        <v>1044</v>
      </c>
      <c r="C100" s="1411">
        <f>C99/7</f>
        <v>8.9999999999999969E-2</v>
      </c>
      <c r="D100" s="1393"/>
      <c r="G100" s="1368" t="s">
        <v>1044</v>
      </c>
      <c r="H100" s="1411">
        <f>H99/7</f>
        <v>8.9999999999999983E-2</v>
      </c>
      <c r="I100" s="1393"/>
    </row>
    <row r="101" spans="2:9" ht="13.5" thickBot="1">
      <c r="B101" s="1423" t="s">
        <v>1079</v>
      </c>
      <c r="C101" s="1426">
        <f>GapCalc!H33</f>
        <v>31429684.999999993</v>
      </c>
      <c r="D101" s="1394"/>
      <c r="G101" s="1423" t="s">
        <v>1081</v>
      </c>
      <c r="H101" s="1426">
        <f>GapCalc!H32</f>
        <v>5546414.9999999991</v>
      </c>
      <c r="I101" s="1394"/>
    </row>
    <row r="102" spans="2:9">
      <c r="B102" s="70" t="s">
        <v>1080</v>
      </c>
      <c r="C102" s="1424">
        <f>(C97-C101)/C101</f>
        <v>1.3232318596406654</v>
      </c>
      <c r="G102" s="70" t="s">
        <v>1080</v>
      </c>
      <c r="H102" s="1424">
        <f>(H97-H101)/H101</f>
        <v>0.82476037686760151</v>
      </c>
    </row>
    <row r="103" spans="2:9">
      <c r="B103" s="70" t="s">
        <v>1044</v>
      </c>
      <c r="C103" s="1424">
        <f>C102/10</f>
        <v>0.13232318596406653</v>
      </c>
      <c r="G103" s="70" t="s">
        <v>1044</v>
      </c>
      <c r="H103" s="1424">
        <f>H102/10</f>
        <v>8.2476037686760151E-2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164050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32810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196860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2"/>
      <c r="R16" s="1602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3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4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196860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196860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202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101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101</v>
      </c>
      <c r="D49" s="866"/>
      <c r="E49" s="845" t="s">
        <v>576</v>
      </c>
      <c r="F49" s="845"/>
      <c r="G49" s="913">
        <v>143</v>
      </c>
      <c r="H49" s="874">
        <f>C53*D53</f>
        <v>40133.903846153851</v>
      </c>
      <c r="I49" s="874">
        <f>G49*H49</f>
        <v>5739148.2500000009</v>
      </c>
      <c r="J49" s="915">
        <f>IFERROR(I49/C53,0)</f>
        <v>56823.250000000007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60</v>
      </c>
      <c r="F51" s="919"/>
      <c r="G51" s="919"/>
      <c r="H51" s="920">
        <f>SUM(H48:H50)</f>
        <v>40133.903846153851</v>
      </c>
      <c r="I51" s="920">
        <f>SUM(I48:I50)</f>
        <v>5739148.2500000009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101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5739148.2500000009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101</v>
      </c>
      <c r="D55" s="845"/>
      <c r="E55" s="845"/>
      <c r="F55" s="927"/>
      <c r="G55" s="845"/>
      <c r="H55" s="862" t="s">
        <v>684</v>
      </c>
      <c r="I55" s="929">
        <f>SUM(I53:I54)</f>
        <v>5739148.2500000009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60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60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60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5"/>
      <c r="E92" s="1605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5207948.7239028849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75020348.484821707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75020300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22940846.419368155</v>
      </c>
    </row>
    <row r="15" spans="2:36">
      <c r="B15" s="556"/>
      <c r="C15" s="560" t="s">
        <v>633</v>
      </c>
      <c r="H15" s="561">
        <f>12*PMT(Data!C24/12,Data!C29*12,-'Debt Calc'!H14)</f>
        <v>5207945.3580631856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-5368926.8858901672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-5368926.8858901672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75020300</v>
      </c>
      <c r="E21" s="561">
        <f>$H$15</f>
        <v>5207945.3580631856</v>
      </c>
      <c r="F21" s="561">
        <f>E21-G21</f>
        <v>0</v>
      </c>
      <c r="G21" s="561">
        <f>D21-H21</f>
        <v>5207945.3580631912</v>
      </c>
      <c r="H21" s="561">
        <f>D21-E21</f>
        <v>69812354.641936809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69812354.641936809</v>
      </c>
      <c r="E22" s="561">
        <f t="shared" ref="E22:E50" si="1">$H$15</f>
        <v>5207945.3580631856</v>
      </c>
      <c r="F22" s="561">
        <f t="shared" ref="F22:F50" si="2">E22-G22</f>
        <v>0</v>
      </c>
      <c r="G22" s="561">
        <f t="shared" ref="G22:G50" si="3">D22-H22</f>
        <v>5207945.3580631837</v>
      </c>
      <c r="H22" s="561">
        <f t="shared" ref="H22:H39" si="4">D22-E22</f>
        <v>64604409.283873625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64604409.283873625</v>
      </c>
      <c r="E23" s="561">
        <f t="shared" si="1"/>
        <v>5207945.3580631856</v>
      </c>
      <c r="F23" s="561">
        <f t="shared" si="2"/>
        <v>0</v>
      </c>
      <c r="G23" s="561">
        <f t="shared" si="3"/>
        <v>5207945.3580631837</v>
      </c>
      <c r="H23" s="561">
        <f t="shared" si="4"/>
        <v>59396463.925810441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59396463.925810441</v>
      </c>
      <c r="E24" s="561">
        <f t="shared" si="1"/>
        <v>5207945.3580631856</v>
      </c>
      <c r="F24" s="561">
        <f t="shared" si="2"/>
        <v>0</v>
      </c>
      <c r="G24" s="561">
        <f t="shared" si="3"/>
        <v>5207945.3580631837</v>
      </c>
      <c r="H24" s="561">
        <f t="shared" si="4"/>
        <v>54188518.567747258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54188518.567747258</v>
      </c>
      <c r="E25" s="561">
        <f t="shared" si="1"/>
        <v>5207945.3580631856</v>
      </c>
      <c r="F25" s="561">
        <f t="shared" si="2"/>
        <v>0</v>
      </c>
      <c r="G25" s="561">
        <f t="shared" si="3"/>
        <v>5207945.3580631837</v>
      </c>
      <c r="H25" s="561">
        <f t="shared" si="4"/>
        <v>48980573.209684074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48980573.209684074</v>
      </c>
      <c r="E26" s="561">
        <f t="shared" si="1"/>
        <v>5207945.3580631856</v>
      </c>
      <c r="F26" s="561">
        <f t="shared" si="2"/>
        <v>0</v>
      </c>
      <c r="G26" s="561">
        <f t="shared" si="3"/>
        <v>5207945.3580631837</v>
      </c>
      <c r="H26" s="561">
        <f t="shared" si="4"/>
        <v>43772627.85162089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43772627.85162089</v>
      </c>
      <c r="E27" s="561">
        <f t="shared" si="1"/>
        <v>5207945.3580631856</v>
      </c>
      <c r="F27" s="561">
        <f t="shared" si="2"/>
        <v>0</v>
      </c>
      <c r="G27" s="561">
        <f t="shared" si="3"/>
        <v>5207945.3580631837</v>
      </c>
      <c r="H27" s="561">
        <f t="shared" si="4"/>
        <v>38564682.493557706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38564682.493557706</v>
      </c>
      <c r="E28" s="561">
        <f t="shared" si="1"/>
        <v>5207945.3580631856</v>
      </c>
      <c r="F28" s="561">
        <f t="shared" si="2"/>
        <v>0</v>
      </c>
      <c r="G28" s="561">
        <f t="shared" si="3"/>
        <v>5207945.3580631837</v>
      </c>
      <c r="H28" s="561">
        <f t="shared" si="4"/>
        <v>33356737.135494523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33356737.135494523</v>
      </c>
      <c r="E29" s="561">
        <f t="shared" si="1"/>
        <v>5207945.3580631856</v>
      </c>
      <c r="F29" s="561">
        <f t="shared" si="2"/>
        <v>0</v>
      </c>
      <c r="G29" s="561">
        <f t="shared" si="3"/>
        <v>5207945.3580631837</v>
      </c>
      <c r="H29" s="561">
        <f t="shared" si="4"/>
        <v>28148791.777431339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28148791.777431339</v>
      </c>
      <c r="E30" s="561">
        <f t="shared" si="1"/>
        <v>5207945.3580631856</v>
      </c>
      <c r="F30" s="561">
        <f t="shared" si="2"/>
        <v>0</v>
      </c>
      <c r="G30" s="561">
        <f t="shared" si="3"/>
        <v>5207945.3580631837</v>
      </c>
      <c r="H30" s="561">
        <f>D30-E30</f>
        <v>22940846.419368155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22940846.419368155</v>
      </c>
      <c r="E31" s="561">
        <f t="shared" si="1"/>
        <v>5207945.3580631856</v>
      </c>
      <c r="F31" s="561">
        <f t="shared" si="2"/>
        <v>0</v>
      </c>
      <c r="G31" s="561">
        <f t="shared" si="3"/>
        <v>5207945.3580631837</v>
      </c>
      <c r="H31" s="561">
        <f t="shared" si="4"/>
        <v>17732901.061304972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17732901.061304972</v>
      </c>
      <c r="E32" s="561">
        <f t="shared" si="1"/>
        <v>5207945.3580631856</v>
      </c>
      <c r="F32" s="561">
        <f t="shared" si="2"/>
        <v>0</v>
      </c>
      <c r="G32" s="561">
        <f t="shared" si="3"/>
        <v>5207945.3580631856</v>
      </c>
      <c r="H32" s="561">
        <f t="shared" si="4"/>
        <v>12524955.703241786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12524955.703241786</v>
      </c>
      <c r="E33" s="561">
        <f t="shared" si="1"/>
        <v>5207945.3580631856</v>
      </c>
      <c r="F33" s="561">
        <f t="shared" si="2"/>
        <v>0</v>
      </c>
      <c r="G33" s="561">
        <f t="shared" si="3"/>
        <v>5207945.3580631856</v>
      </c>
      <c r="H33" s="561">
        <f t="shared" si="4"/>
        <v>7317010.3451786004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7317010.3451786004</v>
      </c>
      <c r="E34" s="561">
        <f t="shared" si="1"/>
        <v>5207945.3580631856</v>
      </c>
      <c r="F34" s="561">
        <f t="shared" si="2"/>
        <v>0</v>
      </c>
      <c r="G34" s="561">
        <f t="shared" si="3"/>
        <v>5207945.3580631856</v>
      </c>
      <c r="H34" s="561">
        <f t="shared" si="4"/>
        <v>2109064.9871154148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2109064.9871154148</v>
      </c>
      <c r="E35" s="561">
        <f t="shared" si="1"/>
        <v>5207945.3580631856</v>
      </c>
      <c r="F35" s="561">
        <f t="shared" si="2"/>
        <v>0</v>
      </c>
      <c r="G35" s="561">
        <f t="shared" si="3"/>
        <v>5207945.3580631856</v>
      </c>
      <c r="H35" s="561">
        <f t="shared" si="4"/>
        <v>-3098880.3709477708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-3098880.3709477708</v>
      </c>
      <c r="E36" s="561">
        <f t="shared" si="1"/>
        <v>5207945.3580631856</v>
      </c>
      <c r="F36" s="561">
        <f t="shared" si="2"/>
        <v>0</v>
      </c>
      <c r="G36" s="561">
        <f t="shared" si="3"/>
        <v>5207945.3580631856</v>
      </c>
      <c r="H36" s="561">
        <f t="shared" si="4"/>
        <v>-8306825.7290109564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-8306825.7290109564</v>
      </c>
      <c r="E37" s="561">
        <f t="shared" si="1"/>
        <v>5207945.3580631856</v>
      </c>
      <c r="F37" s="561">
        <f t="shared" si="2"/>
        <v>0</v>
      </c>
      <c r="G37" s="561">
        <f t="shared" si="3"/>
        <v>5207945.3580631856</v>
      </c>
      <c r="H37" s="561">
        <f t="shared" si="4"/>
        <v>-13514771.087074142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-13514771.087074142</v>
      </c>
      <c r="E38" s="561">
        <f t="shared" si="1"/>
        <v>5207945.3580631856</v>
      </c>
      <c r="F38" s="561">
        <f t="shared" si="2"/>
        <v>0</v>
      </c>
      <c r="G38" s="561">
        <f t="shared" si="3"/>
        <v>5207945.3580631875</v>
      </c>
      <c r="H38" s="561">
        <f>D38-E38</f>
        <v>-18722716.445137329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-18722716.445137329</v>
      </c>
      <c r="E39" s="561">
        <f t="shared" si="1"/>
        <v>5207945.3580631856</v>
      </c>
      <c r="F39" s="561">
        <f t="shared" si="2"/>
        <v>0</v>
      </c>
      <c r="G39" s="561">
        <f t="shared" si="3"/>
        <v>5207945.3580631837</v>
      </c>
      <c r="H39" s="561">
        <f t="shared" si="4"/>
        <v>-23930661.803200513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-23930661.803200513</v>
      </c>
      <c r="E40" s="561">
        <f t="shared" si="1"/>
        <v>5207945.3580631856</v>
      </c>
      <c r="F40" s="561">
        <f t="shared" si="2"/>
        <v>29138607.161263697</v>
      </c>
      <c r="G40" s="561">
        <f t="shared" si="3"/>
        <v>-23930661.803200513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5207945.3580631856</v>
      </c>
      <c r="F41" s="561">
        <f t="shared" si="2"/>
        <v>5207945.3580631856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5207945.3580631856</v>
      </c>
      <c r="F42" s="561">
        <f t="shared" si="2"/>
        <v>5207945.3580631856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5207945.3580631856</v>
      </c>
      <c r="F43" s="561">
        <f t="shared" si="2"/>
        <v>5207945.3580631856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5207945.3580631856</v>
      </c>
      <c r="F44" s="561">
        <f t="shared" si="2"/>
        <v>5207945.3580631856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5207945.3580631856</v>
      </c>
      <c r="F45" s="561">
        <f t="shared" si="2"/>
        <v>5207945.3580631856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5207945.3580631856</v>
      </c>
      <c r="F46" s="561">
        <f t="shared" si="2"/>
        <v>5207945.3580631856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5207945.3580631856</v>
      </c>
      <c r="F47" s="561">
        <f t="shared" si="2"/>
        <v>5207945.3580631856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5207945.3580631856</v>
      </c>
      <c r="F48" s="561">
        <f t="shared" si="2"/>
        <v>5207945.3580631856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5207945.3580631856</v>
      </c>
      <c r="F49" s="561">
        <f t="shared" si="2"/>
        <v>5207945.3580631856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5207945.3580631856</v>
      </c>
      <c r="F50" s="561">
        <f t="shared" si="2"/>
        <v>5207945.3580631856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1087</v>
      </c>
      <c r="H54" s="1504"/>
    </row>
    <row r="55" spans="2:28">
      <c r="D55" s="1500" t="s">
        <v>1063</v>
      </c>
      <c r="E55" s="1509">
        <f>'Cash Flow'!K15/0.05</f>
        <v>191853059.57910934</v>
      </c>
      <c r="F55" s="561"/>
      <c r="G55" s="1508" t="s">
        <v>1063</v>
      </c>
      <c r="H55" s="1512">
        <f>'Cash Flow'!N15/0.05</f>
        <v>206604761.23830923</v>
      </c>
    </row>
    <row r="56" spans="2:28">
      <c r="D56" s="1498" t="s">
        <v>1064</v>
      </c>
      <c r="E56" s="1510">
        <f>'Cash Flow'!K21/1.2</f>
        <v>6028845.6725057364</v>
      </c>
      <c r="F56" s="561"/>
      <c r="G56" s="1506" t="s">
        <v>1064</v>
      </c>
      <c r="H56" s="1513">
        <f>'Cash Flow'!N21/1.2</f>
        <v>6482967.7880968144</v>
      </c>
    </row>
    <row r="57" spans="2:28">
      <c r="D57" s="1498" t="s">
        <v>1065</v>
      </c>
      <c r="E57" s="1510">
        <f>E55*0.6</f>
        <v>115111835.7474656</v>
      </c>
      <c r="F57" s="561"/>
      <c r="G57" s="1506" t="s">
        <v>1065</v>
      </c>
      <c r="H57" s="1513">
        <f>H55*0.6</f>
        <v>123962856.74298553</v>
      </c>
    </row>
    <row r="58" spans="2:28">
      <c r="D58" s="1498" t="s">
        <v>1066</v>
      </c>
      <c r="E58" s="1510">
        <f>-PV(6.5%,34,E56)</f>
        <v>81851279.933837101</v>
      </c>
      <c r="F58" s="561"/>
      <c r="G58" s="1506" t="s">
        <v>1066</v>
      </c>
      <c r="H58" s="1513">
        <f>-PV(6.5%,30,H56)</f>
        <v>84658975.253812641</v>
      </c>
    </row>
    <row r="59" spans="2:28">
      <c r="D59" s="1497" t="s">
        <v>1067</v>
      </c>
      <c r="E59" s="1510">
        <f>E58-H27</f>
        <v>43286597.440279394</v>
      </c>
      <c r="F59" s="561"/>
      <c r="G59" s="1505" t="s">
        <v>1067</v>
      </c>
      <c r="H59" s="1513">
        <f>H58-H30</f>
        <v>61718128.834444486</v>
      </c>
    </row>
    <row r="60" spans="2:28" ht="13.5" thickBot="1">
      <c r="D60" s="1499" t="s">
        <v>1068</v>
      </c>
      <c r="E60" s="1511">
        <f>E59*GapCalc!I33</f>
        <v>36793607.824237481</v>
      </c>
      <c r="F60" s="561"/>
      <c r="G60" s="1507" t="s">
        <v>1068</v>
      </c>
      <c r="H60" s="1514">
        <f>H59*GapCalc!I33</f>
        <v>52460409.509277813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13130000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64797148.25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157480.95739999998</v>
      </c>
      <c r="C7" s="1262">
        <f>C4*E4</f>
        <v>777175.70016753499</v>
      </c>
      <c r="D7" s="1254">
        <f>(1-'Rental Income'!O19)</f>
        <v>0.80198019801980203</v>
      </c>
    </row>
    <row r="8" spans="1:5">
      <c r="A8" s="1255" t="s">
        <v>979</v>
      </c>
      <c r="B8" s="1262">
        <f>B7*D7</f>
        <v>126296.6094</v>
      </c>
      <c r="C8" s="1262">
        <f>C7*D7</f>
        <v>623279.52191653801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749576.13131653797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78740.478700000007</v>
      </c>
    </row>
    <row r="14" spans="1:5">
      <c r="A14" t="s">
        <v>991</v>
      </c>
      <c r="B14">
        <v>24</v>
      </c>
      <c r="C14" s="1270">
        <f>C3*(E3/12)*B14</f>
        <v>314961.91480000003</v>
      </c>
    </row>
    <row r="15" spans="1:5">
      <c r="A15" s="40" t="s">
        <v>993</v>
      </c>
      <c r="C15" s="1273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8701488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-435353.4</v>
      </c>
      <c r="E18" s="50"/>
      <c r="F18" s="55">
        <v>0.05</v>
      </c>
    </row>
    <row r="19" spans="1:25">
      <c r="A19" s="40" t="s">
        <v>164</v>
      </c>
      <c r="D19" s="57">
        <f>SUM(D15:D18)</f>
        <v>8271714.5999999996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105358</v>
      </c>
      <c r="E22" s="48">
        <v>1043</v>
      </c>
      <c r="F22" s="453" t="s">
        <v>171</v>
      </c>
      <c r="N22" s="428">
        <f>D22*0.8</f>
        <v>84286.400000000009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173</v>
      </c>
      <c r="D23" s="48">
        <f>(E23*$D$10-20)/2</f>
        <v>134724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18816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100847.36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182</v>
      </c>
      <c r="D26" s="51">
        <f>SUM(D22:D25)</f>
        <v>359745.36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37572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20200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191</v>
      </c>
      <c r="D31" s="48">
        <f>E31*$D$10</f>
        <v>33128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193</v>
      </c>
      <c r="C32" s="43"/>
      <c r="D32" s="50">
        <f>E32*$D$10</f>
        <v>6060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96960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107060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201</v>
      </c>
      <c r="D37" s="48">
        <f>E37*$D$10</f>
        <v>159580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85042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351682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74538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53682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79992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27472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171700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11110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319314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749576.13131653797</v>
      </c>
      <c r="Y56" s="1171">
        <f>X56/'Rental Income'!D15</f>
        <v>3710.7729273095938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544.26848554455444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169680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198.01980198019803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249</v>
      </c>
      <c r="D65" s="48">
        <f>E65*$D$10</f>
        <v>30300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251980</v>
      </c>
      <c r="E67" s="48">
        <f>SUM(E62:E66)</f>
        <v>1373.0198019801981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60600</v>
      </c>
      <c r="E69" s="426">
        <v>300</v>
      </c>
    </row>
    <row r="70" spans="1:25">
      <c r="V70" s="40" t="s">
        <v>255</v>
      </c>
      <c r="X70" s="1169">
        <f>SUM(X68,X64,X54,X39,X31)</f>
        <v>1224422.911316538</v>
      </c>
      <c r="Y70" s="1169">
        <f>X70/D10</f>
        <v>6061.4995609729604</v>
      </c>
    </row>
    <row r="71" spans="1:25">
      <c r="A71" s="40" t="s">
        <v>256</v>
      </c>
      <c r="D71" s="48">
        <f>E71*$D$10</f>
        <v>101000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171">
        <f>Y70-6000</f>
        <v>61.499560972960353</v>
      </c>
    </row>
    <row r="75" spans="1:25">
      <c r="A75" s="44" t="s">
        <v>259</v>
      </c>
      <c r="B75" s="45"/>
      <c r="C75" s="45"/>
      <c r="D75" s="52">
        <f>D19-D73</f>
        <v>6492271.0059200004</v>
      </c>
      <c r="E75" s="52">
        <f>D75/D10</f>
        <v>32139.955474851486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196860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311129.67854023521</v>
      </c>
      <c r="C9" s="446">
        <f>'Dev Summary_5-20'!B10</f>
        <v>50000</v>
      </c>
      <c r="D9" s="446">
        <f t="shared" si="0"/>
        <v>261129.67854023521</v>
      </c>
      <c r="E9" s="477">
        <f t="shared" si="1"/>
        <v>0.83929530530616347</v>
      </c>
      <c r="F9" s="477"/>
      <c r="G9" s="473" t="e">
        <f t="shared" si="2"/>
        <v>#REF!</v>
      </c>
      <c r="I9" s="53">
        <f t="shared" si="3"/>
        <v>2828.4516230930471</v>
      </c>
      <c r="J9" s="53">
        <f t="shared" si="4"/>
        <v>1.5804616404563405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75020348.484821707</v>
      </c>
      <c r="C21" s="48">
        <v>18731659</v>
      </c>
      <c r="D21" s="48">
        <f>B21-C21</f>
        <v>56288689.484821707</v>
      </c>
      <c r="E21" s="55">
        <f>D21/B21</f>
        <v>0.75031229022096813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6350448.484821707</v>
      </c>
      <c r="C28" s="50"/>
      <c r="D28" s="50">
        <f t="shared" si="5"/>
        <v>6350448.484821707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89261078.843749985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80834.970959374987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72751.473863437495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649517.04533593741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89261078.843749985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20530.048134062497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823633.53829281242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71408863.074999988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98157.90903124999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71408863.074999988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105245.40903124999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6" t="s">
        <v>455</v>
      </c>
      <c r="B5" s="1607"/>
      <c r="C5" s="1607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8"/>
      <c r="B6" s="1609"/>
      <c r="C6" s="1609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6" t="s">
        <v>469</v>
      </c>
      <c r="B5" s="1607"/>
      <c r="C5" s="1607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608"/>
      <c r="B6" s="1609"/>
      <c r="C6" s="1609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387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311129.67854023521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68669900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-10110927.510000002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6"/>
      <c r="B5" s="1607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8"/>
      <c r="B6" s="1610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6"/>
      <c r="B39" s="1607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8"/>
      <c r="B40" s="1610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6"/>
      <c r="B72" s="1607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8"/>
      <c r="B73" s="1609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1" t="s">
        <v>589</v>
      </c>
      <c r="D74" s="1612"/>
      <c r="E74" s="1612"/>
      <c r="F74" s="1612"/>
      <c r="G74" s="1612"/>
      <c r="H74" s="1612"/>
      <c r="I74" s="1613"/>
      <c r="J74" s="1614" t="s">
        <v>582</v>
      </c>
      <c r="K74" s="1615"/>
      <c r="L74" s="1615"/>
      <c r="M74" s="1615"/>
      <c r="N74" s="1615"/>
      <c r="O74" s="1616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1"/>
      <c r="D78" s="1612"/>
      <c r="E78" s="1612"/>
      <c r="F78" s="1612"/>
      <c r="G78" s="1612"/>
      <c r="H78" s="1612"/>
      <c r="I78" s="1613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1"/>
      <c r="D85" s="1612"/>
      <c r="E85" s="1612"/>
      <c r="F85" s="1612"/>
      <c r="G85" s="1612"/>
      <c r="H85" s="1612"/>
      <c r="I85" s="1613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1"/>
      <c r="D91" s="1612"/>
      <c r="E91" s="1612"/>
      <c r="F91" s="1612"/>
      <c r="G91" s="1612"/>
      <c r="H91" s="1612"/>
      <c r="I91" s="1613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9">
        <f>'PreDev Flow of Funds'!D47</f>
        <v>14824249.954999998</v>
      </c>
      <c r="D114" s="1618"/>
    </row>
    <row r="115" spans="2:19">
      <c r="B115" s="397" t="s">
        <v>600</v>
      </c>
      <c r="C115" s="1620">
        <f>M102</f>
        <v>1323400.22</v>
      </c>
      <c r="D115" s="1618"/>
    </row>
    <row r="116" spans="2:19">
      <c r="B116" s="397" t="s">
        <v>582</v>
      </c>
      <c r="C116" s="1620">
        <f>'Development Budget'!G37-Predevelopment!D27-Predevelopment!D28-Predevelopment!D29-Timeline!M102-Predevelopment!D17</f>
        <v>-8161416.2424999988</v>
      </c>
      <c r="D116" s="1618"/>
    </row>
    <row r="117" spans="2:19" ht="16.5" thickBot="1">
      <c r="B117" s="398" t="s">
        <v>601</v>
      </c>
      <c r="C117" s="1621">
        <f>C118-C114-C116-C115</f>
        <v>58371053.067500003</v>
      </c>
      <c r="D117" s="1622"/>
    </row>
    <row r="118" spans="2:19" ht="16.5" thickTop="1">
      <c r="B118" s="368" t="s">
        <v>585</v>
      </c>
      <c r="C118" s="1617">
        <v>66357287</v>
      </c>
      <c r="D118" s="1618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