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88981EE5-7E01-442C-B2C8-17944936982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M163" i="1"/>
  <c r="E35" i="1"/>
  <c r="D37" i="2" l="1"/>
  <c r="D40" i="28" s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E43" i="28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<sst xmlns="http://schemas.openxmlformats.org/spreadsheetml/2006/main" count="1992" uniqueCount="1105">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</sst>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3" borderId="0" xfId="6" applyNumberFormat="1" applyFont="1" applyFill="1" applyBorder="1" applyAlignment="1" applyProtection="1">
      <alignment vertical="center"/>
      <protection locked="0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0" fontId="24" fillId="43" borderId="0" xfId="0" applyFont="1" applyFill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7" workbookViewId="0">
      <selection activeCell="H15" sqref="H15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1104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8.9698630349144867E-2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8.9698630349144839E-2</v>
      </c>
      <c r="E16" s="700"/>
    </row>
    <row r="17" spans="1:6">
      <c r="A17" s="1527"/>
      <c r="B17" s="702"/>
      <c r="D17" s="1523"/>
      <c r="E17" s="1594" t="s">
        <v>961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-59929.111521428451</v>
      </c>
      <c r="E18" s="1595">
        <f ca="1">-D18/D28</f>
        <v>4.5297892306446296E-4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382</v>
      </c>
    </row>
    <row r="21" spans="1:6">
      <c r="A21" s="64"/>
      <c r="B21" s="63" t="s">
        <v>15</v>
      </c>
      <c r="C21" s="63"/>
      <c r="D21" s="1373">
        <f>'Development Budget'!G28</f>
        <v>16555000</v>
      </c>
      <c r="E21" s="1373">
        <f>D21/$D$10</f>
        <v>65694.444444444438</v>
      </c>
    </row>
    <row r="22" spans="1:6">
      <c r="A22" s="64"/>
      <c r="B22" s="4" t="s">
        <v>16</v>
      </c>
      <c r="C22" s="4"/>
      <c r="D22" s="1373">
        <f>'Development Budget'!G44</f>
        <v>101264161.87499999</v>
      </c>
      <c r="E22" s="1373">
        <f t="shared" ref="E22:E28" si="0">D22/$D$10</f>
        <v>401841.91220238089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2724240</v>
      </c>
      <c r="E23" s="1373">
        <f t="shared" si="0"/>
        <v>10810.476190476191</v>
      </c>
    </row>
    <row r="24" spans="1:6">
      <c r="A24" s="64"/>
      <c r="B24" s="4" t="s">
        <v>18</v>
      </c>
      <c r="C24" s="4"/>
      <c r="D24" s="1373">
        <f>'Development Budget'!G97</f>
        <v>4075786</v>
      </c>
      <c r="E24" s="1373">
        <f t="shared" si="0"/>
        <v>16173.753968253968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10372001.025158519</v>
      </c>
      <c r="E25" s="1373">
        <f t="shared" si="0"/>
        <v>41158.734226819521</v>
      </c>
    </row>
    <row r="26" spans="1:6">
      <c r="A26" s="64"/>
      <c r="B26" s="4" t="s">
        <v>20</v>
      </c>
      <c r="C26" s="4"/>
      <c r="D26" s="1373">
        <f>'Development Budget'!G181</f>
        <v>6893905.5314799119</v>
      </c>
      <c r="E26" s="1373">
        <f t="shared" si="0"/>
        <v>27356.767982063142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-9585094.4316384196</v>
      </c>
      <c r="E27" s="1374">
        <f t="shared" si="0"/>
        <v>-38036.08901443817</v>
      </c>
    </row>
    <row r="28" spans="1:6" ht="16.5" thickTop="1">
      <c r="A28" s="4"/>
      <c r="B28" s="4"/>
      <c r="C28" s="150" t="s">
        <v>14</v>
      </c>
      <c r="D28" s="1375">
        <f>SUM(D21:D27)</f>
        <v>132300000</v>
      </c>
      <c r="E28" s="1373">
        <f t="shared" si="0"/>
        <v>525000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382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85995000</v>
      </c>
      <c r="E32" s="1428">
        <f t="shared" si="1"/>
        <v>341250</v>
      </c>
    </row>
    <row r="33" spans="1:5">
      <c r="A33" s="64"/>
      <c r="B33" s="4" t="s">
        <v>1051</v>
      </c>
      <c r="C33" s="4"/>
      <c r="D33" s="1429">
        <f>GapCalc!D29</f>
        <v>6945750.0000000037</v>
      </c>
      <c r="E33" s="1428">
        <f>D33/$D$10</f>
        <v>27562.500000000015</v>
      </c>
    </row>
    <row r="34" spans="1:5">
      <c r="A34" s="65"/>
      <c r="B34" s="4" t="s">
        <v>26</v>
      </c>
      <c r="C34" s="4"/>
      <c r="D34" s="1429">
        <f>GapCalc!D30</f>
        <v>39359250.000000015</v>
      </c>
      <c r="E34" s="1428">
        <f>D34/$D$10</f>
        <v>156187.50000000006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132300000.00000001</v>
      </c>
      <c r="E36" s="1428">
        <f>D36/$D$10</f>
        <v>525000.00000000012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382</v>
      </c>
    </row>
    <row r="39" spans="1:5">
      <c r="A39" s="60"/>
      <c r="B39" s="4" t="s">
        <v>1047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995</v>
      </c>
      <c r="C40" s="4"/>
      <c r="D40" s="1428">
        <f>GapCalc!D37</f>
        <v>93861427.901976362</v>
      </c>
      <c r="E40" s="1428">
        <f t="shared" ref="E40" si="2">D40/$D$10</f>
        <v>372465.98373800144</v>
      </c>
    </row>
    <row r="41" spans="1:5">
      <c r="A41" s="60"/>
      <c r="B41" s="4" t="s">
        <v>1051</v>
      </c>
      <c r="C41" s="4"/>
      <c r="D41" s="1433">
        <f>GapCalc!D29+GapCalc!D38</f>
        <v>6945750.0000000037</v>
      </c>
      <c r="E41" s="1428">
        <f>D41/$D$10</f>
        <v>27562.500000000015</v>
      </c>
    </row>
    <row r="42" spans="1:5">
      <c r="A42" s="60"/>
      <c r="B42" s="1399" t="s">
        <v>26</v>
      </c>
      <c r="C42" s="4"/>
      <c r="D42" s="1434">
        <f>GapCalc!D30+GapCalc!D39</f>
        <v>39359250.000000015</v>
      </c>
      <c r="E42" s="1428">
        <f>D42/$D$10</f>
        <v>156187.50000000006</v>
      </c>
    </row>
    <row r="43" spans="1:5">
      <c r="A43" s="60"/>
      <c r="B43" s="1555" t="s">
        <v>1103</v>
      </c>
      <c r="C43" s="4"/>
      <c r="D43" s="1434">
        <f>IF(D32-D40&gt;0,0,D32-D40)</f>
        <v>-7866427.9019763619</v>
      </c>
      <c r="E43" s="1428">
        <f>D43/$D$10</f>
        <v>-31215.983738001436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132300000.00000001</v>
      </c>
      <c r="E45" s="1430">
        <f>D45/$D$10</f>
        <v>525000.00000000012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16555000</v>
      </c>
      <c r="E17" s="1373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101264161.87499999</v>
      </c>
      <c r="E18" s="1373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2724240</v>
      </c>
      <c r="E19" s="1373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4075786</v>
      </c>
      <c r="E20" s="1373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10372001.025158519</v>
      </c>
      <c r="E21" s="1373">
        <f t="shared" si="0"/>
        <v>41158.734226819521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6893905.5314799119</v>
      </c>
      <c r="E22" s="1373">
        <f t="shared" si="0"/>
        <v>27356.767982063142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-9585094.4316384196</v>
      </c>
      <c r="E23" s="1374">
        <f t="shared" si="0"/>
        <v>-38036.08901443817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132300000</v>
      </c>
      <c r="E24" s="1373">
        <f t="shared" si="0"/>
        <v>525000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382</v>
      </c>
      <c r="G26" s="1357" t="s">
        <v>1050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981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85995000</v>
      </c>
      <c r="E28" s="1428">
        <f t="shared" si="1"/>
        <v>341250</v>
      </c>
      <c r="F28" s="62"/>
      <c r="G28" s="1261" t="s">
        <v>608</v>
      </c>
      <c r="H28" s="1450">
        <f>H32/D11</f>
        <v>27562.500000000015</v>
      </c>
      <c r="I28" s="703"/>
    </row>
    <row r="29" spans="1:10" ht="15.75">
      <c r="A29" s="64"/>
      <c r="B29" s="4" t="s">
        <v>1051</v>
      </c>
      <c r="C29" s="4"/>
      <c r="D29" s="1429">
        <v>6945750.0000000037</v>
      </c>
      <c r="E29" s="1428">
        <f>D29/$D$11</f>
        <v>27562.500000000015</v>
      </c>
      <c r="F29" s="520"/>
      <c r="G29" s="1262" t="s">
        <v>971</v>
      </c>
      <c r="H29" s="1451">
        <f>H33/D11</f>
        <v>156187.50000000006</v>
      </c>
      <c r="I29" s="703"/>
    </row>
    <row r="30" spans="1:10" ht="16.5" thickBot="1">
      <c r="A30" s="65"/>
      <c r="B30" s="4" t="s">
        <v>26</v>
      </c>
      <c r="C30" s="4"/>
      <c r="D30" s="1429">
        <v>39359250.000000015</v>
      </c>
      <c r="E30" s="1428">
        <f>D30/$D$11</f>
        <v>156187.50000000006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1000</v>
      </c>
      <c r="H31" s="1452"/>
      <c r="I31" s="1281"/>
      <c r="J31" s="690"/>
    </row>
    <row r="32" spans="1:10" ht="16.5" thickBot="1">
      <c r="A32" s="1275"/>
      <c r="B32" s="67" t="s">
        <v>997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608</v>
      </c>
      <c r="H32" s="1453">
        <f>D29+D38</f>
        <v>6945750.0000000037</v>
      </c>
      <c r="I32" s="1189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132300000.00000001</v>
      </c>
      <c r="E33" s="1428">
        <f>D33/$D$11</f>
        <v>525000.00000000012</v>
      </c>
      <c r="F33" s="62"/>
      <c r="G33" s="1283" t="s">
        <v>971</v>
      </c>
      <c r="H33" s="1453">
        <f>D30+D39</f>
        <v>39359250.000000015</v>
      </c>
      <c r="I33" s="1189">
        <f>H33/H34</f>
        <v>0.85000000000000009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46305000.000000015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382</v>
      </c>
      <c r="F35" s="68"/>
      <c r="G35" s="1182"/>
      <c r="H35" s="1445"/>
      <c r="I35" s="1184" t="s">
        <v>961</v>
      </c>
      <c r="J35" s="690"/>
    </row>
    <row r="36" spans="1:12" ht="16.5" thickBot="1">
      <c r="A36" s="60"/>
      <c r="B36" s="4" t="s">
        <v>1047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0.35000000000000009</v>
      </c>
      <c r="J36" s="704"/>
    </row>
    <row r="37" spans="1:12" ht="16.5" thickBot="1">
      <c r="A37" s="60"/>
      <c r="B37" s="4" t="s">
        <v>995</v>
      </c>
      <c r="C37" s="4"/>
      <c r="D37" s="1428">
        <f>Data!C30</f>
        <v>93861427.901976362</v>
      </c>
      <c r="E37" s="1428">
        <f t="shared" ref="E37" si="2">D37/$D$11</f>
        <v>372465.98373800144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1051</v>
      </c>
      <c r="C38" s="4"/>
      <c r="D38" s="1433">
        <v>0</v>
      </c>
      <c r="E38" s="1428">
        <f>D38/$D$11</f>
        <v>0</v>
      </c>
      <c r="F38" s="62"/>
      <c r="G38" s="1276" t="s">
        <v>998</v>
      </c>
      <c r="H38" s="1457" t="s">
        <v>982</v>
      </c>
      <c r="I38" s="1284" t="s">
        <v>1002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608</v>
      </c>
      <c r="H39" s="1458">
        <f>-D32*0.15</f>
        <v>0</v>
      </c>
      <c r="I39" s="1438">
        <f>D29+H39</f>
        <v>6945750.0000000037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971</v>
      </c>
      <c r="H40" s="1459">
        <f>-D32*0.85</f>
        <v>0</v>
      </c>
      <c r="I40" s="1439">
        <f>D30+H40</f>
        <v>39359250.000000015</v>
      </c>
      <c r="J40" s="690"/>
    </row>
    <row r="41" spans="1:12" ht="16.5" thickBot="1">
      <c r="A41" s="66"/>
      <c r="B41" s="67" t="s">
        <v>997</v>
      </c>
      <c r="C41" s="67"/>
      <c r="D41" s="1435">
        <f>SUM(D36:D39)-D28</f>
        <v>7866427.9019763619</v>
      </c>
      <c r="E41" s="1430">
        <f>D41/$D$11</f>
        <v>31215.983738001436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93861427.901976362</v>
      </c>
      <c r="E42" s="1428">
        <f>D42/$D$11</f>
        <v>372465.98373800144</v>
      </c>
      <c r="G42" s="1276" t="s">
        <v>999</v>
      </c>
      <c r="H42" s="1457" t="s">
        <v>982</v>
      </c>
      <c r="I42" s="1441" t="s">
        <v>1002</v>
      </c>
      <c r="J42" s="690"/>
    </row>
    <row r="43" spans="1:12" ht="15.75">
      <c r="A43" s="65"/>
      <c r="B43" s="60"/>
      <c r="C43" s="60"/>
      <c r="D43" s="61"/>
      <c r="E43" s="61"/>
      <c r="G43" s="1277" t="s">
        <v>608</v>
      </c>
      <c r="H43" s="1458">
        <f>-D41*0.15</f>
        <v>-1179964.1852964542</v>
      </c>
      <c r="I43" s="1438">
        <f>D38+H43</f>
        <v>-1179964.1852964542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971</v>
      </c>
      <c r="H44" s="1458">
        <f>-D41*0.85</f>
        <v>-6686463.7166799074</v>
      </c>
      <c r="I44" s="1438">
        <f>D39+H44</f>
        <v>-6686463.7166799074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1061</v>
      </c>
      <c r="I46" s="1442">
        <f>'Cash Flow'!C66</f>
        <v>39308310.255206801</v>
      </c>
      <c r="J46" s="1424" t="s">
        <v>1083</v>
      </c>
      <c r="K46" s="1425">
        <f>'Cash Flow'!C76</f>
        <v>8.9698630349144867E-2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1062</v>
      </c>
      <c r="I47" s="1443">
        <f>'Cash Flow'!C80</f>
        <v>14252435.718017286</v>
      </c>
      <c r="J47" s="1426" t="s">
        <v>1099</v>
      </c>
      <c r="K47" s="1449">
        <f>'Cash Flow'!C70</f>
        <v>64072545.715987086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1059</v>
      </c>
      <c r="I48" s="1444">
        <f>I46-H33</f>
        <v>-50939.744793213904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1070</v>
      </c>
      <c r="I51" s="1446">
        <f>'Cash Flow'!H66</f>
        <v>6936760.6332717892</v>
      </c>
      <c r="J51" s="1427" t="s">
        <v>1083</v>
      </c>
      <c r="K51" s="1460">
        <f>'Cash Flow'!H76</f>
        <v>8.9698630349144839E-2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1071</v>
      </c>
      <c r="I52" s="1447">
        <f>H32</f>
        <v>6945750.0000000037</v>
      </c>
      <c r="J52" s="1426" t="s">
        <v>1098</v>
      </c>
      <c r="K52" s="1449">
        <f>'Cash Flow'!H70</f>
        <v>11306919.832233015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1059</v>
      </c>
      <c r="I53" s="1448">
        <f>I51-I52</f>
        <v>-8989.366728214547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1075</v>
      </c>
      <c r="I55" s="1552">
        <f>I48+I53</f>
        <v>-59929.111521428451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1061</v>
      </c>
      <c r="I58" s="1442">
        <f>'Cash Flow'!C93</f>
        <v>56006720.998130426</v>
      </c>
      <c r="J58" s="1424" t="s">
        <v>1083</v>
      </c>
      <c r="K58" s="1425">
        <f>'Cash Flow'!C103</f>
        <v>0.13194282214969175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1062</v>
      </c>
      <c r="I59" s="1443">
        <f>'Cash Flow'!C92</f>
        <v>0</v>
      </c>
      <c r="J59" s="1426" t="s">
        <v>1098</v>
      </c>
      <c r="K59" s="1449">
        <f>'Cash Flow'!C97</f>
        <v>91290955.226952583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1059</v>
      </c>
      <c r="I60" s="1444">
        <f>I58-H33</f>
        <v>16647470.998130411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1070</v>
      </c>
      <c r="I63" s="1446">
        <f>'Cash Flow'!H93</f>
        <v>7761356.5221164608</v>
      </c>
      <c r="J63" s="1427" t="s">
        <v>1083</v>
      </c>
      <c r="K63" s="1460">
        <f>'Cash Flow'!H103</f>
        <v>8.2140317907350879E-2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1071</v>
      </c>
      <c r="I64" s="1447">
        <f>H32</f>
        <v>6945750.0000000037</v>
      </c>
      <c r="J64" s="1426" t="s">
        <v>1098</v>
      </c>
      <c r="K64" s="1449">
        <f>'Cash Flow'!H97</f>
        <v>12651011.13104983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1059</v>
      </c>
      <c r="I65" s="1448">
        <f>I63-I64</f>
        <v>815606.52211645711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1075</v>
      </c>
      <c r="I67" s="1542">
        <f>I60+I65</f>
        <v>17463077.520246867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3" zoomScale="130" zoomScaleNormal="130" workbookViewId="0">
      <selection activeCell="L39" sqref="L3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0.79365079365079361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1087</v>
      </c>
      <c r="N9" s="298">
        <f>E46+E183</f>
        <v>50</v>
      </c>
      <c r="O9" s="332">
        <f t="shared" si="0"/>
        <v>0.1984126984126984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265">
        <f>N17+N16</f>
        <v>252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51">
        <v>2400</v>
      </c>
      <c r="J50" s="284">
        <f>D50*E50</f>
        <v>12000</v>
      </c>
      <c r="K50" s="292">
        <f>E50*I50</f>
        <v>72000</v>
      </c>
      <c r="L50" s="1533"/>
      <c r="M50" s="29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51">
        <f>ROUND(G51-H51,0)</f>
        <v>3120</v>
      </c>
      <c r="J51" s="284">
        <f>D51*E51</f>
        <v>20100</v>
      </c>
      <c r="K51" s="292">
        <f>E51*I51</f>
        <v>93600</v>
      </c>
      <c r="L51" s="1533"/>
      <c r="M51" s="29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51">
        <v>4540</v>
      </c>
      <c r="J52" s="284">
        <f>D52*E52</f>
        <v>140000</v>
      </c>
      <c r="K52" s="292">
        <f>E52*I52</f>
        <v>635600</v>
      </c>
      <c r="L52" s="1533"/>
      <c r="M52" s="29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1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51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L249" sqref="L24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988</v>
      </c>
      <c r="J4" s="717">
        <f>GapCalc!D41</f>
        <v>7866427.9019763619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7" t="s">
        <v>84</v>
      </c>
      <c r="G14" s="1598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620"/>
      <c r="C18" s="1621" t="s">
        <v>640</v>
      </c>
      <c r="D18" s="1621"/>
      <c r="E18" s="1622">
        <f>N18</f>
        <v>16380000</v>
      </c>
      <c r="F18" s="1623"/>
      <c r="G18" s="1624">
        <f>E18</f>
        <v>16380000</v>
      </c>
      <c r="H18" s="1625"/>
      <c r="I18" s="1625">
        <f>G18/$F$9</f>
        <v>65000</v>
      </c>
      <c r="J18" s="1003"/>
      <c r="K18" s="1004"/>
      <c r="L18" s="1004"/>
      <c r="M18" s="1273">
        <f>F9*N17</f>
        <v>16380000</v>
      </c>
      <c r="N18" s="1515">
        <v>16380000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16380000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620"/>
      <c r="C19" s="1621" t="s">
        <v>641</v>
      </c>
      <c r="D19" s="1621"/>
      <c r="E19" s="1626"/>
      <c r="F19" s="1627"/>
      <c r="G19" s="1628">
        <f>SUM(F20:F22)</f>
        <v>25000</v>
      </c>
      <c r="H19" s="1625"/>
      <c r="I19" s="1625">
        <f t="shared" ref="I19:I82" si="0">G19/$F$9</f>
        <v>99.206349206349202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620"/>
      <c r="C20" s="1629"/>
      <c r="D20" s="1621" t="s">
        <v>642</v>
      </c>
      <c r="E20" s="1626"/>
      <c r="F20" s="1627">
        <v>10000</v>
      </c>
      <c r="G20" s="1628"/>
      <c r="H20" s="1625"/>
      <c r="I20" s="1625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620"/>
      <c r="C21" s="1629"/>
      <c r="D21" s="1621" t="s">
        <v>643</v>
      </c>
      <c r="E21" s="1630">
        <v>0</v>
      </c>
      <c r="F21" s="1627">
        <f>E21*G18</f>
        <v>0</v>
      </c>
      <c r="G21" s="1628"/>
      <c r="H21" s="1625"/>
      <c r="I21" s="1625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620"/>
      <c r="C22" s="1629"/>
      <c r="D22" s="1621" t="s">
        <v>644</v>
      </c>
      <c r="E22" s="1626"/>
      <c r="F22" s="1627">
        <v>15000</v>
      </c>
      <c r="G22" s="1628"/>
      <c r="H22" s="1625"/>
      <c r="I22" s="1625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620"/>
      <c r="C23" s="1621" t="s">
        <v>645</v>
      </c>
      <c r="D23" s="1621"/>
      <c r="E23" s="1631">
        <v>150000</v>
      </c>
      <c r="F23" s="1627"/>
      <c r="G23" s="1628">
        <f>E23</f>
        <v>150000</v>
      </c>
      <c r="H23" s="1625"/>
      <c r="I23" s="1625">
        <f t="shared" si="0"/>
        <v>595.23809523809518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620"/>
      <c r="C24" s="1621" t="s">
        <v>646</v>
      </c>
      <c r="D24" s="1621"/>
      <c r="E24" s="1632"/>
      <c r="F24" s="1627"/>
      <c r="G24" s="1628">
        <f>SUM(F25:F26)</f>
        <v>0</v>
      </c>
      <c r="H24" s="1625"/>
      <c r="I24" s="1625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620"/>
      <c r="C25" s="1629"/>
      <c r="D25" s="1621" t="s">
        <v>647</v>
      </c>
      <c r="E25" s="1633">
        <f>5</f>
        <v>5</v>
      </c>
      <c r="F25" s="1634">
        <v>0</v>
      </c>
      <c r="G25" s="1628"/>
      <c r="H25" s="1625"/>
      <c r="I25" s="1625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620"/>
      <c r="C26" s="1629"/>
      <c r="D26" s="1621" t="s">
        <v>648</v>
      </c>
      <c r="E26" s="1633">
        <v>7</v>
      </c>
      <c r="F26" s="1634">
        <v>0</v>
      </c>
      <c r="G26" s="1628"/>
      <c r="H26" s="1625"/>
      <c r="I26" s="1625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620"/>
      <c r="C27" s="1621" t="s">
        <v>769</v>
      </c>
      <c r="D27" s="1621"/>
      <c r="E27" s="1635"/>
      <c r="F27" s="1627"/>
      <c r="G27" s="1628">
        <v>0</v>
      </c>
      <c r="H27" s="1625"/>
      <c r="I27" s="1625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36"/>
      <c r="C28" s="1637" t="s">
        <v>770</v>
      </c>
      <c r="D28" s="1638"/>
      <c r="E28" s="1639"/>
      <c r="F28" s="1640"/>
      <c r="G28" s="1641">
        <f>SUM(G18:G27)</f>
        <v>16555000</v>
      </c>
      <c r="H28" s="1642"/>
      <c r="I28" s="1643">
        <f t="shared" si="0"/>
        <v>65694.444444444438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16555000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620"/>
      <c r="C29" s="1644" t="s">
        <v>90</v>
      </c>
      <c r="D29" s="1621"/>
      <c r="E29" s="1645"/>
      <c r="F29" s="1627"/>
      <c r="G29" s="1646"/>
      <c r="H29" s="1647"/>
      <c r="I29" s="1625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620"/>
      <c r="C30" s="1621" t="s">
        <v>707</v>
      </c>
      <c r="D30" s="1621"/>
      <c r="E30" s="1648">
        <v>0</v>
      </c>
      <c r="F30" s="1627"/>
      <c r="G30" s="1646">
        <v>0</v>
      </c>
      <c r="H30" s="1647"/>
      <c r="I30" s="1625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620"/>
      <c r="C31" s="1621" t="s">
        <v>708</v>
      </c>
      <c r="D31" s="1621"/>
      <c r="E31" s="1622">
        <v>35</v>
      </c>
      <c r="F31" s="1627"/>
      <c r="G31" s="1649">
        <f>E31*'Construction Calculation'!G11</f>
        <v>0</v>
      </c>
      <c r="H31" s="1650"/>
      <c r="I31" s="1625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620"/>
      <c r="C32" s="1621" t="s">
        <v>94</v>
      </c>
      <c r="D32" s="1621"/>
      <c r="E32" s="1651"/>
      <c r="F32" s="1652"/>
      <c r="G32" s="1646">
        <f>F33+F35</f>
        <v>80891329.5</v>
      </c>
      <c r="H32" s="1647"/>
      <c r="I32" s="1625">
        <f t="shared" si="0"/>
        <v>320997.33928571426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88980462.450000003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620"/>
      <c r="C33" s="1621"/>
      <c r="D33" s="1621" t="s">
        <v>669</v>
      </c>
      <c r="E33" s="1653">
        <v>300</v>
      </c>
      <c r="F33" s="1654">
        <f>E33*'Construction Calculation'!C14</f>
        <v>73731600</v>
      </c>
      <c r="G33" s="1646"/>
      <c r="H33" s="1647"/>
      <c r="I33" s="1625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620"/>
      <c r="C34" s="1621"/>
      <c r="D34" s="1621" t="s">
        <v>709</v>
      </c>
      <c r="E34" s="1653">
        <v>35</v>
      </c>
      <c r="F34" s="1654">
        <v>0</v>
      </c>
      <c r="G34" s="1646"/>
      <c r="H34" s="1647"/>
      <c r="I34" s="1625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620"/>
      <c r="C35" s="1621"/>
      <c r="D35" s="1621" t="s">
        <v>691</v>
      </c>
      <c r="E35" s="1653">
        <f>'Construction Calculation'!G49</f>
        <v>143</v>
      </c>
      <c r="F35" s="1654">
        <f>'Construction Calculation'!I55</f>
        <v>7159729.5000000009</v>
      </c>
      <c r="G35" s="1646">
        <f>0*F35</f>
        <v>0</v>
      </c>
      <c r="H35" s="1647"/>
      <c r="I35" s="1625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620"/>
      <c r="C36" s="1629"/>
      <c r="D36" s="1621" t="s">
        <v>710</v>
      </c>
      <c r="E36" s="1655">
        <v>0.1</v>
      </c>
      <c r="F36" s="1656">
        <f>E36*(G32+G31+G30)</f>
        <v>8089132.9500000002</v>
      </c>
      <c r="G36" s="1628">
        <f>F36</f>
        <v>8089132.9500000002</v>
      </c>
      <c r="H36" s="1625"/>
      <c r="I36" s="1625">
        <f t="shared" si="0"/>
        <v>32099.73392857143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620"/>
      <c r="C37" s="1621" t="s">
        <v>711</v>
      </c>
      <c r="D37" s="1621"/>
      <c r="E37" s="1655">
        <v>7.0000000000000007E-2</v>
      </c>
      <c r="F37" s="1657"/>
      <c r="G37" s="1658">
        <f>SUM($G$29:$G$32,$G$20,$G$21)*E37</f>
        <v>5662393.0650000004</v>
      </c>
      <c r="H37" s="1659"/>
      <c r="I37" s="1625">
        <f t="shared" si="0"/>
        <v>22469.813750000001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5662393.0650000004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620"/>
      <c r="C38" s="1621" t="s">
        <v>712</v>
      </c>
      <c r="D38" s="1621"/>
      <c r="E38" s="1655">
        <v>0.05</v>
      </c>
      <c r="F38" s="1657"/>
      <c r="G38" s="1658">
        <f>SUM($G$29:$G$32,$G$20,$G$21)*E38</f>
        <v>4044566.4750000001</v>
      </c>
      <c r="H38" s="1659"/>
      <c r="I38" s="1625">
        <f t="shared" si="0"/>
        <v>16049.866964285715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4044566.4750000001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620"/>
      <c r="C39" s="1621" t="s">
        <v>713</v>
      </c>
      <c r="D39" s="1621"/>
      <c r="E39" s="1655">
        <v>0</v>
      </c>
      <c r="F39" s="1657"/>
      <c r="G39" s="1658">
        <f>SUM($G$29:$G$32,$G$20,$G$21)*E39</f>
        <v>0</v>
      </c>
      <c r="H39" s="1659"/>
      <c r="I39" s="1625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620"/>
      <c r="C40" s="1621" t="s">
        <v>714</v>
      </c>
      <c r="D40" s="1621"/>
      <c r="E40" s="1655">
        <v>1.4999999999999999E-2</v>
      </c>
      <c r="F40" s="1657"/>
      <c r="G40" s="1658">
        <f>SUM($G$29:$G$32,$G$20,$G$21)*E40</f>
        <v>1213369.9424999999</v>
      </c>
      <c r="H40" s="1659"/>
      <c r="I40" s="1625">
        <f t="shared" si="0"/>
        <v>4814.9600892857143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1213369.9424999999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620"/>
      <c r="C41" s="1621" t="s">
        <v>715</v>
      </c>
      <c r="D41" s="1621"/>
      <c r="E41" s="1655">
        <v>1.4999999999999999E-2</v>
      </c>
      <c r="F41" s="1660"/>
      <c r="G41" s="1658">
        <f>SUM($G$29:$G$33,$G$20,$G$21)*E41</f>
        <v>1213369.9424999999</v>
      </c>
      <c r="H41" s="1659"/>
      <c r="I41" s="1625">
        <f t="shared" si="0"/>
        <v>4814.9600892857143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1213369.9424999999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620"/>
      <c r="C42" s="1621" t="s">
        <v>224</v>
      </c>
      <c r="D42" s="1621"/>
      <c r="E42" s="1655">
        <v>0</v>
      </c>
      <c r="F42" s="1661"/>
      <c r="G42" s="1658">
        <f>SUM($G$29:$G$32,$G$20,$G$21)*E42</f>
        <v>0</v>
      </c>
      <c r="H42" s="1659"/>
      <c r="I42" s="1625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620"/>
      <c r="C43" s="1629" t="s">
        <v>716</v>
      </c>
      <c r="D43" s="1657"/>
      <c r="E43" s="1655">
        <v>0</v>
      </c>
      <c r="F43" s="1657"/>
      <c r="G43" s="1658">
        <f>SUM($G$29:$G$32,$G$20,$G$21)*E43</f>
        <v>0</v>
      </c>
      <c r="H43" s="1659"/>
      <c r="I43" s="1625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62"/>
      <c r="C44" s="1663" t="s">
        <v>717</v>
      </c>
      <c r="D44" s="1664"/>
      <c r="E44" s="1665"/>
      <c r="F44" s="1666"/>
      <c r="G44" s="1667">
        <f>SUM(G30:G43)+G23+G24</f>
        <v>101264161.87499999</v>
      </c>
      <c r="H44" s="1668"/>
      <c r="I44" s="1643">
        <f t="shared" si="0"/>
        <v>401841.91220238089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101264161.87499999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620"/>
      <c r="C45" s="1644" t="s">
        <v>718</v>
      </c>
      <c r="D45" s="1621"/>
      <c r="E45" s="1669">
        <v>0</v>
      </c>
      <c r="F45" s="1670"/>
      <c r="G45" s="1671">
        <f>E45*G44</f>
        <v>0</v>
      </c>
      <c r="H45" s="1672"/>
      <c r="I45" s="1625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73"/>
      <c r="C46" s="1663" t="s">
        <v>719</v>
      </c>
      <c r="D46" s="1674"/>
      <c r="E46" s="1675"/>
      <c r="F46" s="1676"/>
      <c r="G46" s="1641">
        <f>SUM(G44:G45)</f>
        <v>101264161.87499999</v>
      </c>
      <c r="H46" s="1642"/>
      <c r="I46" s="1643">
        <f t="shared" si="0"/>
        <v>401841.91220238089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101264161.87499999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620"/>
      <c r="C47" s="1644" t="s">
        <v>720</v>
      </c>
      <c r="D47" s="1621"/>
      <c r="E47" s="1677">
        <v>0.1</v>
      </c>
      <c r="F47" s="1678">
        <v>0.15</v>
      </c>
      <c r="G47" s="1646">
        <f>(E47*G46)</f>
        <v>10126416.1875</v>
      </c>
      <c r="H47" s="1647"/>
      <c r="I47" s="1625">
        <f t="shared" si="0"/>
        <v>40184.191220238092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10126416.1875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620"/>
      <c r="C48" s="1679" t="s">
        <v>721</v>
      </c>
      <c r="D48" s="1621"/>
      <c r="E48" s="1680"/>
      <c r="F48" s="1681"/>
      <c r="G48" s="1646"/>
      <c r="H48" s="1647"/>
      <c r="I48" s="1625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620"/>
      <c r="C49" s="1682"/>
      <c r="D49" s="1621" t="s">
        <v>771</v>
      </c>
      <c r="E49" s="1652"/>
      <c r="F49" s="1652">
        <f>335*F9</f>
        <v>84420</v>
      </c>
      <c r="G49" s="1683">
        <f>F49</f>
        <v>84420</v>
      </c>
      <c r="H49" s="1684"/>
      <c r="I49" s="1625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620"/>
      <c r="C50" s="1682"/>
      <c r="D50" s="1621" t="s">
        <v>772</v>
      </c>
      <c r="E50" s="1652">
        <v>0</v>
      </c>
      <c r="F50" s="1652">
        <f>368*F9</f>
        <v>92736</v>
      </c>
      <c r="G50" s="1683">
        <f>F50</f>
        <v>92736</v>
      </c>
      <c r="H50" s="1684"/>
      <c r="I50" s="1625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620"/>
      <c r="C51" s="1679"/>
      <c r="D51" s="1621" t="s">
        <v>773</v>
      </c>
      <c r="E51" s="1681">
        <v>0</v>
      </c>
      <c r="F51" s="1681">
        <v>1225</v>
      </c>
      <c r="G51" s="1683">
        <f>F51</f>
        <v>1225</v>
      </c>
      <c r="H51" s="1647"/>
      <c r="I51" s="1625">
        <f t="shared" si="0"/>
        <v>4.8611111111111107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85"/>
      <c r="C52" s="1679" t="s">
        <v>774</v>
      </c>
      <c r="D52" s="1644"/>
      <c r="E52" s="1686"/>
      <c r="F52" s="1687"/>
      <c r="G52" s="1688">
        <f>SUM(F49:F51)</f>
        <v>178381</v>
      </c>
      <c r="H52" s="1689"/>
      <c r="I52" s="1625">
        <f t="shared" si="0"/>
        <v>707.86111111111109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178381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620"/>
      <c r="C53" s="1644" t="s">
        <v>775</v>
      </c>
      <c r="D53" s="1621"/>
      <c r="E53" s="1690"/>
      <c r="F53" s="1670"/>
      <c r="G53" s="1646"/>
      <c r="H53" s="1647"/>
      <c r="I53" s="1625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620"/>
      <c r="C54" s="1621" t="s">
        <v>385</v>
      </c>
      <c r="D54" s="1621"/>
      <c r="E54" s="1691"/>
      <c r="F54" s="1670"/>
      <c r="G54" s="1646">
        <f>SUM(F55:F56)</f>
        <v>2539800</v>
      </c>
      <c r="H54" s="1647"/>
      <c r="I54" s="1625">
        <f t="shared" si="0"/>
        <v>10078.571428571429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2539800</v>
      </c>
      <c r="Y54" s="972"/>
      <c r="Z54" s="972"/>
      <c r="AA54"/>
      <c r="AB54" s="972">
        <v>40636.275750000001</v>
      </c>
    </row>
    <row r="55" spans="1:28" ht="15.75">
      <c r="A55" s="3"/>
      <c r="B55" s="1620"/>
      <c r="C55" s="1621"/>
      <c r="D55" s="1621" t="s">
        <v>776</v>
      </c>
      <c r="E55" s="1629"/>
      <c r="F55" s="1659">
        <v>163800</v>
      </c>
      <c r="G55" s="1692"/>
      <c r="H55" s="1693"/>
      <c r="I55" s="1625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620"/>
      <c r="C56" s="1621"/>
      <c r="D56" s="1621" t="s">
        <v>385</v>
      </c>
      <c r="E56" s="1669">
        <v>0.06</v>
      </c>
      <c r="F56" s="1652">
        <f>M56</f>
        <v>2376000</v>
      </c>
      <c r="G56" s="1692"/>
      <c r="H56" s="1693"/>
      <c r="I56" s="1625">
        <f>G56/$F$9</f>
        <v>0</v>
      </c>
      <c r="J56" s="1051"/>
      <c r="K56" s="1055" t="s">
        <v>984</v>
      </c>
      <c r="L56" s="1056"/>
      <c r="M56" s="1512">
        <f>SUM(M57:M58)</f>
        <v>2376000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620"/>
      <c r="C57" s="1621" t="s">
        <v>777</v>
      </c>
      <c r="D57" s="1621"/>
      <c r="E57" s="1694">
        <v>6.5000000000000002E-2</v>
      </c>
      <c r="F57" s="1652"/>
      <c r="G57" s="1695">
        <f>E57*F56</f>
        <v>154440</v>
      </c>
      <c r="H57" s="1696"/>
      <c r="I57" s="1625">
        <f t="shared" si="0"/>
        <v>612.85714285714289</v>
      </c>
      <c r="J57" s="1003"/>
      <c r="K57" s="1057"/>
      <c r="L57" s="1058"/>
      <c r="M57" s="1059">
        <f>(5000*F9)*1.6</f>
        <v>2016000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154440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620"/>
      <c r="C58" s="1621" t="s">
        <v>778</v>
      </c>
      <c r="D58" s="1621"/>
      <c r="E58" s="1630"/>
      <c r="F58" s="1652"/>
      <c r="G58" s="1695">
        <v>30000</v>
      </c>
      <c r="H58" s="1696"/>
      <c r="I58" s="1625">
        <f t="shared" si="0"/>
        <v>119.04761904761905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85"/>
      <c r="C59" s="1679" t="s">
        <v>966</v>
      </c>
      <c r="D59" s="1644"/>
      <c r="E59" s="1697"/>
      <c r="F59" s="1698"/>
      <c r="G59" s="1699">
        <f>SUM(G54:G58)-SUM(F75:F76,G78:G79,G67:G69)</f>
        <v>2280079.5953124999</v>
      </c>
      <c r="H59" s="1700"/>
      <c r="I59" s="1625">
        <f t="shared" si="0"/>
        <v>9047.9349020337304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2724240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620"/>
      <c r="C60" s="1644" t="s">
        <v>967</v>
      </c>
      <c r="D60" s="1621"/>
      <c r="E60" s="1691"/>
      <c r="F60" s="1652"/>
      <c r="G60" s="1692"/>
      <c r="H60" s="1693"/>
      <c r="I60" s="1625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620"/>
      <c r="C61" s="1621" t="s">
        <v>385</v>
      </c>
      <c r="D61" s="1621"/>
      <c r="E61" s="1691"/>
      <c r="F61" s="1670"/>
      <c r="G61" s="1646">
        <v>0</v>
      </c>
      <c r="H61" s="1647"/>
      <c r="I61" s="1625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620"/>
      <c r="C62" s="1621"/>
      <c r="D62" s="1621" t="s">
        <v>776</v>
      </c>
      <c r="E62" s="1691"/>
      <c r="F62" s="1659">
        <v>0</v>
      </c>
      <c r="G62" s="1692"/>
      <c r="H62" s="1693"/>
      <c r="I62" s="1625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620"/>
      <c r="C63" s="1621"/>
      <c r="D63" s="1621" t="s">
        <v>385</v>
      </c>
      <c r="E63" s="1680">
        <v>0.06</v>
      </c>
      <c r="F63" s="1652">
        <v>0</v>
      </c>
      <c r="G63" s="1692"/>
      <c r="H63" s="1693"/>
      <c r="I63" s="1625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620"/>
      <c r="C64" s="1621" t="s">
        <v>777</v>
      </c>
      <c r="D64" s="1621"/>
      <c r="E64" s="1630">
        <v>0.15</v>
      </c>
      <c r="F64" s="1701"/>
      <c r="G64" s="1702">
        <f>+E64*F63</f>
        <v>0</v>
      </c>
      <c r="H64" s="1645"/>
      <c r="I64" s="1625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85"/>
      <c r="C65" s="1679" t="s">
        <v>780</v>
      </c>
      <c r="D65" s="1644"/>
      <c r="E65" s="1697"/>
      <c r="F65" s="1703"/>
      <c r="G65" s="1688">
        <f>SUM(G61:G64)</f>
        <v>0</v>
      </c>
      <c r="H65" s="1689"/>
      <c r="I65" s="1625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620"/>
      <c r="C66" s="1679" t="s">
        <v>368</v>
      </c>
      <c r="D66" s="1621"/>
      <c r="E66" s="1691"/>
      <c r="F66" s="1670"/>
      <c r="G66" s="1646"/>
      <c r="H66" s="1647"/>
      <c r="I66" s="1625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620"/>
      <c r="C67" s="1621" t="s">
        <v>781</v>
      </c>
      <c r="D67" s="1629"/>
      <c r="E67" s="1680">
        <v>2.5000000000000001E-3</v>
      </c>
      <c r="F67" s="1681"/>
      <c r="G67" s="1646">
        <f>(E67*G46)</f>
        <v>253160.40468749998</v>
      </c>
      <c r="H67" s="1647"/>
      <c r="I67" s="1625">
        <f t="shared" si="0"/>
        <v>1004.6047805059522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253160.40468749998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620"/>
      <c r="C68" s="1621" t="s">
        <v>783</v>
      </c>
      <c r="D68" s="1629"/>
      <c r="E68" s="1704">
        <v>0</v>
      </c>
      <c r="F68" s="1681"/>
      <c r="G68" s="1702">
        <v>7000</v>
      </c>
      <c r="H68" s="1645"/>
      <c r="I68" s="1625">
        <f t="shared" si="0"/>
        <v>27.777777777777779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620"/>
      <c r="C69" s="1621" t="s">
        <v>395</v>
      </c>
      <c r="D69" s="1629"/>
      <c r="E69" s="1704"/>
      <c r="F69" s="1681"/>
      <c r="G69" s="1702">
        <f>F70+F71+F72+F73</f>
        <v>95000</v>
      </c>
      <c r="H69" s="1645"/>
      <c r="I69" s="1625">
        <f t="shared" si="0"/>
        <v>376.98412698412699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620"/>
      <c r="C70" s="1621"/>
      <c r="D70" s="1621" t="s">
        <v>784</v>
      </c>
      <c r="E70" s="1704"/>
      <c r="F70" s="1645">
        <v>0</v>
      </c>
      <c r="G70" s="1705"/>
      <c r="H70" s="1657"/>
      <c r="I70" s="1625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620"/>
      <c r="C71" s="1657"/>
      <c r="D71" s="1621" t="s">
        <v>786</v>
      </c>
      <c r="E71" s="1704"/>
      <c r="F71" s="1645">
        <v>8000</v>
      </c>
      <c r="G71" s="1705"/>
      <c r="H71" s="1657"/>
      <c r="I71" s="1625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620"/>
      <c r="C72" s="1657"/>
      <c r="D72" s="1621" t="s">
        <v>787</v>
      </c>
      <c r="E72" s="1704"/>
      <c r="F72" s="1645">
        <v>42000</v>
      </c>
      <c r="G72" s="1705"/>
      <c r="H72" s="1657"/>
      <c r="I72" s="1625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620"/>
      <c r="C73" s="1657"/>
      <c r="D73" s="1621" t="s">
        <v>773</v>
      </c>
      <c r="E73" s="1704"/>
      <c r="F73" s="1645">
        <v>45000</v>
      </c>
      <c r="G73" s="1705"/>
      <c r="H73" s="1657"/>
      <c r="I73" s="1625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620"/>
      <c r="C74" s="1621" t="s">
        <v>104</v>
      </c>
      <c r="D74" s="1629"/>
      <c r="E74" s="1706"/>
      <c r="F74" s="1681"/>
      <c r="G74" s="1646">
        <f>SUM(F75:F76)</f>
        <v>25000</v>
      </c>
      <c r="H74" s="1647"/>
      <c r="I74" s="1625">
        <f t="shared" si="0"/>
        <v>99.206349206349202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620"/>
      <c r="C75" s="1629"/>
      <c r="D75" s="1621" t="s">
        <v>788</v>
      </c>
      <c r="E75" s="1706"/>
      <c r="F75" s="1681">
        <v>20000</v>
      </c>
      <c r="G75" s="1646"/>
      <c r="H75" s="1647"/>
      <c r="I75" s="1625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620"/>
      <c r="C76" s="1629"/>
      <c r="D76" s="1621" t="s">
        <v>789</v>
      </c>
      <c r="E76" s="1706"/>
      <c r="F76" s="1681">
        <v>5000</v>
      </c>
      <c r="G76" s="1646"/>
      <c r="H76" s="1647"/>
      <c r="I76" s="1625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620"/>
      <c r="C77" s="1629"/>
      <c r="D77" s="1621" t="s">
        <v>790</v>
      </c>
      <c r="E77" s="1706"/>
      <c r="F77" s="1681">
        <v>0</v>
      </c>
      <c r="G77" s="1646"/>
      <c r="H77" s="1647"/>
      <c r="I77" s="1625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620"/>
      <c r="C78" s="1621" t="s">
        <v>791</v>
      </c>
      <c r="D78" s="1629"/>
      <c r="E78" s="1691"/>
      <c r="F78" s="1652"/>
      <c r="G78" s="1628">
        <v>30000</v>
      </c>
      <c r="H78" s="1625"/>
      <c r="I78" s="1625">
        <f t="shared" si="0"/>
        <v>119.04761904761905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620"/>
      <c r="C79" s="1621" t="s">
        <v>792</v>
      </c>
      <c r="D79" s="1629"/>
      <c r="E79" s="1691"/>
      <c r="F79" s="1652"/>
      <c r="G79" s="1628">
        <v>34000</v>
      </c>
      <c r="H79" s="1625"/>
      <c r="I79" s="1625">
        <f t="shared" si="0"/>
        <v>134.92063492063491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85"/>
      <c r="C80" s="1679" t="s">
        <v>795</v>
      </c>
      <c r="D80" s="1644"/>
      <c r="E80" s="1686"/>
      <c r="F80" s="1687"/>
      <c r="G80" s="1688">
        <f>SUM(G67:G79)</f>
        <v>444160.40468749998</v>
      </c>
      <c r="H80" s="1689"/>
      <c r="I80" s="1625">
        <f t="shared" si="0"/>
        <v>1762.5412884424602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444160.40468749998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620"/>
      <c r="C81" s="1679" t="s">
        <v>796</v>
      </c>
      <c r="D81" s="1621"/>
      <c r="E81" s="1680"/>
      <c r="F81" s="1681"/>
      <c r="G81" s="1646"/>
      <c r="H81" s="1647"/>
      <c r="I81" s="1625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620"/>
      <c r="C82" s="1621" t="s">
        <v>797</v>
      </c>
      <c r="D82" s="1621"/>
      <c r="E82" s="1680"/>
      <c r="F82" s="1681"/>
      <c r="G82" s="1692">
        <v>0</v>
      </c>
      <c r="H82" s="1693"/>
      <c r="I82" s="1625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620"/>
      <c r="C83" s="1629"/>
      <c r="D83" s="1621" t="s">
        <v>968</v>
      </c>
      <c r="E83" s="1707">
        <v>4.08</v>
      </c>
      <c r="F83" s="1652">
        <v>0</v>
      </c>
      <c r="G83" s="1692"/>
      <c r="H83" s="1693"/>
      <c r="I83" s="1625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620"/>
      <c r="C84" s="1629"/>
      <c r="D84" s="1621"/>
      <c r="E84" s="1707"/>
      <c r="F84" s="1652"/>
      <c r="G84" s="1692"/>
      <c r="H84" s="1693"/>
      <c r="I84" s="1625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620"/>
      <c r="C85" s="1629"/>
      <c r="D85" s="1621"/>
      <c r="E85" s="1707"/>
      <c r="F85" s="1652"/>
      <c r="G85" s="1692"/>
      <c r="H85" s="1693"/>
      <c r="I85" s="1625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620"/>
      <c r="C86" s="1629"/>
      <c r="D86" s="1621"/>
      <c r="E86" s="1707"/>
      <c r="F86" s="1652"/>
      <c r="G86" s="1692"/>
      <c r="H86" s="1693"/>
      <c r="I86" s="1625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620"/>
      <c r="C87" s="1629"/>
      <c r="D87" s="1621"/>
      <c r="E87" s="1707"/>
      <c r="F87" s="1652"/>
      <c r="G87" s="1692"/>
      <c r="H87" s="1693"/>
      <c r="I87" s="1625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620"/>
      <c r="C88" s="1629"/>
      <c r="D88" s="1621"/>
      <c r="E88" s="1708"/>
      <c r="F88" s="1652">
        <v>0</v>
      </c>
      <c r="G88" s="1692"/>
      <c r="H88" s="1693"/>
      <c r="I88" s="1625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620"/>
      <c r="C89" s="1629"/>
      <c r="D89" s="1621"/>
      <c r="E89" s="1709">
        <v>0</v>
      </c>
      <c r="F89" s="1652">
        <v>0</v>
      </c>
      <c r="G89" s="1692"/>
      <c r="H89" s="1693"/>
      <c r="I89" s="1625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620"/>
      <c r="C90" s="1629" t="s">
        <v>413</v>
      </c>
      <c r="D90" s="1621"/>
      <c r="E90" s="1629"/>
      <c r="F90" s="1652"/>
      <c r="G90" s="1692">
        <f>SUM(F91:F96)</f>
        <v>3975786</v>
      </c>
      <c r="H90" s="1693"/>
      <c r="I90" s="1625">
        <f t="shared" si="3"/>
        <v>15776.928571428571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3975786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620"/>
      <c r="C91" s="1629"/>
      <c r="D91" s="1621" t="s">
        <v>799</v>
      </c>
      <c r="E91" s="1680"/>
      <c r="F91" s="1710">
        <v>51432</v>
      </c>
      <c r="G91" s="1692">
        <v>100000</v>
      </c>
      <c r="H91" s="1693"/>
      <c r="I91" s="1625">
        <f t="shared" si="3"/>
        <v>396.82539682539681</v>
      </c>
      <c r="J91" s="1046"/>
      <c r="K91" s="1068" t="s">
        <v>800</v>
      </c>
      <c r="L91" s="1025"/>
      <c r="M91" s="1513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620"/>
      <c r="C92" s="1629"/>
      <c r="D92" s="1621" t="s">
        <v>802</v>
      </c>
      <c r="E92" s="1680"/>
      <c r="F92" s="1711">
        <v>11500</v>
      </c>
      <c r="G92" s="1692"/>
      <c r="H92" s="1693"/>
      <c r="I92" s="1625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620"/>
      <c r="C93" s="1629"/>
      <c r="D93" s="1621" t="s">
        <v>803</v>
      </c>
      <c r="E93" s="1712"/>
      <c r="F93" s="1713">
        <v>285455</v>
      </c>
      <c r="G93" s="1692"/>
      <c r="H93" s="1693"/>
      <c r="I93" s="1625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620"/>
      <c r="C94" s="1629"/>
      <c r="D94" s="1621" t="s">
        <v>535</v>
      </c>
      <c r="E94" s="1629"/>
      <c r="F94" s="1711">
        <f>M94</f>
        <v>2970324</v>
      </c>
      <c r="G94" s="1692"/>
      <c r="H94" s="1693"/>
      <c r="I94" s="1625">
        <f t="shared" si="3"/>
        <v>0</v>
      </c>
      <c r="J94" s="1046"/>
      <c r="K94" s="1068" t="s">
        <v>800</v>
      </c>
      <c r="L94" s="1025"/>
      <c r="M94" s="1513">
        <f>11787*F9</f>
        <v>2970324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620"/>
      <c r="C95" s="1629"/>
      <c r="D95" s="1621" t="s">
        <v>804</v>
      </c>
      <c r="E95" s="1708">
        <v>2600</v>
      </c>
      <c r="F95" s="1713">
        <f>E95*F9</f>
        <v>655200</v>
      </c>
      <c r="G95" s="1692"/>
      <c r="H95" s="1693"/>
      <c r="I95" s="1625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620"/>
      <c r="C96" s="1629"/>
      <c r="D96" s="1621" t="s">
        <v>805</v>
      </c>
      <c r="E96" s="1669">
        <v>0</v>
      </c>
      <c r="F96" s="1713">
        <v>1875</v>
      </c>
      <c r="G96" s="1692"/>
      <c r="H96" s="1693"/>
      <c r="I96" s="1625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85"/>
      <c r="C97" s="1679" t="s">
        <v>806</v>
      </c>
      <c r="D97" s="1644"/>
      <c r="E97" s="1686"/>
      <c r="F97" s="1687"/>
      <c r="G97" s="1688">
        <f>SUM(G82:G96)</f>
        <v>4075786</v>
      </c>
      <c r="H97" s="1689"/>
      <c r="I97" s="1625">
        <f t="shared" si="3"/>
        <v>16173.753968253968</v>
      </c>
      <c r="J97" s="1048"/>
      <c r="K97" s="1080">
        <f>I97/I250</f>
        <v>3.0807150415721844E-2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4075786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620"/>
      <c r="C98" s="1679" t="s">
        <v>807</v>
      </c>
      <c r="D98" s="1621"/>
      <c r="E98" s="1680"/>
      <c r="F98" s="1681"/>
      <c r="G98" s="1692"/>
      <c r="H98" s="1693"/>
      <c r="I98" s="1625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620"/>
      <c r="C99" s="1621" t="s">
        <v>808</v>
      </c>
      <c r="D99" s="1621"/>
      <c r="E99" s="1680"/>
      <c r="F99" s="1681"/>
      <c r="G99" s="1692">
        <f>SUM(F100:F101)</f>
        <v>0</v>
      </c>
      <c r="H99" s="1693"/>
      <c r="I99" s="1625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620"/>
      <c r="C100" s="1629"/>
      <c r="D100" s="1621" t="s">
        <v>809</v>
      </c>
      <c r="E100" s="1696"/>
      <c r="F100" s="1654">
        <v>0</v>
      </c>
      <c r="G100" s="1692"/>
      <c r="H100" s="1693"/>
      <c r="I100" s="1625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620"/>
      <c r="C101" s="1629"/>
      <c r="D101" s="1621" t="s">
        <v>810</v>
      </c>
      <c r="E101" s="1629"/>
      <c r="F101" s="1654">
        <v>0</v>
      </c>
      <c r="G101" s="1692"/>
      <c r="H101" s="1693"/>
      <c r="I101" s="1625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620"/>
      <c r="C102" s="1629" t="s">
        <v>812</v>
      </c>
      <c r="D102" s="1621"/>
      <c r="E102" s="1629"/>
      <c r="F102" s="1652"/>
      <c r="G102" s="1692">
        <f>SUM(F103:F105)</f>
        <v>367142.69850430451</v>
      </c>
      <c r="H102" s="1693"/>
      <c r="I102" s="1625">
        <f t="shared" si="3"/>
        <v>1456.9154702551766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367142.69850430451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620"/>
      <c r="C103" s="1629"/>
      <c r="D103" s="1621" t="s">
        <v>809</v>
      </c>
      <c r="E103" s="1714">
        <v>0.05</v>
      </c>
      <c r="F103" s="1652">
        <f>E103*N103</f>
        <v>352142.69850430451</v>
      </c>
      <c r="G103" s="1692"/>
      <c r="H103" s="1693"/>
      <c r="I103" s="1625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7040009.2003253093</v>
      </c>
      <c r="N103" s="1085">
        <v>7042853.9700860903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620"/>
      <c r="C104" s="1629"/>
      <c r="D104" s="1621" t="s">
        <v>816</v>
      </c>
      <c r="E104" s="1629"/>
      <c r="F104" s="1652"/>
      <c r="G104" s="1692"/>
      <c r="H104" s="1693"/>
      <c r="I104" s="1625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620"/>
      <c r="C105" s="1629"/>
      <c r="D105" s="1621" t="s">
        <v>817</v>
      </c>
      <c r="E105" s="1629"/>
      <c r="F105" s="1652">
        <v>15000</v>
      </c>
      <c r="G105" s="1692"/>
      <c r="H105" s="1693"/>
      <c r="I105" s="1625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620"/>
      <c r="C106" s="1629" t="s">
        <v>818</v>
      </c>
      <c r="D106" s="1621"/>
      <c r="E106" s="1629"/>
      <c r="F106" s="1652"/>
      <c r="G106" s="1692">
        <f>SUM(F107:F109)</f>
        <v>0</v>
      </c>
      <c r="H106" s="1693"/>
      <c r="I106" s="1625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620"/>
      <c r="C107" s="1629"/>
      <c r="D107" s="1621" t="s">
        <v>809</v>
      </c>
      <c r="E107" s="1629"/>
      <c r="F107" s="1652">
        <f>N107</f>
        <v>0</v>
      </c>
      <c r="G107" s="1692"/>
      <c r="H107" s="1693"/>
      <c r="I107" s="1625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620"/>
      <c r="C108" s="1629"/>
      <c r="D108" s="1621" t="s">
        <v>816</v>
      </c>
      <c r="E108" s="1629"/>
      <c r="F108" s="1652">
        <f>N108</f>
        <v>0</v>
      </c>
      <c r="G108" s="1692"/>
      <c r="H108" s="1693"/>
      <c r="I108" s="1625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620"/>
      <c r="C109" s="1629"/>
      <c r="D109" s="1621" t="s">
        <v>817</v>
      </c>
      <c r="E109" s="1629"/>
      <c r="F109" s="1652"/>
      <c r="G109" s="1692"/>
      <c r="H109" s="1693"/>
      <c r="I109" s="1625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620"/>
      <c r="C110" s="1629" t="s">
        <v>819</v>
      </c>
      <c r="D110" s="1621"/>
      <c r="E110" s="1629"/>
      <c r="F110" s="1652"/>
      <c r="G110" s="1692">
        <f>SUM(F111:F113)</f>
        <v>0</v>
      </c>
      <c r="H110" s="1693"/>
      <c r="I110" s="1625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620"/>
      <c r="C111" s="1629"/>
      <c r="D111" s="1621" t="s">
        <v>809</v>
      </c>
      <c r="E111" s="1629"/>
      <c r="F111" s="1652">
        <f>N111</f>
        <v>0</v>
      </c>
      <c r="G111" s="1692"/>
      <c r="H111" s="1693"/>
      <c r="I111" s="1625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620"/>
      <c r="C112" s="1629"/>
      <c r="D112" s="1621" t="s">
        <v>816</v>
      </c>
      <c r="E112" s="1629"/>
      <c r="F112" s="1652">
        <f>N112</f>
        <v>0</v>
      </c>
      <c r="G112" s="1692"/>
      <c r="H112" s="1693"/>
      <c r="I112" s="1625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620"/>
      <c r="C113" s="1629"/>
      <c r="D113" s="1621" t="s">
        <v>817</v>
      </c>
      <c r="E113" s="1629"/>
      <c r="F113" s="1652"/>
      <c r="G113" s="1692"/>
      <c r="H113" s="1693"/>
      <c r="I113" s="1625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85"/>
      <c r="C114" s="1679" t="s">
        <v>820</v>
      </c>
      <c r="D114" s="1644"/>
      <c r="E114" s="1697"/>
      <c r="F114" s="1703"/>
      <c r="G114" s="1688">
        <f>SUM(G99:G110)</f>
        <v>367142.69850430451</v>
      </c>
      <c r="H114" s="1689"/>
      <c r="I114" s="1625">
        <f t="shared" si="3"/>
        <v>1456.9154702551766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367142.69850430451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620"/>
      <c r="C115" s="1644" t="s">
        <v>821</v>
      </c>
      <c r="D115" s="1621"/>
      <c r="E115" s="1691"/>
      <c r="F115" s="1652"/>
      <c r="G115" s="1646"/>
      <c r="H115" s="1647"/>
      <c r="I115" s="1625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620"/>
      <c r="C116" s="1715" t="s">
        <v>108</v>
      </c>
      <c r="D116" s="1715"/>
      <c r="E116" s="1716"/>
      <c r="F116" s="1717"/>
      <c r="G116" s="1718">
        <f>N116</f>
        <v>7195256.5751076061</v>
      </c>
      <c r="H116" s="1719"/>
      <c r="I116" s="1625">
        <f t="shared" si="3"/>
        <v>28552.605456776215</v>
      </c>
      <c r="J116" s="1088"/>
      <c r="K116" s="1089" t="s">
        <v>822</v>
      </c>
      <c r="L116" s="1039"/>
      <c r="M116" s="1090">
        <f>0.5*Data!C20*Data!C17/12*Data!C19</f>
        <v>6062647.5000000009</v>
      </c>
      <c r="N116" s="1091">
        <v>7195256.5751076061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7195256.5751076061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620"/>
      <c r="C117" s="1621" t="s">
        <v>823</v>
      </c>
      <c r="D117" s="1621"/>
      <c r="E117" s="1691"/>
      <c r="F117" s="1652"/>
      <c r="G117" s="1720">
        <f>N117</f>
        <v>1020603.7695188092</v>
      </c>
      <c r="H117" s="1721"/>
      <c r="I117" s="1625">
        <f t="shared" si="3"/>
        <v>4050.0149584079727</v>
      </c>
      <c r="J117" s="1003"/>
      <c r="K117" s="1093" t="s">
        <v>824</v>
      </c>
      <c r="L117" s="1094"/>
      <c r="M117" s="1095">
        <f>0.01*Data!C20</f>
        <v>859950</v>
      </c>
      <c r="N117" s="1085">
        <v>1020603.7695188092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1020603.7695188092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620"/>
      <c r="C118" s="1621" t="s">
        <v>825</v>
      </c>
      <c r="D118" s="1621"/>
      <c r="E118" s="1691"/>
      <c r="F118" s="1652"/>
      <c r="G118" s="1720"/>
      <c r="H118" s="1721"/>
      <c r="I118" s="1625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620"/>
      <c r="C119" s="1621" t="s">
        <v>828</v>
      </c>
      <c r="D119" s="1621"/>
      <c r="E119" s="1691"/>
      <c r="F119" s="1652"/>
      <c r="G119" s="1720"/>
      <c r="H119" s="1721"/>
      <c r="I119" s="1625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620"/>
      <c r="C120" s="1621" t="s">
        <v>829</v>
      </c>
      <c r="D120" s="1621"/>
      <c r="E120" s="1722">
        <f>'Tax Calc'!E3</f>
        <v>1.199398E-2</v>
      </c>
      <c r="F120" s="1657"/>
      <c r="G120" s="1646">
        <f>'Tax Calc'!C15</f>
        <v>491153.48100000003</v>
      </c>
      <c r="H120" s="1647"/>
      <c r="I120" s="1625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491153.48100000003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620"/>
      <c r="C121" s="1621" t="s">
        <v>407</v>
      </c>
      <c r="D121" s="1621"/>
      <c r="E121" s="1723"/>
      <c r="F121" s="1652"/>
      <c r="G121" s="1695">
        <f>SUM(F122:F124)</f>
        <v>1376496.634104281</v>
      </c>
      <c r="H121" s="1696"/>
      <c r="I121" s="1625">
        <f t="shared" si="3"/>
        <v>5462.2882305725434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1376496.634104281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620"/>
      <c r="C122" s="1621"/>
      <c r="D122" s="1621" t="s">
        <v>830</v>
      </c>
      <c r="E122" s="1629"/>
      <c r="F122" s="1652">
        <v>0</v>
      </c>
      <c r="G122" s="1692"/>
      <c r="H122" s="1693"/>
      <c r="I122" s="1625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620"/>
      <c r="C123" s="1621"/>
      <c r="D123" s="1621" t="s">
        <v>831</v>
      </c>
      <c r="E123" s="1724"/>
      <c r="F123" s="1725">
        <f>'Insurance Estimator'!E19*1.35</f>
        <v>1376496.634104281</v>
      </c>
      <c r="G123" s="1692"/>
      <c r="H123" s="1693"/>
      <c r="I123" s="1625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620"/>
      <c r="C124" s="1621"/>
      <c r="D124" s="1621" t="s">
        <v>833</v>
      </c>
      <c r="E124" s="1691"/>
      <c r="F124" s="1652">
        <v>0</v>
      </c>
      <c r="G124" s="1692"/>
      <c r="H124" s="1693"/>
      <c r="I124" s="1625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620"/>
      <c r="C125" s="1621" t="s">
        <v>834</v>
      </c>
      <c r="D125" s="1621"/>
      <c r="E125" s="1691"/>
      <c r="F125" s="1652"/>
      <c r="G125" s="1692">
        <f>SUM(F126:F127)</f>
        <v>163090.56542782139</v>
      </c>
      <c r="H125" s="1693"/>
      <c r="I125" s="1625">
        <f t="shared" si="3"/>
        <v>647.18478344373568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163090.56542782139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620"/>
      <c r="C126" s="1621"/>
      <c r="D126" s="1621" t="s">
        <v>835</v>
      </c>
      <c r="E126" s="1724">
        <v>1.5E-3</v>
      </c>
      <c r="F126" s="1652">
        <f>N126</f>
        <v>153090.56542782139</v>
      </c>
      <c r="G126" s="1692"/>
      <c r="H126" s="1693"/>
      <c r="I126" s="1625">
        <f t="shared" si="3"/>
        <v>0</v>
      </c>
      <c r="J126" s="1046"/>
      <c r="K126" s="1049"/>
      <c r="L126" s="1015"/>
      <c r="M126" s="1095">
        <f>+E126*Data!C20</f>
        <v>128992.5</v>
      </c>
      <c r="N126" s="1085">
        <v>153090.56542782139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620"/>
      <c r="C127" s="1621"/>
      <c r="D127" s="1621" t="s">
        <v>836</v>
      </c>
      <c r="E127" s="1691"/>
      <c r="F127" s="1652">
        <v>10000</v>
      </c>
      <c r="G127" s="1692"/>
      <c r="H127" s="1693"/>
      <c r="I127" s="1625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620"/>
      <c r="C128" s="1621" t="s">
        <v>837</v>
      </c>
      <c r="D128" s="1621"/>
      <c r="E128" s="1691"/>
      <c r="F128" s="1652"/>
      <c r="G128" s="1692">
        <f>SUM(F129:F131)</f>
        <v>15400</v>
      </c>
      <c r="H128" s="1693"/>
      <c r="I128" s="1625">
        <f t="shared" si="3"/>
        <v>61.111111111111114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620"/>
      <c r="C129" s="1621"/>
      <c r="D129" s="1621" t="s">
        <v>838</v>
      </c>
      <c r="E129" s="1691"/>
      <c r="F129" s="1652">
        <v>10000</v>
      </c>
      <c r="G129" s="1692"/>
      <c r="H129" s="1693"/>
      <c r="I129" s="1625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620"/>
      <c r="C130" s="1621"/>
      <c r="D130" s="1621" t="s">
        <v>839</v>
      </c>
      <c r="E130" s="1629">
        <v>600</v>
      </c>
      <c r="F130" s="1652">
        <v>2400</v>
      </c>
      <c r="G130" s="1692"/>
      <c r="H130" s="1693"/>
      <c r="I130" s="1625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620"/>
      <c r="C131" s="1621"/>
      <c r="D131" s="1621" t="s">
        <v>840</v>
      </c>
      <c r="E131" s="1691"/>
      <c r="F131" s="1652">
        <v>3000</v>
      </c>
      <c r="G131" s="1692"/>
      <c r="H131" s="1693"/>
      <c r="I131" s="1625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620"/>
      <c r="C132" s="1715" t="s">
        <v>841</v>
      </c>
      <c r="D132" s="1715"/>
      <c r="E132" s="1726" t="s">
        <v>842</v>
      </c>
      <c r="F132" s="1727">
        <v>0</v>
      </c>
      <c r="G132" s="1728"/>
      <c r="H132" s="1729"/>
      <c r="I132" s="1625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620"/>
      <c r="C133" s="1620"/>
      <c r="D133" s="1620"/>
      <c r="E133" s="1730"/>
      <c r="F133" s="1731"/>
      <c r="G133" s="1732"/>
      <c r="H133" s="1620"/>
      <c r="I133" s="1625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620"/>
      <c r="C134" s="1629"/>
      <c r="D134" s="1629"/>
      <c r="E134" s="1733"/>
      <c r="F134" s="1731"/>
      <c r="G134" s="1734"/>
      <c r="H134" s="1629"/>
      <c r="I134" s="1625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620"/>
      <c r="C135" s="1629"/>
      <c r="D135" s="1629"/>
      <c r="E135" s="1629"/>
      <c r="F135" s="1731"/>
      <c r="G135" s="1734"/>
      <c r="H135" s="1629"/>
      <c r="I135" s="1625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620"/>
      <c r="C136" s="1629"/>
      <c r="D136" s="1629"/>
      <c r="E136" s="1733"/>
      <c r="F136" s="1731"/>
      <c r="G136" s="1734"/>
      <c r="H136" s="1629"/>
      <c r="I136" s="1625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620"/>
      <c r="C137" s="1629"/>
      <c r="D137" s="1629"/>
      <c r="E137" s="1629"/>
      <c r="F137" s="1731"/>
      <c r="G137" s="1734"/>
      <c r="H137" s="1629"/>
      <c r="I137" s="1625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620"/>
      <c r="C138" s="1629"/>
      <c r="D138" s="1629"/>
      <c r="E138" s="1629"/>
      <c r="F138" s="1731"/>
      <c r="G138" s="1734"/>
      <c r="H138" s="1629"/>
      <c r="I138" s="1625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620"/>
      <c r="C139" s="1629"/>
      <c r="D139" s="1629"/>
      <c r="E139" s="1629"/>
      <c r="F139" s="1731"/>
      <c r="G139" s="1734"/>
      <c r="H139" s="1629"/>
      <c r="I139" s="1625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620"/>
      <c r="C140" s="1629"/>
      <c r="D140" s="1629"/>
      <c r="E140" s="1629"/>
      <c r="F140" s="1731"/>
      <c r="G140" s="1734"/>
      <c r="H140" s="1629"/>
      <c r="I140" s="1625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620"/>
      <c r="C141" s="1629"/>
      <c r="D141" s="1629"/>
      <c r="E141" s="1629"/>
      <c r="F141" s="1731"/>
      <c r="G141" s="1734"/>
      <c r="H141" s="1629"/>
      <c r="I141" s="1625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620"/>
      <c r="C142" s="1629"/>
      <c r="D142" s="1629"/>
      <c r="E142" s="1629"/>
      <c r="F142" s="1731"/>
      <c r="G142" s="1734"/>
      <c r="H142" s="1629"/>
      <c r="I142" s="1625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620"/>
      <c r="C143" s="1629"/>
      <c r="D143" s="1629"/>
      <c r="E143" s="1629"/>
      <c r="F143" s="1731"/>
      <c r="G143" s="1734"/>
      <c r="H143" s="1629"/>
      <c r="I143" s="1625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620"/>
      <c r="C144" s="1629"/>
      <c r="D144" s="1629"/>
      <c r="E144" s="1629"/>
      <c r="F144" s="1731"/>
      <c r="G144" s="1734"/>
      <c r="H144" s="1629"/>
      <c r="I144" s="1625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620"/>
      <c r="C145" s="1629"/>
      <c r="D145" s="1629"/>
      <c r="E145" s="1629"/>
      <c r="F145" s="1731"/>
      <c r="G145" s="1734"/>
      <c r="H145" s="1629"/>
      <c r="I145" s="1625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620"/>
      <c r="C146" s="1629"/>
      <c r="D146" s="1629"/>
      <c r="E146" s="1733"/>
      <c r="F146" s="1731"/>
      <c r="G146" s="1734"/>
      <c r="H146" s="1629"/>
      <c r="I146" s="1625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620"/>
      <c r="C147" s="1629"/>
      <c r="D147" s="1629"/>
      <c r="E147" s="1629"/>
      <c r="F147" s="1731"/>
      <c r="G147" s="1734"/>
      <c r="H147" s="1629"/>
      <c r="I147" s="1625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85"/>
      <c r="C148" s="1679" t="s">
        <v>860</v>
      </c>
      <c r="D148" s="1644"/>
      <c r="E148" s="1697"/>
      <c r="F148" s="1698"/>
      <c r="G148" s="1699">
        <f>SUM(G116:G147)</f>
        <v>10262001.025158519</v>
      </c>
      <c r="H148" s="1700"/>
      <c r="I148" s="1625">
        <f t="shared" si="6"/>
        <v>40722.226290311584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10262001.025158519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85"/>
      <c r="C149" s="1644" t="s">
        <v>996</v>
      </c>
      <c r="D149" s="1621"/>
      <c r="E149" s="1691"/>
      <c r="F149" s="1652"/>
      <c r="G149" s="1692"/>
      <c r="H149" s="1693"/>
      <c r="I149" s="1625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85"/>
      <c r="C150" s="1621"/>
      <c r="D150" s="1621"/>
      <c r="E150" s="1691"/>
      <c r="F150" s="1652"/>
      <c r="G150" s="1692">
        <f>N150</f>
        <v>0</v>
      </c>
      <c r="H150" s="1693"/>
      <c r="I150" s="1625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85"/>
      <c r="C151" s="1621" t="s">
        <v>861</v>
      </c>
      <c r="D151" s="1621"/>
      <c r="E151" s="1680"/>
      <c r="F151" s="1652"/>
      <c r="G151" s="1692">
        <f>N151</f>
        <v>938209.79264422215</v>
      </c>
      <c r="H151" s="1684"/>
      <c r="I151" s="1625">
        <f t="shared" ref="I151:I158" si="7">G151/$F$9</f>
        <v>3723.0547327151671</v>
      </c>
      <c r="J151" s="1046"/>
      <c r="K151" s="1136" t="s">
        <v>862</v>
      </c>
      <c r="L151" s="1137"/>
      <c r="M151" s="1400">
        <f>Data!C31*Data!C30</f>
        <v>938614.27901976369</v>
      </c>
      <c r="N151" s="1188">
        <v>938209.79264422215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85"/>
      <c r="C152" s="1621" t="s">
        <v>863</v>
      </c>
      <c r="D152" s="1621"/>
      <c r="E152" s="1691"/>
      <c r="F152" s="1652"/>
      <c r="G152" s="1692">
        <f>SUM(F153:F154)</f>
        <v>0</v>
      </c>
      <c r="H152" s="1693"/>
      <c r="I152" s="1625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85"/>
      <c r="C153" s="1621"/>
      <c r="D153" s="1621" t="s">
        <v>835</v>
      </c>
      <c r="E153" s="1691"/>
      <c r="F153" s="1652">
        <v>0</v>
      </c>
      <c r="G153" s="1692"/>
      <c r="H153" s="1693"/>
      <c r="I153" s="1625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85"/>
      <c r="C154" s="1621"/>
      <c r="D154" s="1621" t="s">
        <v>836</v>
      </c>
      <c r="E154" s="1691"/>
      <c r="F154" s="1652">
        <v>0</v>
      </c>
      <c r="G154" s="1692"/>
      <c r="H154" s="1693"/>
      <c r="I154" s="1625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85"/>
      <c r="C155" s="1621" t="s">
        <v>204</v>
      </c>
      <c r="D155" s="1621"/>
      <c r="E155" s="1691"/>
      <c r="F155" s="1652"/>
      <c r="G155" s="1692">
        <f>SUM(F156:F158)</f>
        <v>0</v>
      </c>
      <c r="H155" s="1693"/>
      <c r="I155" s="1625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85"/>
      <c r="C156" s="1621"/>
      <c r="D156" s="1621" t="s">
        <v>864</v>
      </c>
      <c r="E156" s="1735">
        <v>0</v>
      </c>
      <c r="F156" s="1713"/>
      <c r="G156" s="1692"/>
      <c r="H156" s="1693"/>
      <c r="I156" s="1625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85"/>
      <c r="C157" s="1621"/>
      <c r="D157" s="1621" t="s">
        <v>865</v>
      </c>
      <c r="E157" s="1736"/>
      <c r="F157" s="1713"/>
      <c r="G157" s="1692"/>
      <c r="H157" s="1693"/>
      <c r="I157" s="1625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85"/>
      <c r="C158" s="1621"/>
      <c r="D158" s="1621" t="s">
        <v>865</v>
      </c>
      <c r="E158" s="1691"/>
      <c r="F158" s="1652"/>
      <c r="G158" s="1692"/>
      <c r="H158" s="1693"/>
      <c r="I158" s="1625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85"/>
      <c r="C159" s="1679" t="s">
        <v>866</v>
      </c>
      <c r="D159" s="1621"/>
      <c r="E159" s="1691"/>
      <c r="F159" s="1652"/>
      <c r="G159" s="1692"/>
      <c r="H159" s="1693"/>
      <c r="I159" s="1625"/>
      <c r="J159" s="1046"/>
      <c r="K159" s="1054"/>
      <c r="L159" s="1001"/>
      <c r="M159" s="1358" t="s">
        <v>1036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620"/>
      <c r="C160" s="1644" t="s">
        <v>965</v>
      </c>
      <c r="D160" s="1621"/>
      <c r="E160" s="1691"/>
      <c r="F160" s="1652"/>
      <c r="G160" s="1692"/>
      <c r="H160" s="1693"/>
      <c r="I160" s="1625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620"/>
      <c r="C161" s="1621" t="s">
        <v>962</v>
      </c>
      <c r="D161" s="1621"/>
      <c r="E161" s="1691"/>
      <c r="F161" s="1652"/>
      <c r="G161" s="1692">
        <f>N161</f>
        <v>0</v>
      </c>
      <c r="H161" s="1693"/>
      <c r="I161" s="1625"/>
      <c r="J161" s="1046"/>
      <c r="K161" s="1054"/>
      <c r="L161" s="1001"/>
      <c r="M161" s="1186">
        <f>37500+(Data!C38*0.0005)</f>
        <v>91059.686861470691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620"/>
      <c r="C162" s="1621" t="s">
        <v>861</v>
      </c>
      <c r="D162" s="1621"/>
      <c r="E162" s="1680"/>
      <c r="F162" s="1652"/>
      <c r="G162" s="1692">
        <f>N162</f>
        <v>0</v>
      </c>
      <c r="H162" s="1684"/>
      <c r="I162" s="1625">
        <f t="shared" si="6"/>
        <v>0</v>
      </c>
      <c r="J162" s="1046"/>
      <c r="K162" s="1136" t="s">
        <v>862</v>
      </c>
      <c r="L162" s="1137"/>
      <c r="M162" s="1186">
        <f>Data!C38*Data!C39</f>
        <v>1071193.7372294138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620"/>
      <c r="C163" s="1621" t="s">
        <v>863</v>
      </c>
      <c r="D163" s="1621"/>
      <c r="E163" s="1691"/>
      <c r="F163" s="1652"/>
      <c r="G163" s="1692">
        <f>SUM(F164:F165)</f>
        <v>0</v>
      </c>
      <c r="H163" s="1693"/>
      <c r="I163" s="1625">
        <f t="shared" si="6"/>
        <v>0</v>
      </c>
      <c r="J163" s="1046"/>
      <c r="K163" s="1049"/>
      <c r="L163" s="1015"/>
      <c r="M163" s="1400">
        <f>0.015*Data!C38*2</f>
        <v>3213581.211688241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620"/>
      <c r="C164" s="1621"/>
      <c r="D164" s="1621" t="s">
        <v>835</v>
      </c>
      <c r="E164" s="1691"/>
      <c r="F164" s="1652">
        <v>0</v>
      </c>
      <c r="G164" s="1692"/>
      <c r="H164" s="1693"/>
      <c r="I164" s="1625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620"/>
      <c r="C165" s="1621"/>
      <c r="D165" s="1621" t="s">
        <v>836</v>
      </c>
      <c r="E165" s="1691"/>
      <c r="F165" s="1652">
        <v>0</v>
      </c>
      <c r="G165" s="1692"/>
      <c r="H165" s="1693"/>
      <c r="I165" s="1625">
        <f t="shared" si="6"/>
        <v>0</v>
      </c>
      <c r="J165" s="1046"/>
      <c r="K165" s="1054"/>
      <c r="L165" s="1001"/>
      <c r="M165" s="1358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620"/>
      <c r="C166" s="1621" t="s">
        <v>204</v>
      </c>
      <c r="D166" s="1621"/>
      <c r="E166" s="1691"/>
      <c r="F166" s="1652"/>
      <c r="G166" s="1692">
        <f>SUM(F167:F169)</f>
        <v>0</v>
      </c>
      <c r="H166" s="1693"/>
      <c r="I166" s="1625">
        <f t="shared" si="6"/>
        <v>0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620"/>
      <c r="C167" s="1621"/>
      <c r="D167" s="1621" t="s">
        <v>1089</v>
      </c>
      <c r="E167" s="1735"/>
      <c r="F167" s="1713">
        <f>N163</f>
        <v>0</v>
      </c>
      <c r="G167" s="1692"/>
      <c r="H167" s="1693"/>
      <c r="I167" s="1625">
        <f t="shared" si="6"/>
        <v>0</v>
      </c>
      <c r="J167" s="1046"/>
      <c r="K167" s="1054"/>
      <c r="L167" s="1001"/>
      <c r="M167" s="1090">
        <f>Data!C20*24*(Data!C33/12)</f>
        <v>7739550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620"/>
      <c r="C168" s="1621"/>
      <c r="D168" s="1621" t="s">
        <v>865</v>
      </c>
      <c r="E168" s="1736"/>
      <c r="F168" s="1713"/>
      <c r="G168" s="1692"/>
      <c r="H168" s="1693"/>
      <c r="I168" s="1625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620"/>
      <c r="C169" s="1621"/>
      <c r="D169" s="1621" t="s">
        <v>865</v>
      </c>
      <c r="E169" s="1691"/>
      <c r="F169" s="1652"/>
      <c r="G169" s="1692"/>
      <c r="H169" s="1693"/>
      <c r="I169" s="1625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85"/>
      <c r="C170" s="1679" t="s">
        <v>866</v>
      </c>
      <c r="D170" s="1644"/>
      <c r="E170" s="1697"/>
      <c r="F170" s="1698"/>
      <c r="G170" s="1699">
        <f>SUM(G162:G166)</f>
        <v>0</v>
      </c>
      <c r="H170" s="1700"/>
      <c r="I170" s="1625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620"/>
      <c r="C171" s="1644" t="s">
        <v>118</v>
      </c>
      <c r="D171" s="1621"/>
      <c r="E171" s="1691"/>
      <c r="F171" s="1652"/>
      <c r="G171" s="1692"/>
      <c r="H171" s="1693"/>
      <c r="I171" s="1625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620"/>
      <c r="C172" s="1621" t="s">
        <v>867</v>
      </c>
      <c r="D172" s="1621"/>
      <c r="E172" s="1691"/>
      <c r="F172" s="1652"/>
      <c r="G172" s="1692">
        <v>60000</v>
      </c>
      <c r="H172" s="1693"/>
      <c r="I172" s="1625">
        <f t="shared" si="6"/>
        <v>238.0952380952381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620"/>
      <c r="C173" s="1621" t="s">
        <v>868</v>
      </c>
      <c r="D173" s="1621"/>
      <c r="E173" s="1691"/>
      <c r="F173" s="1652"/>
      <c r="G173" s="1692">
        <f>SUM(F174:F175)</f>
        <v>50000</v>
      </c>
      <c r="H173" s="1693"/>
      <c r="I173" s="1625">
        <f t="shared" si="6"/>
        <v>198.4126984126984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620"/>
      <c r="C174" s="1621"/>
      <c r="D174" s="1621" t="s">
        <v>869</v>
      </c>
      <c r="E174" s="1691"/>
      <c r="F174" s="1725">
        <v>50000</v>
      </c>
      <c r="G174" s="1737"/>
      <c r="H174" s="1723"/>
      <c r="I174" s="1625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620"/>
      <c r="C175" s="1621"/>
      <c r="D175" s="1621" t="s">
        <v>204</v>
      </c>
      <c r="E175" s="1691"/>
      <c r="F175" s="1652">
        <v>0</v>
      </c>
      <c r="G175" s="1692"/>
      <c r="H175" s="1693"/>
      <c r="I175" s="1625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85"/>
      <c r="C176" s="1679" t="s">
        <v>871</v>
      </c>
      <c r="D176" s="1644"/>
      <c r="E176" s="1697"/>
      <c r="F176" s="1698"/>
      <c r="G176" s="1699">
        <f>SUM(G172:G173)</f>
        <v>110000</v>
      </c>
      <c r="H176" s="1700"/>
      <c r="I176" s="1625">
        <f t="shared" si="6"/>
        <v>436.50793650793651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620"/>
      <c r="C177" s="1644" t="s">
        <v>124</v>
      </c>
      <c r="D177" s="1621"/>
      <c r="E177" s="1691"/>
      <c r="F177" s="1652"/>
      <c r="G177" s="1692"/>
      <c r="H177" s="1693"/>
      <c r="I177" s="1625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620"/>
      <c r="C178" s="1621" t="s">
        <v>872</v>
      </c>
      <c r="D178" s="1621"/>
      <c r="E178" s="1626">
        <v>3</v>
      </c>
      <c r="F178" s="1652"/>
      <c r="G178" s="1683">
        <f>E178*(-'Cash Flow'!E18/12)-'Cash Flow'!E22</f>
        <v>6893905.5314799119</v>
      </c>
      <c r="H178" s="1684"/>
      <c r="I178" s="1625">
        <f t="shared" si="6"/>
        <v>27356.767982063142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6893905.5314799119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620"/>
      <c r="C179" s="1715" t="s">
        <v>874</v>
      </c>
      <c r="D179" s="1715"/>
      <c r="E179" s="1716"/>
      <c r="F179" s="1738" t="s">
        <v>875</v>
      </c>
      <c r="G179" s="1728" t="b">
        <v>0</v>
      </c>
      <c r="H179" s="1729"/>
      <c r="I179" s="1625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620"/>
      <c r="C180" s="1715" t="s">
        <v>253</v>
      </c>
      <c r="D180" s="1715"/>
      <c r="E180" s="1691"/>
      <c r="F180" s="1652"/>
      <c r="G180" s="1728">
        <v>0</v>
      </c>
      <c r="H180" s="1693"/>
      <c r="I180" s="1625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85"/>
      <c r="C181" s="1679" t="s">
        <v>878</v>
      </c>
      <c r="D181" s="1644"/>
      <c r="E181" s="1697"/>
      <c r="F181" s="1698"/>
      <c r="G181" s="1699">
        <f>SUM(G178:G180)</f>
        <v>6893905.5314799119</v>
      </c>
      <c r="H181" s="1700"/>
      <c r="I181" s="1625">
        <f t="shared" si="6"/>
        <v>27356.767982063142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6893905.5314799119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620"/>
      <c r="C182" s="1644" t="s">
        <v>409</v>
      </c>
      <c r="D182" s="1621"/>
      <c r="E182" s="1691"/>
      <c r="F182" s="1652"/>
      <c r="G182" s="1692"/>
      <c r="H182" s="1693"/>
      <c r="I182" s="1625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620"/>
      <c r="C183" s="1621" t="s">
        <v>879</v>
      </c>
      <c r="D183" s="1621"/>
      <c r="E183" s="1691"/>
      <c r="F183" s="1652"/>
      <c r="G183" s="1692">
        <f>SUM(F184:F185)</f>
        <v>13000</v>
      </c>
      <c r="H183" s="1693"/>
      <c r="I183" s="1625">
        <f t="shared" si="6"/>
        <v>51.587301587301589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620"/>
      <c r="C184" s="1682"/>
      <c r="D184" s="1621" t="s">
        <v>15</v>
      </c>
      <c r="E184" s="1691"/>
      <c r="F184" s="1652">
        <v>8000</v>
      </c>
      <c r="G184" s="1692"/>
      <c r="H184" s="1693"/>
      <c r="I184" s="1625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620"/>
      <c r="C185" s="1682"/>
      <c r="D185" s="1621" t="s">
        <v>880</v>
      </c>
      <c r="E185" s="1691"/>
      <c r="F185" s="1652">
        <v>5000</v>
      </c>
      <c r="G185" s="1692"/>
      <c r="H185" s="1693"/>
      <c r="I185" s="1625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620"/>
      <c r="C186" s="1621" t="s">
        <v>137</v>
      </c>
      <c r="D186" s="1621"/>
      <c r="E186" s="1691"/>
      <c r="F186" s="1652"/>
      <c r="G186" s="1692">
        <v>12000</v>
      </c>
      <c r="H186" s="1693"/>
      <c r="I186" s="1625">
        <f t="shared" si="6"/>
        <v>47.61904761904762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620"/>
      <c r="C187" s="1621" t="s">
        <v>881</v>
      </c>
      <c r="D187" s="1621"/>
      <c r="E187" s="1629"/>
      <c r="F187" s="1652"/>
      <c r="G187" s="1692">
        <v>0</v>
      </c>
      <c r="H187" s="1693"/>
      <c r="I187" s="1625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620"/>
      <c r="C188" s="1621" t="s">
        <v>882</v>
      </c>
      <c r="D188" s="1621"/>
      <c r="E188" s="1629"/>
      <c r="F188" s="1652"/>
      <c r="G188" s="1692">
        <v>0</v>
      </c>
      <c r="H188" s="1693"/>
      <c r="I188" s="1625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85"/>
      <c r="C189" s="1679" t="s">
        <v>883</v>
      </c>
      <c r="D189" s="1644"/>
      <c r="E189" s="1697"/>
      <c r="F189" s="1698"/>
      <c r="G189" s="1699">
        <f>SUM(G183:G188)</f>
        <v>25000</v>
      </c>
      <c r="H189" s="1700"/>
      <c r="I189" s="1625">
        <f t="shared" si="6"/>
        <v>99.206349206349202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620"/>
      <c r="C190" s="1644" t="s">
        <v>410</v>
      </c>
      <c r="D190" s="1621"/>
      <c r="E190" s="1629"/>
      <c r="F190" s="1652"/>
      <c r="G190" s="1692"/>
      <c r="H190" s="1693"/>
      <c r="I190" s="1625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620"/>
      <c r="C191" s="1739" t="s">
        <v>884</v>
      </c>
      <c r="D191" s="1621"/>
      <c r="E191" s="1626"/>
      <c r="F191" s="1652"/>
      <c r="G191" s="1683">
        <f>N191</f>
        <v>0</v>
      </c>
      <c r="H191" s="1684"/>
      <c r="I191" s="1625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620"/>
      <c r="C192" s="1621" t="s">
        <v>411</v>
      </c>
      <c r="D192" s="1739"/>
      <c r="E192" s="1629"/>
      <c r="F192" s="1652"/>
      <c r="G192" s="1692">
        <f>SUM(F193:F199)</f>
        <v>14500</v>
      </c>
      <c r="H192" s="1693"/>
      <c r="I192" s="1625">
        <f t="shared" si="6"/>
        <v>57.539682539682538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620"/>
      <c r="C193" s="1621"/>
      <c r="D193" s="1739" t="s">
        <v>885</v>
      </c>
      <c r="E193" s="1629"/>
      <c r="F193" s="1652">
        <v>2500</v>
      </c>
      <c r="G193" s="1692"/>
      <c r="H193" s="1693"/>
      <c r="I193" s="1625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620"/>
      <c r="C194" s="1621"/>
      <c r="D194" s="1739" t="s">
        <v>886</v>
      </c>
      <c r="E194" s="1629"/>
      <c r="F194" s="1652">
        <v>0</v>
      </c>
      <c r="G194" s="1692"/>
      <c r="H194" s="1693"/>
      <c r="I194" s="1625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620"/>
      <c r="C195" s="1621"/>
      <c r="D195" s="1739" t="s">
        <v>887</v>
      </c>
      <c r="E195" s="1629"/>
      <c r="F195" s="1652">
        <v>12000</v>
      </c>
      <c r="G195" s="1692"/>
      <c r="H195" s="1693"/>
      <c r="I195" s="1625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620"/>
      <c r="C196" s="1621"/>
      <c r="D196" s="1739" t="s">
        <v>888</v>
      </c>
      <c r="E196" s="1629"/>
      <c r="F196" s="1652">
        <v>0</v>
      </c>
      <c r="G196" s="1692"/>
      <c r="H196" s="1693"/>
      <c r="I196" s="1625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620"/>
      <c r="C197" s="1621"/>
      <c r="D197" s="1739" t="s">
        <v>889</v>
      </c>
      <c r="E197" s="1629"/>
      <c r="F197" s="1652">
        <v>0</v>
      </c>
      <c r="G197" s="1692"/>
      <c r="H197" s="1693"/>
      <c r="I197" s="1625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620"/>
      <c r="C198" s="1621"/>
      <c r="D198" s="1739" t="s">
        <v>890</v>
      </c>
      <c r="E198" s="1629"/>
      <c r="F198" s="1652">
        <v>0</v>
      </c>
      <c r="G198" s="1692"/>
      <c r="H198" s="1693"/>
      <c r="I198" s="1625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620"/>
      <c r="C199" s="1621"/>
      <c r="D199" s="1739" t="s">
        <v>891</v>
      </c>
      <c r="E199" s="1629"/>
      <c r="F199" s="1652">
        <v>0</v>
      </c>
      <c r="G199" s="1692"/>
      <c r="H199" s="1693"/>
      <c r="I199" s="1625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620"/>
      <c r="C200" s="1621" t="s">
        <v>892</v>
      </c>
      <c r="D200" s="1621"/>
      <c r="E200" s="1629"/>
      <c r="F200" s="1652"/>
      <c r="G200" s="1683">
        <f>SUM(F201:F205)</f>
        <v>93250</v>
      </c>
      <c r="H200" s="1684"/>
      <c r="I200" s="1625">
        <f t="shared" si="6"/>
        <v>370.03968253968253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620"/>
      <c r="C201" s="1682"/>
      <c r="D201" s="1621" t="s">
        <v>893</v>
      </c>
      <c r="E201" s="1704"/>
      <c r="F201" s="1652">
        <v>0</v>
      </c>
      <c r="G201" s="1683"/>
      <c r="H201" s="1684"/>
      <c r="I201" s="1625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620"/>
      <c r="C202" s="1682"/>
      <c r="D202" s="1621" t="s">
        <v>895</v>
      </c>
      <c r="E202" s="1629"/>
      <c r="F202" s="1652">
        <v>87750</v>
      </c>
      <c r="G202" s="1683"/>
      <c r="H202" s="1684"/>
      <c r="I202" s="1625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620"/>
      <c r="C203" s="1682"/>
      <c r="D203" s="1621" t="s">
        <v>896</v>
      </c>
      <c r="E203" s="1629"/>
      <c r="F203" s="1652">
        <v>2500</v>
      </c>
      <c r="G203" s="1683"/>
      <c r="H203" s="1684"/>
      <c r="I203" s="1625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620"/>
      <c r="C204" s="1682"/>
      <c r="D204" s="1621" t="s">
        <v>897</v>
      </c>
      <c r="E204" s="1629"/>
      <c r="F204" s="1652">
        <v>1500</v>
      </c>
      <c r="G204" s="1683"/>
      <c r="H204" s="1684"/>
      <c r="I204" s="1625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620"/>
      <c r="C205" s="1682"/>
      <c r="D205" s="1621" t="s">
        <v>898</v>
      </c>
      <c r="E205" s="1629"/>
      <c r="F205" s="1652">
        <v>1500</v>
      </c>
      <c r="G205" s="1683"/>
      <c r="H205" s="1684"/>
      <c r="I205" s="1625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620"/>
      <c r="C206" s="1621" t="s">
        <v>899</v>
      </c>
      <c r="D206" s="1621"/>
      <c r="E206" s="1629"/>
      <c r="F206" s="1652"/>
      <c r="G206" s="1692">
        <f>SUM(F207:F209)</f>
        <v>0</v>
      </c>
      <c r="H206" s="1693"/>
      <c r="I206" s="1625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620"/>
      <c r="C207" s="1621"/>
      <c r="D207" s="1621" t="s">
        <v>487</v>
      </c>
      <c r="E207" s="1629"/>
      <c r="F207" s="1652">
        <v>0</v>
      </c>
      <c r="G207" s="1692"/>
      <c r="H207" s="1693"/>
      <c r="I207" s="1625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620"/>
      <c r="C208" s="1621"/>
      <c r="D208" s="1621" t="s">
        <v>900</v>
      </c>
      <c r="E208" s="1629"/>
      <c r="F208" s="1652">
        <v>0</v>
      </c>
      <c r="G208" s="1692"/>
      <c r="H208" s="1693"/>
      <c r="I208" s="1625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620"/>
      <c r="C209" s="1621"/>
      <c r="D209" s="1621" t="s">
        <v>901</v>
      </c>
      <c r="E209" s="1629"/>
      <c r="F209" s="1652">
        <v>0</v>
      </c>
      <c r="G209" s="1692"/>
      <c r="H209" s="1693"/>
      <c r="I209" s="1625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620"/>
      <c r="C210" s="1621" t="s">
        <v>902</v>
      </c>
      <c r="D210" s="1621"/>
      <c r="E210" s="1629"/>
      <c r="F210" s="1652"/>
      <c r="G210" s="1683">
        <f>SUM(F211:F216)</f>
        <v>50000</v>
      </c>
      <c r="H210" s="1684"/>
      <c r="I210" s="1625">
        <f t="shared" si="6"/>
        <v>198.4126984126984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620"/>
      <c r="C211" s="1621"/>
      <c r="D211" s="1621" t="s">
        <v>903</v>
      </c>
      <c r="E211" s="1740">
        <v>2500</v>
      </c>
      <c r="F211" s="1652">
        <v>0</v>
      </c>
      <c r="G211" s="1683"/>
      <c r="H211" s="1684"/>
      <c r="I211" s="1625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620"/>
      <c r="C212" s="1621"/>
      <c r="D212" s="1621" t="s">
        <v>904</v>
      </c>
      <c r="E212" s="1629"/>
      <c r="F212" s="1652">
        <v>5000</v>
      </c>
      <c r="G212" s="1683"/>
      <c r="H212" s="1684"/>
      <c r="I212" s="1625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620"/>
      <c r="C213" s="1621"/>
      <c r="D213" s="1621" t="s">
        <v>905</v>
      </c>
      <c r="E213" s="1629"/>
      <c r="F213" s="1652">
        <v>15000</v>
      </c>
      <c r="G213" s="1683"/>
      <c r="H213" s="1684"/>
      <c r="I213" s="1625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620"/>
      <c r="C214" s="1621"/>
      <c r="D214" s="1621" t="s">
        <v>906</v>
      </c>
      <c r="E214" s="1629"/>
      <c r="F214" s="1652">
        <v>5000</v>
      </c>
      <c r="G214" s="1683"/>
      <c r="H214" s="1684"/>
      <c r="I214" s="1625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620"/>
      <c r="C215" s="1621"/>
      <c r="D215" s="1621" t="s">
        <v>907</v>
      </c>
      <c r="E215" s="1629"/>
      <c r="F215" s="1652">
        <v>20000</v>
      </c>
      <c r="G215" s="1683"/>
      <c r="H215" s="1684"/>
      <c r="I215" s="1625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620"/>
      <c r="C216" s="1621"/>
      <c r="D216" s="1621" t="s">
        <v>908</v>
      </c>
      <c r="E216" s="1629"/>
      <c r="F216" s="1652">
        <v>5000</v>
      </c>
      <c r="G216" s="1683"/>
      <c r="H216" s="1684"/>
      <c r="I216" s="1625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620"/>
      <c r="C217" s="1621" t="s">
        <v>909</v>
      </c>
      <c r="D217" s="1621"/>
      <c r="E217" s="1629"/>
      <c r="F217" s="1652"/>
      <c r="G217" s="1683">
        <f>SUM(F218:F220)</f>
        <v>0</v>
      </c>
      <c r="H217" s="1684"/>
      <c r="I217" s="1625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620"/>
      <c r="C218" s="1621"/>
      <c r="D218" s="1621" t="s">
        <v>487</v>
      </c>
      <c r="E218" s="1629"/>
      <c r="F218" s="1652">
        <v>0</v>
      </c>
      <c r="G218" s="1683"/>
      <c r="H218" s="1684"/>
      <c r="I218" s="1625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620"/>
      <c r="C219" s="1621"/>
      <c r="D219" s="1621" t="s">
        <v>106</v>
      </c>
      <c r="E219" s="1629"/>
      <c r="F219" s="1652">
        <v>0</v>
      </c>
      <c r="G219" s="1683"/>
      <c r="H219" s="1684"/>
      <c r="I219" s="1625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620"/>
      <c r="C220" s="1621"/>
      <c r="D220" s="1621" t="s">
        <v>911</v>
      </c>
      <c r="E220" s="1629"/>
      <c r="F220" s="1652">
        <v>0</v>
      </c>
      <c r="G220" s="1683"/>
      <c r="H220" s="1684"/>
      <c r="I220" s="1625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620"/>
      <c r="C221" s="1621" t="s">
        <v>912</v>
      </c>
      <c r="D221" s="1621"/>
      <c r="E221" s="1629"/>
      <c r="F221" s="1652"/>
      <c r="G221" s="1683">
        <f>SUM(F222:F230)</f>
        <v>281000</v>
      </c>
      <c r="H221" s="1684"/>
      <c r="I221" s="1625">
        <f t="shared" si="6"/>
        <v>1115.0793650793651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620"/>
      <c r="C222" s="1682"/>
      <c r="D222" s="1621" t="s">
        <v>224</v>
      </c>
      <c r="E222" s="1704">
        <v>0</v>
      </c>
      <c r="F222" s="1652">
        <v>0</v>
      </c>
      <c r="G222" s="1741"/>
      <c r="H222" s="1742"/>
      <c r="I222" s="1625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620"/>
      <c r="C223" s="1682"/>
      <c r="D223" s="1621" t="s">
        <v>415</v>
      </c>
      <c r="E223" s="1629"/>
      <c r="F223" s="1652">
        <v>25000</v>
      </c>
      <c r="G223" s="1683"/>
      <c r="H223" s="1684"/>
      <c r="I223" s="1625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620"/>
      <c r="C224" s="1682"/>
      <c r="D224" s="1621" t="s">
        <v>913</v>
      </c>
      <c r="E224" s="1740">
        <v>6500</v>
      </c>
      <c r="F224" s="1652">
        <f>E224*24</f>
        <v>156000</v>
      </c>
      <c r="G224" s="1683"/>
      <c r="H224" s="1684"/>
      <c r="I224" s="1625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620"/>
      <c r="C225" s="1682"/>
      <c r="D225" s="1621" t="s">
        <v>914</v>
      </c>
      <c r="E225" s="1629"/>
      <c r="F225" s="1652">
        <v>50000</v>
      </c>
      <c r="G225" s="1683"/>
      <c r="H225" s="1684"/>
      <c r="I225" s="1625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620"/>
      <c r="C226" s="1682"/>
      <c r="D226" s="1621" t="s">
        <v>915</v>
      </c>
      <c r="E226" s="1629"/>
      <c r="F226" s="1652">
        <v>0</v>
      </c>
      <c r="G226" s="1683"/>
      <c r="H226" s="1684"/>
      <c r="I226" s="1625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620"/>
      <c r="C227" s="1682"/>
      <c r="D227" s="1621" t="s">
        <v>916</v>
      </c>
      <c r="E227" s="1629"/>
      <c r="F227" s="1652">
        <v>50000</v>
      </c>
      <c r="G227" s="1683"/>
      <c r="H227" s="1684"/>
      <c r="I227" s="1625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620"/>
      <c r="C228" s="1682"/>
      <c r="D228" s="1621" t="s">
        <v>917</v>
      </c>
      <c r="E228" s="1629"/>
      <c r="F228" s="1652">
        <v>0</v>
      </c>
      <c r="G228" s="1683"/>
      <c r="H228" s="1684"/>
      <c r="I228" s="1625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620"/>
      <c r="C229" s="1682"/>
      <c r="D229" s="1621" t="s">
        <v>918</v>
      </c>
      <c r="E229" s="1629"/>
      <c r="F229" s="1652">
        <v>0</v>
      </c>
      <c r="G229" s="1683"/>
      <c r="H229" s="1684"/>
      <c r="I229" s="1625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620"/>
      <c r="C230" s="1682"/>
      <c r="D230" s="1621" t="s">
        <v>920</v>
      </c>
      <c r="E230" s="1629"/>
      <c r="F230" s="1652">
        <v>0</v>
      </c>
      <c r="G230" s="1683"/>
      <c r="H230" s="1684"/>
      <c r="I230" s="1625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620"/>
      <c r="C231" s="1621" t="s">
        <v>922</v>
      </c>
      <c r="D231" s="1621"/>
      <c r="E231" s="1629"/>
      <c r="F231" s="1652"/>
      <c r="G231" s="1683">
        <v>0</v>
      </c>
      <c r="H231" s="1684"/>
      <c r="I231" s="1625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620"/>
      <c r="C232" s="1621" t="s">
        <v>924</v>
      </c>
      <c r="D232" s="1621"/>
      <c r="E232" s="1629"/>
      <c r="F232" s="1652"/>
      <c r="G232" s="1683"/>
      <c r="H232" s="1684"/>
      <c r="I232" s="1625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620"/>
      <c r="C233" s="1621" t="s">
        <v>925</v>
      </c>
      <c r="D233" s="1621"/>
      <c r="E233" s="1743">
        <v>0.05</v>
      </c>
      <c r="F233" s="1681"/>
      <c r="G233" s="1692">
        <f>SUM(G190:G231,G189,G181,G176,G170,G148,G114,G97,G80)*E233</f>
        <v>1130837.2829915117</v>
      </c>
      <c r="H233" s="1693"/>
      <c r="I233" s="1625">
        <f t="shared" si="8"/>
        <v>4487.4495356806019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1130837.2829915117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85"/>
      <c r="C234" s="1679" t="s">
        <v>926</v>
      </c>
      <c r="D234" s="1644"/>
      <c r="E234" s="1744"/>
      <c r="F234" s="1698"/>
      <c r="G234" s="1745">
        <f>SUM(G191:G233)</f>
        <v>1569587.2829915117</v>
      </c>
      <c r="H234" s="1746"/>
      <c r="I234" s="1625">
        <f t="shared" si="8"/>
        <v>6228.5209642520304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1569587.2829915117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620"/>
      <c r="C235" s="1644" t="s">
        <v>150</v>
      </c>
      <c r="D235" s="1621"/>
      <c r="E235" s="1626"/>
      <c r="F235" s="1652"/>
      <c r="G235" s="1683"/>
      <c r="H235" s="1684"/>
      <c r="I235" s="1625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620"/>
      <c r="C236" s="1621" t="s">
        <v>151</v>
      </c>
      <c r="D236" s="1621"/>
      <c r="E236" s="1645"/>
      <c r="F236" s="1652"/>
      <c r="G236" s="1692">
        <v>2500000</v>
      </c>
      <c r="H236" s="1693"/>
      <c r="I236" s="1625">
        <f t="shared" si="8"/>
        <v>9920.6349206349205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620"/>
      <c r="C237" s="1621" t="s">
        <v>145</v>
      </c>
      <c r="D237" s="1621"/>
      <c r="E237" s="1626"/>
      <c r="F237" s="1652"/>
      <c r="G237" s="1683">
        <v>0</v>
      </c>
      <c r="H237" s="1684"/>
      <c r="I237" s="1625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620"/>
      <c r="C238" s="1621" t="s">
        <v>143</v>
      </c>
      <c r="D238" s="1621"/>
      <c r="E238" s="1626"/>
      <c r="F238" s="1652"/>
      <c r="G238" s="1683">
        <f>SUM(F239:F241)</f>
        <v>20750</v>
      </c>
      <c r="H238" s="1684"/>
      <c r="I238" s="1625">
        <f t="shared" si="8"/>
        <v>82.341269841269835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620"/>
      <c r="C239" s="1621"/>
      <c r="D239" s="1621" t="s">
        <v>928</v>
      </c>
      <c r="E239" s="1631">
        <v>1300</v>
      </c>
      <c r="F239" s="1652">
        <v>3250</v>
      </c>
      <c r="G239" s="1683"/>
      <c r="H239" s="1684"/>
      <c r="I239" s="1625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620"/>
      <c r="C240" s="1621"/>
      <c r="D240" s="1621" t="s">
        <v>929</v>
      </c>
      <c r="E240" s="1626"/>
      <c r="F240" s="1725">
        <v>15000</v>
      </c>
      <c r="G240" s="1683"/>
      <c r="H240" s="1684"/>
      <c r="I240" s="1625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620"/>
      <c r="C241" s="1621"/>
      <c r="D241" s="1621" t="s">
        <v>930</v>
      </c>
      <c r="E241" s="1626"/>
      <c r="F241" s="1652">
        <v>2500</v>
      </c>
      <c r="G241" s="1683"/>
      <c r="H241" s="1684"/>
      <c r="I241" s="1625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85"/>
      <c r="C242" s="1679" t="s">
        <v>931</v>
      </c>
      <c r="D242" s="1644"/>
      <c r="E242" s="1747"/>
      <c r="F242" s="1698"/>
      <c r="G242" s="1699">
        <f>SUM(G236:G241)</f>
        <v>2520750</v>
      </c>
      <c r="H242" s="1700"/>
      <c r="I242" s="1625">
        <f>G242/$F$9</f>
        <v>10002.976190476191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620"/>
      <c r="C243" s="1644" t="s">
        <v>932</v>
      </c>
      <c r="D243" s="1621"/>
      <c r="E243" s="1748"/>
      <c r="F243" s="1681"/>
      <c r="G243" s="1692"/>
      <c r="H243" s="1693"/>
      <c r="I243" s="1625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620"/>
      <c r="C244" s="1621" t="s">
        <v>933</v>
      </c>
      <c r="D244" s="1629"/>
      <c r="E244" s="1749"/>
      <c r="F244" s="1681"/>
      <c r="G244" s="1692">
        <v>0</v>
      </c>
      <c r="H244" s="1693"/>
      <c r="I244" s="1625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620"/>
      <c r="C245" s="1621" t="s">
        <v>934</v>
      </c>
      <c r="D245" s="1629"/>
      <c r="E245" s="1748"/>
      <c r="F245" s="1681"/>
      <c r="G245" s="1692">
        <v>0</v>
      </c>
      <c r="H245" s="1693"/>
      <c r="I245" s="1625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620"/>
      <c r="C246" s="1621" t="s">
        <v>935</v>
      </c>
      <c r="D246" s="1629"/>
      <c r="E246" s="1748"/>
      <c r="F246" s="1681"/>
      <c r="G246" s="1692">
        <v>0</v>
      </c>
      <c r="H246" s="1693"/>
      <c r="I246" s="1625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620"/>
      <c r="C247" s="1621" t="s">
        <v>937</v>
      </c>
      <c r="D247" s="1629"/>
      <c r="E247" s="1750">
        <v>800</v>
      </c>
      <c r="F247" s="1681"/>
      <c r="G247" s="1692">
        <v>666.66666666666663</v>
      </c>
      <c r="H247" s="1693"/>
      <c r="I247" s="1625">
        <f t="shared" si="8"/>
        <v>2.6455026455026451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620"/>
      <c r="C248" s="1621" t="s">
        <v>938</v>
      </c>
      <c r="D248" s="1629"/>
      <c r="E248" s="1748"/>
      <c r="F248" s="1681"/>
      <c r="G248" s="1692">
        <v>2000</v>
      </c>
      <c r="H248" s="1693"/>
      <c r="I248" s="1625">
        <f t="shared" si="8"/>
        <v>7.9365079365079367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85"/>
      <c r="C249" s="1679" t="s">
        <v>939</v>
      </c>
      <c r="D249" s="1644"/>
      <c r="E249" s="1747"/>
      <c r="F249" s="1698"/>
      <c r="G249" s="1699">
        <f>SUM(G244:G248)</f>
        <v>2666.6666666666665</v>
      </c>
      <c r="H249" s="1700"/>
      <c r="I249" s="1625">
        <f t="shared" si="8"/>
        <v>10.582010582010581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I250*F9</f>
        <v>132300000</v>
      </c>
      <c r="H250" s="1161"/>
      <c r="I250" s="1596">
        <v>525000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1045</v>
      </c>
    </row>
    <row r="254" spans="2:28">
      <c r="G254" s="1370">
        <f>G250/'Construction Calculation'!C14</f>
        <v>538.30379376007033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0" t="s">
        <v>10</v>
      </c>
      <c r="C4" s="1191">
        <f>'Rental Income'!D15</f>
        <v>252</v>
      </c>
      <c r="D4" s="507" t="s">
        <v>261</v>
      </c>
      <c r="E4" s="507"/>
      <c r="F4" s="507"/>
      <c r="G4" s="508"/>
    </row>
    <row r="5" spans="1:15">
      <c r="B5" s="1192" t="s">
        <v>11</v>
      </c>
      <c r="C5" s="700">
        <f>'Construction Calculation'!C19</f>
        <v>245772</v>
      </c>
      <c r="D5" t="s">
        <v>427</v>
      </c>
      <c r="G5" s="510"/>
    </row>
    <row r="6" spans="1:15">
      <c r="B6" s="1193" t="s">
        <v>12</v>
      </c>
      <c r="C6" s="700">
        <f>'Construction Calculation'!C14</f>
        <v>245772</v>
      </c>
      <c r="D6" t="s">
        <v>427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427</v>
      </c>
      <c r="G7" s="1194"/>
    </row>
    <row r="8" spans="1:15">
      <c r="B8" s="1193" t="s">
        <v>428</v>
      </c>
      <c r="C8" s="700">
        <f>'Construction Calculation'!C13</f>
        <v>40962</v>
      </c>
      <c r="D8" t="s">
        <v>427</v>
      </c>
      <c r="G8" s="510"/>
    </row>
    <row r="9" spans="1:15">
      <c r="B9" s="1193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195">
        <v>22630</v>
      </c>
      <c r="D10" s="512" t="s">
        <v>427</v>
      </c>
      <c r="E10" s="512"/>
      <c r="F10" s="512"/>
      <c r="G10" s="1196"/>
    </row>
    <row r="11" spans="1:15" ht="16.5" thickBot="1"/>
    <row r="12" spans="1:15">
      <c r="A12" s="1199" t="s">
        <v>431</v>
      </c>
      <c r="B12" s="1200"/>
      <c r="C12" s="1200"/>
      <c r="D12" s="1201"/>
      <c r="E12" s="58"/>
    </row>
    <row r="13" spans="1:15">
      <c r="A13" s="1202"/>
      <c r="B13" t="s">
        <v>432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433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434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435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443</v>
      </c>
      <c r="C18" s="55">
        <v>0.65</v>
      </c>
      <c r="D18" s="1203"/>
      <c r="M18" s="48"/>
    </row>
    <row r="19" spans="1:13">
      <c r="A19" s="1202"/>
      <c r="B19" t="s">
        <v>1101</v>
      </c>
      <c r="C19">
        <v>24</v>
      </c>
      <c r="D19" s="1203"/>
      <c r="K19" s="147"/>
      <c r="L19" s="147"/>
      <c r="M19" s="53"/>
    </row>
    <row r="20" spans="1:13">
      <c r="A20" s="1202"/>
      <c r="B20" t="s">
        <v>437</v>
      </c>
      <c r="C20" s="1198">
        <v>85995000</v>
      </c>
      <c r="D20" s="1218">
        <f>MIN(D22,GapCalc!D24)</f>
        <v>85995000</v>
      </c>
    </row>
    <row r="21" spans="1:13" ht="16.5" thickBot="1">
      <c r="A21" s="1202"/>
      <c r="B21" t="s">
        <v>109</v>
      </c>
      <c r="C21" s="482">
        <v>0.01</v>
      </c>
      <c r="D21" s="1203"/>
    </row>
    <row r="22" spans="1:13" ht="16.5" thickBot="1">
      <c r="A22" s="1202"/>
      <c r="C22" s="516" t="s">
        <v>1038</v>
      </c>
      <c r="D22" s="1234">
        <f>C18*'Development Budget'!G250</f>
        <v>85995000</v>
      </c>
      <c r="G22" s="147"/>
    </row>
    <row r="23" spans="1:13">
      <c r="A23" s="1272" t="s">
        <v>438</v>
      </c>
      <c r="B23" s="1213"/>
      <c r="C23" s="1213" t="s">
        <v>68</v>
      </c>
      <c r="D23" s="1213"/>
      <c r="E23" s="1233" t="s">
        <v>964</v>
      </c>
      <c r="F23" s="1225" t="s">
        <v>432</v>
      </c>
      <c r="G23" s="1376">
        <v>0.09</v>
      </c>
      <c r="H23" s="1226"/>
    </row>
    <row r="24" spans="1:13">
      <c r="A24" s="1214"/>
      <c r="B24" t="s">
        <v>432</v>
      </c>
      <c r="C24" s="1204">
        <v>6.0499999999999998E-2</v>
      </c>
      <c r="D24" s="1267">
        <f>PMT(C24/12,C25*12,C30)*12</f>
        <v>-6515905.5314798821</v>
      </c>
      <c r="E24" s="1227"/>
      <c r="G24" s="1220"/>
      <c r="H24" s="1228"/>
      <c r="K24" s="1267"/>
    </row>
    <row r="25" spans="1:13">
      <c r="A25" s="1214"/>
      <c r="B25" t="s">
        <v>1102</v>
      </c>
      <c r="C25">
        <v>34</v>
      </c>
      <c r="E25" s="1227"/>
      <c r="G25" s="1220"/>
      <c r="H25" s="1228"/>
    </row>
    <row r="26" spans="1:13" ht="16.5" thickBot="1">
      <c r="A26" s="1214"/>
      <c r="B26" t="s">
        <v>439</v>
      </c>
      <c r="C26">
        <v>1.2</v>
      </c>
      <c r="E26" s="1227"/>
      <c r="G26" s="1221"/>
      <c r="H26" s="1228"/>
    </row>
    <row r="27" spans="1:13" ht="16.5" thickTop="1">
      <c r="A27" s="1214"/>
      <c r="B27" t="s">
        <v>440</v>
      </c>
      <c r="C27" s="51">
        <f>'Cash Flow'!E21/Data!C26</f>
        <v>6515905.5314799119</v>
      </c>
      <c r="D27" s="40" t="s">
        <v>443</v>
      </c>
      <c r="E27" s="1227"/>
      <c r="G27" s="1222"/>
      <c r="H27" s="1228"/>
    </row>
    <row r="28" spans="1:13">
      <c r="A28" s="1214"/>
      <c r="B28" t="s">
        <v>441</v>
      </c>
      <c r="C28" s="482">
        <v>0.6</v>
      </c>
      <c r="D28" s="1359">
        <f>'Cash Flow'!E15/0.05*C28</f>
        <v>124102497.59999999</v>
      </c>
      <c r="E28" s="1227"/>
      <c r="F28" t="s">
        <v>1046</v>
      </c>
      <c r="G28" s="1223"/>
      <c r="H28" s="55">
        <v>1</v>
      </c>
    </row>
    <row r="29" spans="1:13">
      <c r="A29" s="1214"/>
      <c r="B29" t="s">
        <v>442</v>
      </c>
      <c r="C29">
        <v>34</v>
      </c>
      <c r="E29" s="1227"/>
      <c r="F29" t="s">
        <v>436</v>
      </c>
      <c r="G29" s="1223">
        <v>15</v>
      </c>
      <c r="H29" s="1228"/>
    </row>
    <row r="30" spans="1:13">
      <c r="A30" s="1214"/>
      <c r="B30" t="s">
        <v>437</v>
      </c>
      <c r="C30" s="1274">
        <v>93861427.901976362</v>
      </c>
      <c r="D30" s="1219">
        <f>-PV($C$24/12,$C$29*12,C27/12)</f>
        <v>93861427.901976362</v>
      </c>
      <c r="E30" s="1227"/>
      <c r="F30" t="s">
        <v>437</v>
      </c>
      <c r="G30" s="1224"/>
      <c r="H30" s="1219">
        <f>PV(G23,G29,-'Cash Flow'!E41*H28,)</f>
        <v>10504536.865524683</v>
      </c>
    </row>
    <row r="31" spans="1:13" ht="16.5" thickBot="1">
      <c r="A31" s="1215"/>
      <c r="B31" s="1216" t="s">
        <v>109</v>
      </c>
      <c r="C31" s="1217">
        <v>0.01</v>
      </c>
      <c r="D31" s="1216"/>
      <c r="E31" s="1229"/>
      <c r="F31" s="1230" t="s">
        <v>109</v>
      </c>
      <c r="G31" s="1231">
        <v>0.01</v>
      </c>
      <c r="H31" s="1232"/>
    </row>
    <row r="32" spans="1:13">
      <c r="A32" s="1212" t="s">
        <v>1035</v>
      </c>
      <c r="E32" s="1206"/>
      <c r="G32" s="53"/>
    </row>
    <row r="33" spans="1:10">
      <c r="A33" s="1205"/>
      <c r="B33" t="s">
        <v>432</v>
      </c>
      <c r="C33" s="1204">
        <v>4.4999999999999998E-2</v>
      </c>
      <c r="E33" s="1206"/>
      <c r="I33" s="54"/>
    </row>
    <row r="34" spans="1:10">
      <c r="A34" s="1205"/>
      <c r="B34" t="s">
        <v>1102</v>
      </c>
      <c r="C34">
        <v>30</v>
      </c>
      <c r="E34" s="1207">
        <f>Data!M19</f>
        <v>0</v>
      </c>
      <c r="I34" s="318"/>
    </row>
    <row r="35" spans="1:10">
      <c r="A35" s="1205"/>
      <c r="B35" t="s">
        <v>439</v>
      </c>
      <c r="C35">
        <v>1.2</v>
      </c>
      <c r="E35" s="1206"/>
      <c r="I35" s="54"/>
    </row>
    <row r="36" spans="1:10">
      <c r="A36" s="1205"/>
      <c r="B36" t="s">
        <v>440</v>
      </c>
      <c r="C36" s="51">
        <f>'Cash Flow'!E21/Data!C35</f>
        <v>6515905.5314799119</v>
      </c>
      <c r="E36" s="1208">
        <f>-PV($C$33,$C$34,E34)</f>
        <v>0</v>
      </c>
      <c r="I36" s="1197"/>
    </row>
    <row r="37" spans="1:10" ht="16.5" thickBot="1">
      <c r="A37" s="1205"/>
      <c r="B37" t="s">
        <v>441</v>
      </c>
      <c r="C37" s="482">
        <v>0.8</v>
      </c>
      <c r="E37" s="1206"/>
    </row>
    <row r="38" spans="1:10" ht="16.5" thickBot="1">
      <c r="A38" s="1205"/>
      <c r="B38" t="s">
        <v>437</v>
      </c>
      <c r="C38" s="1274">
        <v>107119373.72294137</v>
      </c>
      <c r="D38" s="516" t="s">
        <v>1038</v>
      </c>
      <c r="E38" s="1234">
        <f>C37*GapCalc!D24</f>
        <v>105840000</v>
      </c>
    </row>
    <row r="39" spans="1:10">
      <c r="A39" s="1205"/>
      <c r="B39" t="s">
        <v>109</v>
      </c>
      <c r="C39" s="54">
        <f>C21</f>
        <v>0.01</v>
      </c>
      <c r="D39" t="s">
        <v>1052</v>
      </c>
      <c r="E39" s="1219">
        <f>PV($C$33/12,$C$34*12,-C36/12)</f>
        <v>107165555.64042634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311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1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554" t="s">
        <v>1100</v>
      </c>
      <c r="D19" s="88">
        <v>1.2500000000000001E-2</v>
      </c>
      <c r="E19" s="95">
        <f>IF(C19="Abatement", 0, -'Tax Calc'!B10)</f>
        <v>-935188.16222410637</v>
      </c>
      <c r="F19" s="89">
        <f>E19*(1+$D$19)</f>
        <v>-946878.01425190771</v>
      </c>
      <c r="G19" s="89">
        <f t="shared" ref="G19:AH19" si="6">F19*(1+$D$19)</f>
        <v>-958713.98943005654</v>
      </c>
      <c r="H19" s="89">
        <f t="shared" si="6"/>
        <v>-970697.91429793218</v>
      </c>
      <c r="I19" s="89">
        <f t="shared" si="6"/>
        <v>-982831.63822665624</v>
      </c>
      <c r="J19" s="89">
        <f t="shared" si="6"/>
        <v>-995117.03370448935</v>
      </c>
      <c r="K19" s="89">
        <f t="shared" si="6"/>
        <v>-1007555.9966257954</v>
      </c>
      <c r="L19" s="89">
        <f t="shared" si="6"/>
        <v>-1020150.4465836178</v>
      </c>
      <c r="M19" s="89">
        <f t="shared" si="6"/>
        <v>-1032902.327165913</v>
      </c>
      <c r="N19" s="89">
        <f t="shared" si="6"/>
        <v>-1045813.6062554868</v>
      </c>
      <c r="O19" s="89">
        <f t="shared" si="6"/>
        <v>-1058886.2763336804</v>
      </c>
      <c r="P19" s="89">
        <f t="shared" si="6"/>
        <v>-1072122.3547878512</v>
      </c>
      <c r="Q19" s="89">
        <f t="shared" si="6"/>
        <v>-1085523.8842226993</v>
      </c>
      <c r="R19" s="89">
        <f t="shared" si="6"/>
        <v>-1099092.932775483</v>
      </c>
      <c r="S19" s="90">
        <f t="shared" si="6"/>
        <v>-1112831.5944351766</v>
      </c>
      <c r="T19" s="89">
        <f t="shared" si="6"/>
        <v>-1126741.9893656163</v>
      </c>
      <c r="U19" s="89">
        <f t="shared" si="6"/>
        <v>-1140826.2642326865</v>
      </c>
      <c r="V19" s="89">
        <f t="shared" si="6"/>
        <v>-1155086.5925355949</v>
      </c>
      <c r="W19" s="89">
        <f t="shared" si="6"/>
        <v>-1169525.1749422899</v>
      </c>
      <c r="X19" s="89">
        <f t="shared" si="6"/>
        <v>-1184144.2396290684</v>
      </c>
      <c r="Y19" s="89">
        <f t="shared" si="6"/>
        <v>-1198946.0426244317</v>
      </c>
      <c r="Z19" s="89">
        <f t="shared" si="6"/>
        <v>-1213932.8681572371</v>
      </c>
      <c r="AA19" s="89">
        <f t="shared" si="6"/>
        <v>-1229107.0290092025</v>
      </c>
      <c r="AB19" s="89">
        <f t="shared" si="6"/>
        <v>-1244470.8668718175</v>
      </c>
      <c r="AC19" s="89">
        <f t="shared" si="6"/>
        <v>-1260026.7527077151</v>
      </c>
      <c r="AD19" s="89">
        <f t="shared" si="6"/>
        <v>-1275777.0871165616</v>
      </c>
      <c r="AE19" s="89">
        <f t="shared" si="6"/>
        <v>-1291724.3007055186</v>
      </c>
      <c r="AF19" s="89">
        <f t="shared" si="6"/>
        <v>-1307870.8544643375</v>
      </c>
      <c r="AG19" s="89">
        <f t="shared" si="6"/>
        <v>-1324219.2401451417</v>
      </c>
      <c r="AH19" s="89">
        <f t="shared" si="6"/>
        <v>-1340771.980646956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7819086.6377758943</v>
      </c>
      <c r="F21" s="95">
        <f t="shared" si="8"/>
        <v>8013023.6557480926</v>
      </c>
      <c r="G21" s="95">
        <f t="shared" si="8"/>
        <v>8211426.0223199427</v>
      </c>
      <c r="H21" s="95">
        <f t="shared" si="8"/>
        <v>8414388.675745815</v>
      </c>
      <c r="I21" s="95">
        <f t="shared" si="8"/>
        <v>8622008.3022981826</v>
      </c>
      <c r="J21" s="95">
        <f t="shared" si="8"/>
        <v>8834383.3575640209</v>
      </c>
      <c r="K21" s="95">
        <f t="shared" si="8"/>
        <v>9051614.0874830447</v>
      </c>
      <c r="L21" s="95">
        <f t="shared" si="8"/>
        <v>9273802.5490936134</v>
      </c>
      <c r="M21" s="95">
        <f t="shared" si="8"/>
        <v>9501052.6309502162</v>
      </c>
      <c r="N21" s="95">
        <f t="shared" si="8"/>
        <v>9733470.0731746592</v>
      </c>
      <c r="O21" s="95">
        <f t="shared" si="8"/>
        <v>9971162.4871009681</v>
      </c>
      <c r="P21" s="95">
        <f t="shared" si="8"/>
        <v>10214239.374472072</v>
      </c>
      <c r="Q21" s="95">
        <f t="shared" si="8"/>
        <v>10462812.146144006</v>
      </c>
      <c r="R21" s="95">
        <f t="shared" si="8"/>
        <v>10716994.140251312</v>
      </c>
      <c r="S21" s="96">
        <f t="shared" si="8"/>
        <v>10976900.639784744</v>
      </c>
      <c r="T21" s="95">
        <f t="shared" si="8"/>
        <v>11242648.889530115</v>
      </c>
      <c r="U21" s="95">
        <f t="shared" si="8"/>
        <v>11514358.112314466</v>
      </c>
      <c r="V21" s="95">
        <f t="shared" si="8"/>
        <v>11792149.524503028</v>
      </c>
      <c r="W21" s="95">
        <f t="shared" si="8"/>
        <v>12076146.350687811</v>
      </c>
      <c r="X21" s="95">
        <f t="shared" si="8"/>
        <v>12366473.837505594</v>
      </c>
      <c r="Y21" s="95">
        <f t="shared" si="8"/>
        <v>12663259.266520139</v>
      </c>
      <c r="Z21" s="95">
        <f t="shared" si="8"/>
        <v>12966631.966100343</v>
      </c>
      <c r="AA21" s="95">
        <f t="shared" si="8"/>
        <v>13276723.322222669</v>
      </c>
      <c r="AB21" s="95">
        <f t="shared" si="8"/>
        <v>13593666.78812282</v>
      </c>
      <c r="AC21" s="95">
        <f t="shared" si="8"/>
        <v>13917597.892718133</v>
      </c>
      <c r="AD21" s="95">
        <f t="shared" si="8"/>
        <v>14248654.247718249</v>
      </c>
      <c r="AE21" s="95">
        <f t="shared" si="8"/>
        <v>14586975.55333804</v>
      </c>
      <c r="AF21" s="95">
        <f t="shared" si="8"/>
        <v>14932703.602522522</v>
      </c>
      <c r="AG21" s="95">
        <f t="shared" si="8"/>
        <v>15285982.283589318</v>
      </c>
      <c r="AH21" s="95">
        <f t="shared" si="8"/>
        <v>15646957.581190102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-6515905.5314799119</v>
      </c>
      <c r="F22" s="95">
        <f t="shared" ref="F22:AH22" si="9">$E$22</f>
        <v>-6515905.5314799119</v>
      </c>
      <c r="G22" s="95">
        <f t="shared" si="9"/>
        <v>-6515905.5314799119</v>
      </c>
      <c r="H22" s="95">
        <f t="shared" si="9"/>
        <v>-6515905.5314799119</v>
      </c>
      <c r="I22" s="95">
        <f t="shared" si="9"/>
        <v>-6515905.5314799119</v>
      </c>
      <c r="J22" s="95">
        <f t="shared" si="9"/>
        <v>-6515905.5314799119</v>
      </c>
      <c r="K22" s="95">
        <f t="shared" si="9"/>
        <v>-6515905.5314799119</v>
      </c>
      <c r="L22" s="95">
        <f t="shared" si="9"/>
        <v>-6515905.5314799119</v>
      </c>
      <c r="M22" s="95">
        <f t="shared" si="9"/>
        <v>-6515905.5314799119</v>
      </c>
      <c r="N22" s="95">
        <f t="shared" si="9"/>
        <v>-6515905.5314799119</v>
      </c>
      <c r="O22" s="95">
        <f t="shared" si="9"/>
        <v>-6515905.5314799119</v>
      </c>
      <c r="P22" s="95">
        <f t="shared" si="9"/>
        <v>-6515905.5314799119</v>
      </c>
      <c r="Q22" s="95">
        <f t="shared" si="9"/>
        <v>-6515905.5314799119</v>
      </c>
      <c r="R22" s="95">
        <f t="shared" si="9"/>
        <v>-6515905.5314799119</v>
      </c>
      <c r="S22" s="96">
        <f t="shared" si="9"/>
        <v>-6515905.5314799119</v>
      </c>
      <c r="T22" s="95">
        <f t="shared" si="9"/>
        <v>-6515905.5314799119</v>
      </c>
      <c r="U22" s="95">
        <f t="shared" si="9"/>
        <v>-6515905.5314799119</v>
      </c>
      <c r="V22" s="95">
        <f t="shared" si="9"/>
        <v>-6515905.5314799119</v>
      </c>
      <c r="W22" s="95">
        <f t="shared" si="9"/>
        <v>-6515905.5314799119</v>
      </c>
      <c r="X22" s="95">
        <f t="shared" si="9"/>
        <v>-6515905.5314799119</v>
      </c>
      <c r="Y22" s="95">
        <f t="shared" si="9"/>
        <v>-6515905.5314799119</v>
      </c>
      <c r="Z22" s="95">
        <f t="shared" si="9"/>
        <v>-6515905.5314799119</v>
      </c>
      <c r="AA22" s="95">
        <f t="shared" si="9"/>
        <v>-6515905.5314799119</v>
      </c>
      <c r="AB22" s="95">
        <f t="shared" si="9"/>
        <v>-6515905.5314799119</v>
      </c>
      <c r="AC22" s="95">
        <f t="shared" si="9"/>
        <v>-6515905.5314799119</v>
      </c>
      <c r="AD22" s="95">
        <f t="shared" si="9"/>
        <v>-6515905.5314799119</v>
      </c>
      <c r="AE22" s="95">
        <f t="shared" si="9"/>
        <v>-6515905.5314799119</v>
      </c>
      <c r="AF22" s="95">
        <f t="shared" si="9"/>
        <v>-6515905.5314799119</v>
      </c>
      <c r="AG22" s="95">
        <f t="shared" si="9"/>
        <v>-6515905.5314799119</v>
      </c>
      <c r="AH22" s="95">
        <f t="shared" si="9"/>
        <v>-6515905.5314799119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1303181.1062959824</v>
      </c>
      <c r="F25" s="119">
        <f t="shared" ref="F25:AH25" si="11">+F21+F22+F23</f>
        <v>1497118.1242681807</v>
      </c>
      <c r="G25" s="119">
        <f t="shared" si="11"/>
        <v>1695520.4908400308</v>
      </c>
      <c r="H25" s="119">
        <f t="shared" si="11"/>
        <v>1898483.1442659032</v>
      </c>
      <c r="I25" s="119">
        <f t="shared" si="11"/>
        <v>2106102.7708182707</v>
      </c>
      <c r="J25" s="119">
        <f t="shared" si="11"/>
        <v>2318477.826084109</v>
      </c>
      <c r="K25" s="119">
        <f t="shared" si="11"/>
        <v>2535708.5560031328</v>
      </c>
      <c r="L25" s="119">
        <f t="shared" si="11"/>
        <v>2757897.0176137015</v>
      </c>
      <c r="M25" s="119">
        <f t="shared" si="11"/>
        <v>2985147.0994703043</v>
      </c>
      <c r="N25" s="119">
        <f t="shared" si="11"/>
        <v>3217564.5416947473</v>
      </c>
      <c r="O25" s="119">
        <f t="shared" si="11"/>
        <v>3455256.9556210563</v>
      </c>
      <c r="P25" s="119">
        <f t="shared" si="11"/>
        <v>3698333.8429921605</v>
      </c>
      <c r="Q25" s="119">
        <f t="shared" si="11"/>
        <v>3946906.6146640945</v>
      </c>
      <c r="R25" s="119">
        <f t="shared" si="11"/>
        <v>4201088.6087714005</v>
      </c>
      <c r="S25" s="160">
        <f t="shared" si="11"/>
        <v>4460995.1083048321</v>
      </c>
      <c r="T25" s="119">
        <f t="shared" si="11"/>
        <v>4726743.358050203</v>
      </c>
      <c r="U25" s="119">
        <f t="shared" si="11"/>
        <v>4998452.5808345545</v>
      </c>
      <c r="V25" s="119">
        <f t="shared" si="11"/>
        <v>5276243.9930231161</v>
      </c>
      <c r="W25" s="119">
        <f t="shared" si="11"/>
        <v>5560240.8192078993</v>
      </c>
      <c r="X25" s="119">
        <f t="shared" si="11"/>
        <v>5850568.306025682</v>
      </c>
      <c r="Y25" s="119">
        <f t="shared" si="11"/>
        <v>6147353.735040227</v>
      </c>
      <c r="Z25" s="119">
        <f t="shared" si="11"/>
        <v>6450726.4346204307</v>
      </c>
      <c r="AA25" s="119">
        <f t="shared" si="11"/>
        <v>6760817.7907427568</v>
      </c>
      <c r="AB25" s="119">
        <f t="shared" si="11"/>
        <v>7077761.2566429079</v>
      </c>
      <c r="AC25" s="119">
        <f t="shared" si="11"/>
        <v>7401692.3612382207</v>
      </c>
      <c r="AD25" s="119">
        <f t="shared" si="11"/>
        <v>7732748.7162383366</v>
      </c>
      <c r="AE25" s="119">
        <f t="shared" si="11"/>
        <v>8071070.0218581278</v>
      </c>
      <c r="AF25" s="119">
        <f t="shared" si="11"/>
        <v>8416798.0710426103</v>
      </c>
      <c r="AG25" s="119">
        <f t="shared" si="11"/>
        <v>8770076.7521094065</v>
      </c>
      <c r="AH25" s="119">
        <f t="shared" si="11"/>
        <v>9131052.0497101899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1.2297636325504171</v>
      </c>
      <c r="G27" s="122">
        <f t="shared" si="12"/>
        <v>1.2602125648766027</v>
      </c>
      <c r="H27" s="122">
        <f t="shared" si="12"/>
        <v>1.2913613672104165</v>
      </c>
      <c r="I27" s="122">
        <f t="shared" si="12"/>
        <v>1.3232248780531239</v>
      </c>
      <c r="J27" s="122">
        <f t="shared" si="12"/>
        <v>1.3558182074437672</v>
      </c>
      <c r="K27" s="122">
        <f t="shared" si="12"/>
        <v>1.3891567401879159</v>
      </c>
      <c r="L27" s="122">
        <f t="shared" si="12"/>
        <v>1.4232561390415555</v>
      </c>
      <c r="M27" s="122">
        <f t="shared" si="12"/>
        <v>1.4581323478445687</v>
      </c>
      <c r="N27" s="122">
        <f t="shared" si="12"/>
        <v>1.4938015945980059</v>
      </c>
      <c r="O27" s="122">
        <f t="shared" si="12"/>
        <v>1.5302803944789984</v>
      </c>
      <c r="P27" s="122">
        <f t="shared" si="12"/>
        <v>1.5675855527868869</v>
      </c>
      <c r="Q27" s="122">
        <f t="shared" si="12"/>
        <v>1.6057341678137653</v>
      </c>
      <c r="R27" s="122">
        <f t="shared" si="12"/>
        <v>1.6447436336323367</v>
      </c>
      <c r="S27" s="161">
        <f t="shared" si="12"/>
        <v>1.6846316427935746</v>
      </c>
      <c r="T27" s="122">
        <f t="shared" si="12"/>
        <v>1.725416188926338</v>
      </c>
      <c r="U27" s="122">
        <f t="shared" si="12"/>
        <v>1.7671155692306808</v>
      </c>
      <c r="V27" s="122">
        <f t="shared" si="12"/>
        <v>1.8097483868561797</v>
      </c>
      <c r="W27" s="122">
        <f t="shared" si="12"/>
        <v>1.8533335531562012</v>
      </c>
      <c r="X27" s="122">
        <f t="shared" si="12"/>
        <v>1.8978902898085577</v>
      </c>
      <c r="Y27" s="122">
        <f t="shared" si="12"/>
        <v>1.9434381307925472</v>
      </c>
      <c r="Z27" s="122">
        <f t="shared" si="12"/>
        <v>1.989996924211902</v>
      </c>
      <c r="AA27" s="122">
        <f t="shared" si="12"/>
        <v>2.0375868339526431</v>
      </c>
      <c r="AB27" s="122">
        <f t="shared" si="12"/>
        <v>2.0862283411643303</v>
      </c>
      <c r="AC27" s="122">
        <f t="shared" si="12"/>
        <v>2.1359422455526493</v>
      </c>
      <c r="AD27" s="122">
        <f t="shared" si="12"/>
        <v>2.186749666470694</v>
      </c>
      <c r="AE27" s="122">
        <f t="shared" si="12"/>
        <v>2.2386720437957304</v>
      </c>
      <c r="AF27" s="122">
        <f t="shared" si="12"/>
        <v>2.2917311385775974</v>
      </c>
      <c r="AG27" s="122">
        <f t="shared" si="12"/>
        <v>2.3459490334442465</v>
      </c>
      <c r="AH27" s="122">
        <f t="shared" si="12"/>
        <v>2.4013481327492969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1303181.1062959824</v>
      </c>
      <c r="F41" s="129">
        <f t="shared" ref="F41:S41" si="20">F25+F37</f>
        <v>1497118.1242681807</v>
      </c>
      <c r="G41" s="129">
        <f t="shared" si="20"/>
        <v>1695520.4908400308</v>
      </c>
      <c r="H41" s="129">
        <f t="shared" si="20"/>
        <v>1898483.1442659032</v>
      </c>
      <c r="I41" s="129">
        <f t="shared" si="20"/>
        <v>2106102.7708182707</v>
      </c>
      <c r="J41" s="129">
        <f t="shared" si="20"/>
        <v>2318477.826084109</v>
      </c>
      <c r="K41" s="129">
        <f t="shared" si="20"/>
        <v>2535708.5560031328</v>
      </c>
      <c r="L41" s="129">
        <f t="shared" si="20"/>
        <v>2757897.0176137015</v>
      </c>
      <c r="M41" s="129">
        <f t="shared" si="20"/>
        <v>2985147.0994703043</v>
      </c>
      <c r="N41" s="129">
        <f t="shared" si="20"/>
        <v>3217564.5416947473</v>
      </c>
      <c r="O41" s="129">
        <f t="shared" si="20"/>
        <v>3455256.9556210563</v>
      </c>
      <c r="P41" s="129">
        <f t="shared" si="20"/>
        <v>3698333.8429921605</v>
      </c>
      <c r="Q41" s="129">
        <f t="shared" si="20"/>
        <v>3946906.6146640945</v>
      </c>
      <c r="R41" s="129">
        <f t="shared" si="20"/>
        <v>4201088.6087714005</v>
      </c>
      <c r="S41" s="130">
        <f t="shared" si="20"/>
        <v>4460995.1083048321</v>
      </c>
      <c r="T41" s="130">
        <f t="shared" ref="T41:AH41" si="21">T25+T37</f>
        <v>4726743.358050203</v>
      </c>
      <c r="U41" s="130">
        <f t="shared" si="21"/>
        <v>4998452.5808345545</v>
      </c>
      <c r="V41" s="130">
        <f t="shared" si="21"/>
        <v>5276243.9930231161</v>
      </c>
      <c r="W41" s="130">
        <f t="shared" si="21"/>
        <v>5560240.8192078993</v>
      </c>
      <c r="X41" s="130">
        <f t="shared" si="21"/>
        <v>5850568.306025682</v>
      </c>
      <c r="Y41" s="130">
        <f t="shared" si="21"/>
        <v>6147353.735040227</v>
      </c>
      <c r="Z41" s="130">
        <f t="shared" si="21"/>
        <v>6450726.4346204307</v>
      </c>
      <c r="AA41" s="130">
        <f t="shared" si="21"/>
        <v>6760817.7907427568</v>
      </c>
      <c r="AB41" s="130">
        <f t="shared" si="21"/>
        <v>7077761.2566429079</v>
      </c>
      <c r="AC41" s="130">
        <f t="shared" si="21"/>
        <v>7401692.3612382207</v>
      </c>
      <c r="AD41" s="130">
        <f t="shared" si="21"/>
        <v>7732748.7162383366</v>
      </c>
      <c r="AE41" s="130">
        <f t="shared" si="21"/>
        <v>8071070.0218581278</v>
      </c>
      <c r="AF41" s="130">
        <f t="shared" si="21"/>
        <v>8416798.0710426103</v>
      </c>
      <c r="AG41" s="130">
        <f t="shared" si="21"/>
        <v>8770076.7521094065</v>
      </c>
      <c r="AH41" s="130">
        <f t="shared" si="21"/>
        <v>9131052.0497101899</v>
      </c>
    </row>
    <row r="42" spans="1:34">
      <c r="A42" s="86"/>
      <c r="B42" s="110" t="s">
        <v>329</v>
      </c>
      <c r="C42" s="323">
        <f>GapCalc!I33</f>
        <v>0.85000000000000009</v>
      </c>
      <c r="D42" s="131" t="s">
        <v>1048</v>
      </c>
      <c r="E42" s="129">
        <f>((E41*$C$42))</f>
        <v>1107703.9403515852</v>
      </c>
      <c r="F42" s="129">
        <f t="shared" ref="F42:S42" si="22">((F41*$C$42))</f>
        <v>1272550.4056279538</v>
      </c>
      <c r="G42" s="129">
        <f t="shared" si="22"/>
        <v>1441192.4172140264</v>
      </c>
      <c r="H42" s="129">
        <f t="shared" si="22"/>
        <v>1613710.6726260178</v>
      </c>
      <c r="I42" s="129">
        <f t="shared" si="22"/>
        <v>1790187.3551955302</v>
      </c>
      <c r="J42" s="129">
        <f t="shared" si="22"/>
        <v>1970706.1521714928</v>
      </c>
      <c r="K42" s="129">
        <f t="shared" si="22"/>
        <v>2155352.2726026629</v>
      </c>
      <c r="L42" s="129">
        <f t="shared" si="22"/>
        <v>2344212.4649716467</v>
      </c>
      <c r="M42" s="129">
        <f t="shared" si="22"/>
        <v>2537375.0345497588</v>
      </c>
      <c r="N42" s="129">
        <f t="shared" si="22"/>
        <v>2734929.8604405355</v>
      </c>
      <c r="O42" s="129">
        <f t="shared" si="22"/>
        <v>2936968.4122778983</v>
      </c>
      <c r="P42" s="129">
        <f t="shared" si="22"/>
        <v>3143583.7665433367</v>
      </c>
      <c r="Q42" s="129">
        <f t="shared" si="22"/>
        <v>3354870.6224644808</v>
      </c>
      <c r="R42" s="129">
        <f t="shared" si="22"/>
        <v>3570925.3174556908</v>
      </c>
      <c r="S42" s="129">
        <f t="shared" si="22"/>
        <v>3791845.8420591075</v>
      </c>
      <c r="T42" s="129">
        <f t="shared" ref="T42:AH42" si="23">((T41*$C$42))</f>
        <v>4017731.854342673</v>
      </c>
      <c r="U42" s="129">
        <f t="shared" si="23"/>
        <v>4248684.6937093716</v>
      </c>
      <c r="V42" s="129">
        <f t="shared" si="23"/>
        <v>4484807.3940696493</v>
      </c>
      <c r="W42" s="129">
        <f t="shared" si="23"/>
        <v>4726204.6963267149</v>
      </c>
      <c r="X42" s="129">
        <f t="shared" si="23"/>
        <v>4972983.0601218306</v>
      </c>
      <c r="Y42" s="129">
        <f t="shared" si="23"/>
        <v>5225250.6747841937</v>
      </c>
      <c r="Z42" s="129">
        <f t="shared" si="23"/>
        <v>5483117.4694273667</v>
      </c>
      <c r="AA42" s="129">
        <f t="shared" si="23"/>
        <v>5746695.1221313439</v>
      </c>
      <c r="AB42" s="129">
        <f t="shared" si="23"/>
        <v>6016097.0681464719</v>
      </c>
      <c r="AC42" s="129">
        <f t="shared" si="23"/>
        <v>6291438.5070524886</v>
      </c>
      <c r="AD42" s="129">
        <f t="shared" si="23"/>
        <v>6572836.4088025866</v>
      </c>
      <c r="AE42" s="129">
        <f t="shared" si="23"/>
        <v>6860409.5185794095</v>
      </c>
      <c r="AF42" s="129">
        <f t="shared" si="23"/>
        <v>7154278.3603862198</v>
      </c>
      <c r="AG42" s="129">
        <f t="shared" si="23"/>
        <v>7454565.239292996</v>
      </c>
      <c r="AH42" s="129">
        <f t="shared" si="23"/>
        <v>7761394.2422536621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195477.16594439739</v>
      </c>
      <c r="F43" s="108">
        <f t="shared" ref="F43:S43" si="24">$C$43*(F41)</f>
        <v>224567.71864022713</v>
      </c>
      <c r="G43" s="108">
        <f t="shared" si="24"/>
        <v>254328.07362600465</v>
      </c>
      <c r="H43" s="108">
        <f t="shared" si="24"/>
        <v>284772.47163988551</v>
      </c>
      <c r="I43" s="108">
        <f t="shared" si="24"/>
        <v>315915.41562274063</v>
      </c>
      <c r="J43" s="108">
        <f t="shared" si="24"/>
        <v>347771.67391261639</v>
      </c>
      <c r="K43" s="108">
        <f t="shared" si="24"/>
        <v>380356.28340046998</v>
      </c>
      <c r="L43" s="108">
        <f t="shared" si="24"/>
        <v>413684.55264205526</v>
      </c>
      <c r="M43" s="108">
        <f t="shared" si="24"/>
        <v>447772.06492054573</v>
      </c>
      <c r="N43" s="108">
        <f t="shared" si="24"/>
        <v>482634.68125421216</v>
      </c>
      <c r="O43" s="108">
        <f t="shared" si="24"/>
        <v>518288.5433431585</v>
      </c>
      <c r="P43" s="108">
        <f t="shared" si="24"/>
        <v>554750.07644882414</v>
      </c>
      <c r="Q43" s="108">
        <f t="shared" si="24"/>
        <v>592035.99219961429</v>
      </c>
      <c r="R43" s="108">
        <f t="shared" si="24"/>
        <v>630163.29131571017</v>
      </c>
      <c r="S43" s="108">
        <f t="shared" si="24"/>
        <v>669149.26624572487</v>
      </c>
      <c r="T43" s="108">
        <f t="shared" ref="T43:AH43" si="25">$C$43*(T41)</f>
        <v>709011.50370753056</v>
      </c>
      <c r="U43" s="108">
        <f t="shared" si="25"/>
        <v>749767.88712518325</v>
      </c>
      <c r="V43" s="108">
        <f t="shared" si="25"/>
        <v>791436.59895346756</v>
      </c>
      <c r="W43" s="108">
        <f t="shared" si="25"/>
        <v>834036.12288118503</v>
      </c>
      <c r="X43" s="108">
        <f t="shared" si="25"/>
        <v>877585.2459038524</v>
      </c>
      <c r="Y43" s="108">
        <f t="shared" si="25"/>
        <v>922103.06025603414</v>
      </c>
      <c r="Z43" s="108">
        <f t="shared" si="25"/>
        <v>967608.96519306477</v>
      </c>
      <c r="AA43" s="108">
        <f t="shared" si="25"/>
        <v>1014122.6686114137</v>
      </c>
      <c r="AB43" s="108">
        <f t="shared" si="25"/>
        <v>1061664.1884964362</v>
      </c>
      <c r="AC43" s="108">
        <f t="shared" si="25"/>
        <v>1110253.8541857332</v>
      </c>
      <c r="AD43" s="108">
        <f t="shared" si="25"/>
        <v>1159912.3074357507</v>
      </c>
      <c r="AE43" s="108">
        <f t="shared" si="25"/>
        <v>1210660.5032787193</v>
      </c>
      <c r="AF43" s="108">
        <f t="shared" si="25"/>
        <v>1262519.7106563917</v>
      </c>
      <c r="AG43" s="108">
        <f t="shared" si="25"/>
        <v>1315511.5128164112</v>
      </c>
      <c r="AH43" s="108">
        <f t="shared" si="25"/>
        <v>1369657.8074565288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1">
        <f>E21/Data!$C$38</f>
        <v>7.2994140705112329E-2</v>
      </c>
      <c r="F46" s="1371">
        <f>F21/Data!$C$38</f>
        <v>7.480461635701266E-2</v>
      </c>
      <c r="G46" s="1371">
        <f>G21/Data!$C$38</f>
        <v>7.6656777732461032E-2</v>
      </c>
      <c r="H46" s="1371">
        <f>H21/Data!$C$38</f>
        <v>7.8551511116086145E-2</v>
      </c>
      <c r="I46" s="1371">
        <f>I21/Data!$C$38</f>
        <v>8.0489719110929031E-2</v>
      </c>
      <c r="J46" s="1371">
        <f>J21/Data!$C$38</f>
        <v>8.2472320837252922E-2</v>
      </c>
      <c r="K46" s="1371">
        <f>K21/Data!$C$38</f>
        <v>8.4500252128943257E-2</v>
      </c>
      <c r="L46" s="1371">
        <f>L21/Data!$C$38</f>
        <v>8.6574465727178501E-2</v>
      </c>
      <c r="M46" s="1371">
        <f>M21/Data!$C$38</f>
        <v>8.8695931471035203E-2</v>
      </c>
      <c r="N46" s="1371">
        <f>N21/Data!$C$38</f>
        <v>9.0865636484673329E-2</v>
      </c>
      <c r="O46" s="1371">
        <f>O21/Data!$C$38</f>
        <v>9.3084585360729014E-2</v>
      </c>
      <c r="P46" s="1371">
        <f>P21/Data!$C$38</f>
        <v>9.535380033952276E-2</v>
      </c>
      <c r="Q46" s="1371">
        <f>Q21/Data!$C$38</f>
        <v>9.7674321483670362E-2</v>
      </c>
      <c r="R46" s="1371">
        <f>R21/Data!$C$38</f>
        <v>0.10004720684766376</v>
      </c>
      <c r="S46" s="1371">
        <f>S21/Data!$C$38</f>
        <v>0.1024735326419656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3.3109906979832744E-2</v>
      </c>
      <c r="F47" s="142">
        <f>F41/GapCalc!$H$33</f>
        <v>3.8037262505463902E-2</v>
      </c>
      <c r="G47" s="142">
        <f>G41/GapCalc!$H$33</f>
        <v>4.3078069090240034E-2</v>
      </c>
      <c r="H47" s="142">
        <f>H41/GapCalc!$H$33</f>
        <v>4.823473882926891E-2</v>
      </c>
      <c r="I47" s="142">
        <f>I41/GapCalc!$H$33</f>
        <v>5.3509728229533593E-2</v>
      </c>
      <c r="J47" s="142">
        <f>J41/GapCalc!$H$33</f>
        <v>5.8905538750969801E-2</v>
      </c>
      <c r="K47" s="142">
        <f>K41/GapCalc!$H$33</f>
        <v>6.4424717340984192E-2</v>
      </c>
      <c r="L47" s="142">
        <f>L41/GapCalc!$H$33</f>
        <v>7.006985696154526E-2</v>
      </c>
      <c r="M47" s="142">
        <f>M41/GapCalc!$H$33</f>
        <v>7.5843597107930233E-2</v>
      </c>
      <c r="N47" s="142">
        <f>N41/GapCalc!$H$33</f>
        <v>8.1748624318165264E-2</v>
      </c>
      <c r="O47" s="142">
        <f>O41/GapCalc!$H$33</f>
        <v>8.7787672672143269E-2</v>
      </c>
      <c r="P47" s="142">
        <f>P41/GapCalc!$H$33</f>
        <v>9.396352427935388E-2</v>
      </c>
      <c r="Q47" s="142">
        <f>Q41/GapCalc!$H$33</f>
        <v>0.10027900975410083</v>
      </c>
      <c r="R47" s="142">
        <f>R41/GapCalc!$H$33</f>
        <v>0.10673700867703015</v>
      </c>
      <c r="S47" s="142">
        <f>S41/GapCalc!$H$33</f>
        <v>0.11334045004172667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2.8143420932857832E-2</v>
      </c>
      <c r="F48" s="142">
        <f>F43/GapCalc!$H$32</f>
        <v>3.2331673129644314E-2</v>
      </c>
      <c r="G48" s="142">
        <f>G43/GapCalc!$H$32</f>
        <v>3.6616358726704032E-2</v>
      </c>
      <c r="H48" s="142">
        <f>H43/GapCalc!$H$32</f>
        <v>4.0999528004878577E-2</v>
      </c>
      <c r="I48" s="142">
        <f>I43/GapCalc!$H$32</f>
        <v>4.5483268995103548E-2</v>
      </c>
      <c r="J48" s="142">
        <f>J43/GapCalc!$H$32</f>
        <v>5.0069707938324326E-2</v>
      </c>
      <c r="K48" s="142">
        <f>K43/GapCalc!$H$32</f>
        <v>5.4761009739836559E-2</v>
      </c>
      <c r="L48" s="142">
        <f>L43/GapCalc!$H$32</f>
        <v>5.9559378417313472E-2</v>
      </c>
      <c r="M48" s="142">
        <f>M43/GapCalc!$H$32</f>
        <v>6.4467057541740702E-2</v>
      </c>
      <c r="N48" s="142">
        <f>N43/GapCalc!$H$32</f>
        <v>6.9486330670440466E-2</v>
      </c>
      <c r="O48" s="142">
        <f>O43/GapCalc!$H$32</f>
        <v>7.4619521771321778E-2</v>
      </c>
      <c r="P48" s="142">
        <f>P43/GapCalc!$H$32</f>
        <v>7.9868995637450799E-2</v>
      </c>
      <c r="Q48" s="142">
        <f>Q43/GapCalc!$H$32</f>
        <v>8.5237158290985701E-2</v>
      </c>
      <c r="R48" s="142">
        <f>R43/GapCalc!$H$32</f>
        <v>9.0726457375475633E-2</v>
      </c>
      <c r="S48" s="142">
        <f>S43/GapCalc!$H$32</f>
        <v>9.6339382535467658E-2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1057</v>
      </c>
      <c r="G64" s="70" t="s">
        <v>1069</v>
      </c>
    </row>
    <row r="65" spans="2:10" ht="13.5" thickBot="1">
      <c r="B65" s="1360" t="s">
        <v>1039</v>
      </c>
      <c r="C65" s="1361"/>
      <c r="D65" s="1385"/>
      <c r="E65" s="70" t="s">
        <v>1055</v>
      </c>
      <c r="G65" s="1360" t="s">
        <v>1039</v>
      </c>
      <c r="H65" s="1361"/>
      <c r="I65" s="1385"/>
      <c r="J65" s="70" t="s">
        <v>1055</v>
      </c>
    </row>
    <row r="66" spans="2:10">
      <c r="B66" s="1362" t="s">
        <v>1053</v>
      </c>
      <c r="C66" s="1407">
        <f>C70/1.63</f>
        <v>39308310.255206801</v>
      </c>
      <c r="D66" s="1386"/>
      <c r="E66" s="1406" t="s">
        <v>284</v>
      </c>
      <c r="G66" s="1362" t="s">
        <v>1072</v>
      </c>
      <c r="H66" s="1407">
        <f>H70/1.63</f>
        <v>6936760.6332717892</v>
      </c>
      <c r="I66" s="1386"/>
      <c r="J66" s="1406" t="s">
        <v>284</v>
      </c>
    </row>
    <row r="67" spans="2:10" ht="15">
      <c r="B67" s="1363" t="s">
        <v>1054</v>
      </c>
      <c r="C67" s="1422">
        <f>SUMIFS(E42:AH42, E50:AH50, "&lt;=" &amp; VALUE(RIGHT(E66, LEN(E66)-FIND(" ", E66))))</f>
        <v>11351403.215789268</v>
      </c>
      <c r="D67" s="1387" t="s">
        <v>68</v>
      </c>
      <c r="G67" s="1363" t="s">
        <v>1073</v>
      </c>
      <c r="H67" s="1402">
        <f>SUMIFS(E43:AH43, E50:AH50, "&lt;=" &amp; VALUE(RIGHT(E66, LEN(E66)-FIND(" ", E66))))</f>
        <v>2003188.8027863419</v>
      </c>
      <c r="I67" s="1387" t="s">
        <v>68</v>
      </c>
    </row>
    <row r="68" spans="2:10">
      <c r="B68" s="1363" t="s">
        <v>1077</v>
      </c>
      <c r="C68" s="1410">
        <f>IF(GapCalc!D41*C42&lt; 0,0,GapCalc!D41*C42)</f>
        <v>6686463.7166799083</v>
      </c>
      <c r="D68" s="1387" t="s">
        <v>68</v>
      </c>
      <c r="G68" s="1363" t="s">
        <v>1078</v>
      </c>
      <c r="H68" s="1410">
        <f>IF(GapCalc!D41*C43&lt; 0,0,GapCalc!D41*C43)</f>
        <v>1179964.1852964545</v>
      </c>
      <c r="I68" s="1387" t="s">
        <v>68</v>
      </c>
    </row>
    <row r="69" spans="2:10">
      <c r="B69" s="1363" t="s">
        <v>1058</v>
      </c>
      <c r="C69" s="1410">
        <f>'Debt Calc'!E60</f>
        <v>46034678.783517912</v>
      </c>
      <c r="D69" s="1388">
        <v>0.9</v>
      </c>
      <c r="G69" s="1363" t="s">
        <v>1074</v>
      </c>
      <c r="H69" s="1410">
        <f>'Debt Calc'!E59*C43</f>
        <v>8123766.84415022</v>
      </c>
      <c r="I69" s="1388">
        <v>0.9</v>
      </c>
    </row>
    <row r="70" spans="2:10">
      <c r="B70" s="1365" t="s">
        <v>1041</v>
      </c>
      <c r="C70" s="1419">
        <f>C67+C68+C69</f>
        <v>64072545.715987086</v>
      </c>
      <c r="D70" s="1387" t="s">
        <v>68</v>
      </c>
      <c r="G70" s="1365" t="s">
        <v>1041</v>
      </c>
      <c r="H70" s="1419">
        <f>H67+H68+H69</f>
        <v>11306919.832233015</v>
      </c>
      <c r="I70" s="1387" t="s">
        <v>68</v>
      </c>
    </row>
    <row r="71" spans="2:10">
      <c r="B71" s="1365" t="s">
        <v>1042</v>
      </c>
      <c r="C71" s="1413">
        <f>C70/C66</f>
        <v>1.6300000000000001</v>
      </c>
      <c r="D71" s="1389"/>
      <c r="G71" s="1365" t="s">
        <v>1042</v>
      </c>
      <c r="H71" s="1413">
        <f>H70/H66</f>
        <v>1.63</v>
      </c>
      <c r="I71" s="1389"/>
    </row>
    <row r="72" spans="2:10">
      <c r="B72" s="1363" t="s">
        <v>1043</v>
      </c>
      <c r="C72" s="1366">
        <f>(C70-C66)/C66</f>
        <v>0.63</v>
      </c>
      <c r="D72" s="1390"/>
      <c r="G72" s="1363" t="s">
        <v>1043</v>
      </c>
      <c r="H72" s="1366">
        <f>(H70-H66)/H66</f>
        <v>0.62999999999999989</v>
      </c>
      <c r="I72" s="1390"/>
    </row>
    <row r="73" spans="2:10">
      <c r="B73" s="1365" t="s">
        <v>1044</v>
      </c>
      <c r="C73" s="1408">
        <f>C72/7</f>
        <v>0.09</v>
      </c>
      <c r="D73" s="1390"/>
      <c r="G73" s="1365" t="s">
        <v>1044</v>
      </c>
      <c r="H73" s="1408">
        <f>H72/7</f>
        <v>8.9999999999999983E-2</v>
      </c>
      <c r="I73" s="1390"/>
    </row>
    <row r="74" spans="2:10" ht="13.5" thickBot="1">
      <c r="B74" s="1420" t="s">
        <v>1079</v>
      </c>
      <c r="C74" s="1423">
        <f>GapCalc!H33</f>
        <v>39359250.000000015</v>
      </c>
      <c r="D74" s="1391"/>
      <c r="F74" s="1401"/>
      <c r="G74" s="1420" t="s">
        <v>1081</v>
      </c>
      <c r="H74" s="1423">
        <f>GapCalc!H32</f>
        <v>6945750.0000000037</v>
      </c>
      <c r="I74" s="1391"/>
    </row>
    <row r="75" spans="2:10">
      <c r="B75" s="70" t="s">
        <v>1080</v>
      </c>
      <c r="C75" s="1421">
        <f>(C70-C74)/C74</f>
        <v>0.62789041244401411</v>
      </c>
      <c r="G75" s="70" t="s">
        <v>1080</v>
      </c>
      <c r="H75" s="1421">
        <f>(H70-H74)/H74</f>
        <v>0.62789041244401389</v>
      </c>
    </row>
    <row r="76" spans="2:10">
      <c r="B76" s="70" t="s">
        <v>1044</v>
      </c>
      <c r="C76" s="1421">
        <f>C75/7</f>
        <v>8.9698630349144867E-2</v>
      </c>
      <c r="G76" s="70" t="s">
        <v>1044</v>
      </c>
      <c r="H76" s="1421">
        <f>H75/7</f>
        <v>8.9698630349144839E-2</v>
      </c>
    </row>
    <row r="78" spans="2:10" ht="13.5" thickBot="1">
      <c r="B78" s="70" t="s">
        <v>1060</v>
      </c>
    </row>
    <row r="79" spans="2:10" ht="13.5" thickBot="1">
      <c r="B79" s="1360" t="s">
        <v>1039</v>
      </c>
      <c r="C79" s="1361"/>
      <c r="D79" s="1385"/>
      <c r="E79" s="70" t="s">
        <v>1055</v>
      </c>
    </row>
    <row r="80" spans="2:10">
      <c r="B80" s="1362" t="s">
        <v>1053</v>
      </c>
      <c r="C80" s="1407">
        <f>C84/1.8</f>
        <v>14252435.718017286</v>
      </c>
      <c r="D80" s="1386"/>
      <c r="E80" s="1406" t="s">
        <v>287</v>
      </c>
    </row>
    <row r="81" spans="2:10" ht="15">
      <c r="B81" s="1363" t="s">
        <v>1054</v>
      </c>
      <c r="C81" s="1402">
        <f>SUMIFS(E42:AH42, E50:AH50, "&lt;=" &amp; VALUE(RIGHT(E80, LEN(E80)-FIND(" ", E80))))</f>
        <v>18967920.575751208</v>
      </c>
      <c r="D81" s="1387" t="s">
        <v>68</v>
      </c>
    </row>
    <row r="82" spans="2:10">
      <c r="B82" s="1363" t="s">
        <v>1058</v>
      </c>
      <c r="C82" s="1410">
        <f>C68</f>
        <v>6686463.7166799083</v>
      </c>
      <c r="D82" s="1387" t="s">
        <v>68</v>
      </c>
    </row>
    <row r="83" spans="2:10">
      <c r="B83" s="1363" t="s">
        <v>1040</v>
      </c>
      <c r="C83" s="1364"/>
      <c r="D83" s="1388">
        <v>0.9</v>
      </c>
    </row>
    <row r="84" spans="2:10">
      <c r="B84" s="1365" t="s">
        <v>1041</v>
      </c>
      <c r="C84" s="1419">
        <f>C81+C82+C83</f>
        <v>25654384.292431116</v>
      </c>
      <c r="D84" s="1387" t="s">
        <v>68</v>
      </c>
    </row>
    <row r="85" spans="2:10">
      <c r="B85" s="1365" t="s">
        <v>1042</v>
      </c>
      <c r="C85" s="1409">
        <v>1.8</v>
      </c>
      <c r="D85" s="1389"/>
    </row>
    <row r="86" spans="2:10">
      <c r="B86" s="1363" t="s">
        <v>1043</v>
      </c>
      <c r="C86" s="1366">
        <f>(C84-C80)/C80</f>
        <v>0.80000000000000016</v>
      </c>
      <c r="D86" s="1390"/>
    </row>
    <row r="87" spans="2:10">
      <c r="B87" s="1365" t="s">
        <v>1044</v>
      </c>
      <c r="C87" s="1408">
        <f>C86/10</f>
        <v>8.0000000000000016E-2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1057</v>
      </c>
      <c r="G91" s="70" t="s">
        <v>1069</v>
      </c>
    </row>
    <row r="92" spans="2:10" ht="13.5" thickBot="1">
      <c r="B92" s="1360" t="s">
        <v>1039</v>
      </c>
      <c r="C92" s="1361"/>
      <c r="D92" s="1385"/>
      <c r="E92" s="70" t="s">
        <v>1055</v>
      </c>
      <c r="G92" s="1360" t="s">
        <v>1039</v>
      </c>
      <c r="H92" s="1361"/>
      <c r="I92" s="1385"/>
      <c r="J92" s="70" t="s">
        <v>1055</v>
      </c>
    </row>
    <row r="93" spans="2:10">
      <c r="B93" s="1362" t="s">
        <v>1053</v>
      </c>
      <c r="C93" s="1407">
        <f>C97/1.63</f>
        <v>56006720.998130426</v>
      </c>
      <c r="D93" s="1386"/>
      <c r="E93" s="1406" t="s">
        <v>287</v>
      </c>
      <c r="G93" s="1362" t="s">
        <v>1072</v>
      </c>
      <c r="H93" s="1407">
        <f>H97/1.63</f>
        <v>7761356.5221164608</v>
      </c>
      <c r="I93" s="1386"/>
      <c r="J93" s="1406" t="s">
        <v>287</v>
      </c>
    </row>
    <row r="94" spans="2:10" ht="15">
      <c r="B94" s="1363" t="s">
        <v>1054</v>
      </c>
      <c r="C94" s="1422">
        <f>SUMIFS(E42:AH42, E50:AH50, "&lt;=" &amp; VALUE(RIGHT(E93, LEN(E93)-FIND(" ", E93))))</f>
        <v>18967920.575751208</v>
      </c>
      <c r="D94" s="1387" t="s">
        <v>68</v>
      </c>
      <c r="G94" s="1363" t="s">
        <v>1073</v>
      </c>
      <c r="H94" s="1402">
        <f>SUMIFS(E43:AH43, E50:AH50, "&lt;=" &amp; VALUE(RIGHT(J93, LEN(J93)-FIND(" ", J93))))</f>
        <v>3347280.101603155</v>
      </c>
      <c r="I94" s="1387" t="s">
        <v>68</v>
      </c>
    </row>
    <row r="95" spans="2:10">
      <c r="B95" s="1363" t="s">
        <v>1077</v>
      </c>
      <c r="C95" s="1410">
        <f>IF(GapCalc!D41*C42&lt; 0,0,GapCalc!D41*C42)</f>
        <v>6686463.7166799083</v>
      </c>
      <c r="D95" s="1387" t="s">
        <v>68</v>
      </c>
      <c r="G95" s="1363" t="s">
        <v>1078</v>
      </c>
      <c r="H95" s="1410">
        <f>IF(GapCalc!D41*C43&lt; 0,0,GapCalc!D41*C43)</f>
        <v>1179964.1852964545</v>
      </c>
      <c r="I95" s="1387" t="s">
        <v>68</v>
      </c>
    </row>
    <row r="96" spans="2:10">
      <c r="B96" s="1363" t="s">
        <v>1058</v>
      </c>
      <c r="C96" s="1410">
        <f>'Debt Calc'!H60</f>
        <v>65636570.934521459</v>
      </c>
      <c r="D96" s="1388">
        <v>0.9</v>
      </c>
      <c r="G96" s="1363" t="s">
        <v>1074</v>
      </c>
      <c r="H96" s="1410">
        <f>'Debt Calc'!E59*C43</f>
        <v>8123766.84415022</v>
      </c>
      <c r="I96" s="1388">
        <v>0.9</v>
      </c>
    </row>
    <row r="97" spans="2:9">
      <c r="B97" s="1365" t="s">
        <v>1041</v>
      </c>
      <c r="C97" s="1419">
        <f>C94+C95+C96</f>
        <v>91290955.226952583</v>
      </c>
      <c r="D97" s="1387" t="s">
        <v>68</v>
      </c>
      <c r="G97" s="1365" t="s">
        <v>1041</v>
      </c>
      <c r="H97" s="1419">
        <f>H94+H95+H96</f>
        <v>12651011.13104983</v>
      </c>
      <c r="I97" s="1387" t="s">
        <v>68</v>
      </c>
    </row>
    <row r="98" spans="2:9">
      <c r="B98" s="1365" t="s">
        <v>1042</v>
      </c>
      <c r="C98" s="1413">
        <f>C97/C93</f>
        <v>1.63</v>
      </c>
      <c r="D98" s="1389"/>
      <c r="G98" s="1365" t="s">
        <v>1042</v>
      </c>
      <c r="H98" s="1413">
        <f>H97/H93</f>
        <v>1.63</v>
      </c>
      <c r="I98" s="1389"/>
    </row>
    <row r="99" spans="2:9">
      <c r="B99" s="1363" t="s">
        <v>1043</v>
      </c>
      <c r="C99" s="1366">
        <f>(C97-C93)/C93</f>
        <v>0.62999999999999978</v>
      </c>
      <c r="D99" s="1390"/>
      <c r="G99" s="1363" t="s">
        <v>1043</v>
      </c>
      <c r="H99" s="1366">
        <f>(H97-H93)/H93</f>
        <v>0.62999999999999989</v>
      </c>
      <c r="I99" s="1390"/>
    </row>
    <row r="100" spans="2:9">
      <c r="B100" s="1365" t="s">
        <v>1044</v>
      </c>
      <c r="C100" s="1408">
        <f>C99/7</f>
        <v>8.9999999999999969E-2</v>
      </c>
      <c r="D100" s="1390"/>
      <c r="G100" s="1365" t="s">
        <v>1044</v>
      </c>
      <c r="H100" s="1408">
        <f>H99/7</f>
        <v>8.9999999999999983E-2</v>
      </c>
      <c r="I100" s="1390"/>
    </row>
    <row r="101" spans="2:9" ht="13.5" thickBot="1">
      <c r="B101" s="1420" t="s">
        <v>1079</v>
      </c>
      <c r="C101" s="1423">
        <f>GapCalc!H33</f>
        <v>39359250.000000015</v>
      </c>
      <c r="D101" s="1391"/>
      <c r="G101" s="1420" t="s">
        <v>1081</v>
      </c>
      <c r="H101" s="1423">
        <f>GapCalc!H32</f>
        <v>6945750.0000000037</v>
      </c>
      <c r="I101" s="1391"/>
    </row>
    <row r="102" spans="2:9">
      <c r="B102" s="70" t="s">
        <v>1080</v>
      </c>
      <c r="C102" s="1421">
        <f>(C97-C101)/C101</f>
        <v>1.3194282214969175</v>
      </c>
      <c r="G102" s="70" t="s">
        <v>1080</v>
      </c>
      <c r="H102" s="1421">
        <f>(H97-H101)/H101</f>
        <v>0.82140317907350879</v>
      </c>
    </row>
    <row r="103" spans="2:9">
      <c r="B103" s="70" t="s">
        <v>1044</v>
      </c>
      <c r="C103" s="1421">
        <f>C102/10</f>
        <v>0.13194282214969175</v>
      </c>
      <c r="G103" s="70" t="s">
        <v>1044</v>
      </c>
      <c r="H103" s="1421">
        <f>H102/10</f>
        <v>8.2140317907350879E-2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204810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40962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245772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599"/>
      <c r="R16" s="1599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600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601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245772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245772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39" t="s">
        <v>969</v>
      </c>
      <c r="M46" s="1241">
        <f>'Rental Income'!D15</f>
        <v>252</v>
      </c>
      <c r="N46" s="1236"/>
      <c r="O46" s="1236"/>
      <c r="P46" s="1236"/>
      <c r="Q46" s="845"/>
    </row>
    <row r="47" spans="1:18">
      <c r="A47" s="879"/>
      <c r="B47" s="878" t="s">
        <v>673</v>
      </c>
      <c r="C47" s="906">
        <f>ROUNDDOWN(M46*M47,1)</f>
        <v>126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0" t="s">
        <v>970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679</v>
      </c>
      <c r="C49" s="906">
        <f>SUM(C47:C48)</f>
        <v>126</v>
      </c>
      <c r="D49" s="866"/>
      <c r="E49" s="845" t="s">
        <v>576</v>
      </c>
      <c r="F49" s="845"/>
      <c r="G49" s="913">
        <v>143</v>
      </c>
      <c r="H49" s="874">
        <f>C53*D53</f>
        <v>50068.038461538468</v>
      </c>
      <c r="I49" s="874">
        <f>G49*H49</f>
        <v>7159729.5000000009</v>
      </c>
      <c r="J49" s="915">
        <f>IFERROR(I49/C53,0)</f>
        <v>56823.250000000007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60</v>
      </c>
      <c r="F51" s="919"/>
      <c r="G51" s="919"/>
      <c r="H51" s="920">
        <f>SUM(H48:H50)</f>
        <v>50068.038461538468</v>
      </c>
      <c r="I51" s="920">
        <f>SUM(I48:I50)</f>
        <v>7159729.5000000009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576</v>
      </c>
      <c r="C53" s="921">
        <v>126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7159729.5000000009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679</v>
      </c>
      <c r="C55" s="870">
        <f>SUM(C52:C54)</f>
        <v>126</v>
      </c>
      <c r="D55" s="845"/>
      <c r="E55" s="845"/>
      <c r="F55" s="927"/>
      <c r="G55" s="845"/>
      <c r="H55" s="862" t="s">
        <v>684</v>
      </c>
      <c r="I55" s="929">
        <f>SUM(I53:I54)</f>
        <v>7159729.5000000009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685</v>
      </c>
      <c r="C56" s="931">
        <f>C49-C55</f>
        <v>0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686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687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688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689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690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692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693</v>
      </c>
      <c r="C65" s="1584"/>
      <c r="D65" s="1584"/>
      <c r="E65" s="1576"/>
      <c r="F65" s="1586" t="s">
        <v>694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695</v>
      </c>
      <c r="C66" s="1577">
        <f>2000+1000</f>
        <v>3000</v>
      </c>
      <c r="D66" s="1576"/>
      <c r="E66" s="1576"/>
      <c r="F66" s="1578" t="s">
        <v>696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697</v>
      </c>
      <c r="C67" s="1577">
        <v>0</v>
      </c>
      <c r="D67" s="1574">
        <v>0.04</v>
      </c>
      <c r="E67" s="1576"/>
      <c r="F67" s="1578" t="s">
        <v>698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698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699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700</v>
      </c>
      <c r="G70" s="1591" t="s">
        <v>701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702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695</v>
      </c>
      <c r="C73" s="1577">
        <v>1000</v>
      </c>
      <c r="D73" s="1589" t="s">
        <v>703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704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698</v>
      </c>
      <c r="C75" s="1573">
        <v>0</v>
      </c>
      <c r="D75" s="1574">
        <v>0.02</v>
      </c>
      <c r="E75" s="1576" t="s">
        <v>705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699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700</v>
      </c>
      <c r="B79" s="1593" t="s">
        <v>706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2"/>
      <c r="E92" s="1602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6515905.5314799119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93861427.901976362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93861400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28702364.054887589</v>
      </c>
    </row>
    <row r="15" spans="2:36">
      <c r="B15" s="556"/>
      <c r="C15" s="560" t="s">
        <v>633</v>
      </c>
      <c r="H15" s="561">
        <f>12*PMT(Data!C24/12,Data!C29*12,-'Debt Calc'!H14)</f>
        <v>6515903.5945112444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-11130444.521409601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-11130444.521409601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93861400</v>
      </c>
      <c r="E21" s="561">
        <f>$H$15</f>
        <v>6515903.5945112444</v>
      </c>
      <c r="F21" s="561">
        <f>E21-G21</f>
        <v>0</v>
      </c>
      <c r="G21" s="561">
        <f>D21-H21</f>
        <v>6515903.5945112407</v>
      </c>
      <c r="H21" s="561">
        <f>D21-E21</f>
        <v>87345496.405488759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87345496.405488759</v>
      </c>
      <c r="E22" s="561">
        <f t="shared" ref="E22:E50" si="1">$H$15</f>
        <v>6515903.5945112444</v>
      </c>
      <c r="F22" s="561">
        <f t="shared" ref="F22:F50" si="2">E22-G22</f>
        <v>0</v>
      </c>
      <c r="G22" s="561">
        <f t="shared" ref="G22:G50" si="3">D22-H22</f>
        <v>6515903.5945112407</v>
      </c>
      <c r="H22" s="561">
        <f t="shared" ref="H22:H39" si="4">D22-E22</f>
        <v>80829592.810977519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80829592.810977519</v>
      </c>
      <c r="E23" s="561">
        <f t="shared" si="1"/>
        <v>6515903.5945112444</v>
      </c>
      <c r="F23" s="561">
        <f t="shared" si="2"/>
        <v>0</v>
      </c>
      <c r="G23" s="561">
        <f t="shared" si="3"/>
        <v>6515903.5945112407</v>
      </c>
      <c r="H23" s="561">
        <f t="shared" si="4"/>
        <v>74313689.216466278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74313689.216466278</v>
      </c>
      <c r="E24" s="561">
        <f t="shared" si="1"/>
        <v>6515903.5945112444</v>
      </c>
      <c r="F24" s="561">
        <f t="shared" si="2"/>
        <v>0</v>
      </c>
      <c r="G24" s="561">
        <f t="shared" si="3"/>
        <v>6515903.5945112407</v>
      </c>
      <c r="H24" s="561">
        <f t="shared" si="4"/>
        <v>67797785.621955037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67797785.621955037</v>
      </c>
      <c r="E25" s="561">
        <f t="shared" si="1"/>
        <v>6515903.5945112444</v>
      </c>
      <c r="F25" s="561">
        <f t="shared" si="2"/>
        <v>0</v>
      </c>
      <c r="G25" s="561">
        <f t="shared" si="3"/>
        <v>6515903.5945112407</v>
      </c>
      <c r="H25" s="561">
        <f t="shared" si="4"/>
        <v>61281882.027443796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61281882.027443796</v>
      </c>
      <c r="E26" s="561">
        <f t="shared" si="1"/>
        <v>6515903.5945112444</v>
      </c>
      <c r="F26" s="561">
        <f t="shared" si="2"/>
        <v>0</v>
      </c>
      <c r="G26" s="561">
        <f t="shared" si="3"/>
        <v>6515903.5945112407</v>
      </c>
      <c r="H26" s="561">
        <f t="shared" si="4"/>
        <v>54765978.432932556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54765978.432932556</v>
      </c>
      <c r="E27" s="561">
        <f t="shared" si="1"/>
        <v>6515903.5945112444</v>
      </c>
      <c r="F27" s="561">
        <f t="shared" si="2"/>
        <v>0</v>
      </c>
      <c r="G27" s="561">
        <f t="shared" si="3"/>
        <v>6515903.5945112407</v>
      </c>
      <c r="H27" s="561">
        <f t="shared" si="4"/>
        <v>48250074.838421315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48250074.838421315</v>
      </c>
      <c r="E28" s="561">
        <f t="shared" si="1"/>
        <v>6515903.5945112444</v>
      </c>
      <c r="F28" s="561">
        <f t="shared" si="2"/>
        <v>0</v>
      </c>
      <c r="G28" s="561">
        <f t="shared" si="3"/>
        <v>6515903.5945112407</v>
      </c>
      <c r="H28" s="561">
        <f t="shared" si="4"/>
        <v>41734171.243910074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41734171.243910074</v>
      </c>
      <c r="E29" s="561">
        <f t="shared" si="1"/>
        <v>6515903.5945112444</v>
      </c>
      <c r="F29" s="561">
        <f t="shared" si="2"/>
        <v>0</v>
      </c>
      <c r="G29" s="561">
        <f t="shared" si="3"/>
        <v>6515903.5945112407</v>
      </c>
      <c r="H29" s="561">
        <f t="shared" si="4"/>
        <v>35218267.649398834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35218267.649398834</v>
      </c>
      <c r="E30" s="561">
        <f t="shared" si="1"/>
        <v>6515903.5945112444</v>
      </c>
      <c r="F30" s="561">
        <f t="shared" si="2"/>
        <v>0</v>
      </c>
      <c r="G30" s="561">
        <f t="shared" si="3"/>
        <v>6515903.5945112444</v>
      </c>
      <c r="H30" s="561">
        <f>D30-E30</f>
        <v>28702364.054887589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28702364.054887589</v>
      </c>
      <c r="E31" s="561">
        <f t="shared" si="1"/>
        <v>6515903.5945112444</v>
      </c>
      <c r="F31" s="561">
        <f t="shared" si="2"/>
        <v>0</v>
      </c>
      <c r="G31" s="561">
        <f t="shared" si="3"/>
        <v>6515903.5945112444</v>
      </c>
      <c r="H31" s="561">
        <f t="shared" si="4"/>
        <v>22186460.460376345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22186460.460376345</v>
      </c>
      <c r="E32" s="561">
        <f t="shared" si="1"/>
        <v>6515903.5945112444</v>
      </c>
      <c r="F32" s="561">
        <f t="shared" si="2"/>
        <v>0</v>
      </c>
      <c r="G32" s="561">
        <f t="shared" si="3"/>
        <v>6515903.5945112444</v>
      </c>
      <c r="H32" s="561">
        <f t="shared" si="4"/>
        <v>15670556.8658651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15670556.8658651</v>
      </c>
      <c r="E33" s="561">
        <f t="shared" si="1"/>
        <v>6515903.5945112444</v>
      </c>
      <c r="F33" s="561">
        <f t="shared" si="2"/>
        <v>0</v>
      </c>
      <c r="G33" s="561">
        <f t="shared" si="3"/>
        <v>6515903.5945112444</v>
      </c>
      <c r="H33" s="561">
        <f t="shared" si="4"/>
        <v>9154653.2713538557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9154653.2713538557</v>
      </c>
      <c r="E34" s="561">
        <f t="shared" si="1"/>
        <v>6515903.5945112444</v>
      </c>
      <c r="F34" s="561">
        <f t="shared" si="2"/>
        <v>0</v>
      </c>
      <c r="G34" s="561">
        <f t="shared" si="3"/>
        <v>6515903.5945112444</v>
      </c>
      <c r="H34" s="561">
        <f t="shared" si="4"/>
        <v>2638749.6768426113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2638749.6768426113</v>
      </c>
      <c r="E35" s="561">
        <f t="shared" si="1"/>
        <v>6515903.5945112444</v>
      </c>
      <c r="F35" s="561">
        <f t="shared" si="2"/>
        <v>0</v>
      </c>
      <c r="G35" s="561">
        <f t="shared" si="3"/>
        <v>6515903.5945112444</v>
      </c>
      <c r="H35" s="561">
        <f t="shared" si="4"/>
        <v>-3877153.9176686332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-3877153.9176686332</v>
      </c>
      <c r="E36" s="561">
        <f t="shared" si="1"/>
        <v>6515903.5945112444</v>
      </c>
      <c r="F36" s="561">
        <f t="shared" si="2"/>
        <v>0</v>
      </c>
      <c r="G36" s="561">
        <f t="shared" si="3"/>
        <v>6515903.5945112444</v>
      </c>
      <c r="H36" s="561">
        <f t="shared" si="4"/>
        <v>-10393057.512179878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-10393057.512179878</v>
      </c>
      <c r="E37" s="561">
        <f t="shared" si="1"/>
        <v>6515903.5945112444</v>
      </c>
      <c r="F37" s="561">
        <f t="shared" si="2"/>
        <v>0</v>
      </c>
      <c r="G37" s="561">
        <f t="shared" si="3"/>
        <v>6515903.5945112444</v>
      </c>
      <c r="H37" s="561">
        <f t="shared" si="4"/>
        <v>-16908961.106691122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-16908961.106691122</v>
      </c>
      <c r="E38" s="561">
        <f t="shared" si="1"/>
        <v>6515903.5945112444</v>
      </c>
      <c r="F38" s="561">
        <f t="shared" si="2"/>
        <v>0</v>
      </c>
      <c r="G38" s="561">
        <f t="shared" si="3"/>
        <v>6515903.5945112444</v>
      </c>
      <c r="H38" s="561">
        <f>D38-E38</f>
        <v>-23424864.701202367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-23424864.701202367</v>
      </c>
      <c r="E39" s="561">
        <f t="shared" si="1"/>
        <v>6515903.5945112444</v>
      </c>
      <c r="F39" s="561">
        <f t="shared" si="2"/>
        <v>0</v>
      </c>
      <c r="G39" s="561">
        <f t="shared" si="3"/>
        <v>6515903.5945112444</v>
      </c>
      <c r="H39" s="561">
        <f t="shared" si="4"/>
        <v>-29940768.295713611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-29940768.295713611</v>
      </c>
      <c r="E40" s="561">
        <f t="shared" si="1"/>
        <v>6515903.5945112444</v>
      </c>
      <c r="F40" s="561">
        <f t="shared" si="2"/>
        <v>36456671.890224859</v>
      </c>
      <c r="G40" s="561">
        <f t="shared" si="3"/>
        <v>-29940768.295713611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6515903.5945112444</v>
      </c>
      <c r="F41" s="561">
        <f t="shared" si="2"/>
        <v>6515903.5945112444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6515903.5945112444</v>
      </c>
      <c r="F42" s="561">
        <f t="shared" si="2"/>
        <v>6515903.5945112444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6515903.5945112444</v>
      </c>
      <c r="F43" s="561">
        <f t="shared" si="2"/>
        <v>6515903.5945112444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6515903.5945112444</v>
      </c>
      <c r="F44" s="561">
        <f t="shared" si="2"/>
        <v>6515903.5945112444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6515903.5945112444</v>
      </c>
      <c r="F45" s="561">
        <f t="shared" si="2"/>
        <v>6515903.5945112444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6515903.5945112444</v>
      </c>
      <c r="F46" s="561">
        <f t="shared" si="2"/>
        <v>6515903.5945112444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6515903.5945112444</v>
      </c>
      <c r="F47" s="561">
        <f t="shared" si="2"/>
        <v>6515903.5945112444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6515903.5945112444</v>
      </c>
      <c r="F48" s="561">
        <f t="shared" si="2"/>
        <v>6515903.5945112444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6515903.5945112444</v>
      </c>
      <c r="F49" s="561">
        <f t="shared" si="2"/>
        <v>6515903.5945112444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6515903.5945112444</v>
      </c>
      <c r="F50" s="561">
        <f t="shared" si="2"/>
        <v>6515903.5945112444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1076</v>
      </c>
      <c r="E54" s="1499"/>
      <c r="F54" s="561"/>
      <c r="G54" s="1500" t="s">
        <v>1088</v>
      </c>
      <c r="H54" s="1501"/>
    </row>
    <row r="55" spans="2:28">
      <c r="D55" s="1497" t="s">
        <v>1063</v>
      </c>
      <c r="E55" s="1506">
        <f>'Cash Flow'!K15/0.05</f>
        <v>239868082.75083497</v>
      </c>
      <c r="F55" s="561"/>
      <c r="G55" s="1505" t="s">
        <v>1063</v>
      </c>
      <c r="H55" s="1509">
        <f>'Cash Flow'!N15/0.05</f>
        <v>258311689.55109826</v>
      </c>
    </row>
    <row r="56" spans="2:28">
      <c r="D56" s="1495" t="s">
        <v>1064</v>
      </c>
      <c r="E56" s="1507">
        <f>'Cash Flow'!K21/1.2</f>
        <v>7543011.7395692039</v>
      </c>
      <c r="F56" s="561"/>
      <c r="G56" s="1503" t="s">
        <v>1064</v>
      </c>
      <c r="H56" s="1510">
        <f>'Cash Flow'!N21/1.2</f>
        <v>8111225.0609788829</v>
      </c>
    </row>
    <row r="57" spans="2:28">
      <c r="D57" s="1495" t="s">
        <v>1065</v>
      </c>
      <c r="E57" s="1507">
        <f>E55*0.6</f>
        <v>143920849.65050098</v>
      </c>
      <c r="F57" s="561"/>
      <c r="G57" s="1503" t="s">
        <v>1065</v>
      </c>
      <c r="H57" s="1510">
        <f>H55*0.6</f>
        <v>154987013.73065895</v>
      </c>
    </row>
    <row r="58" spans="2:28">
      <c r="D58" s="1495" t="s">
        <v>1066</v>
      </c>
      <c r="E58" s="1507">
        <f>-PV(6.5%,34,E56)</f>
        <v>102408520.46608944</v>
      </c>
      <c r="F58" s="561"/>
      <c r="G58" s="1503" t="s">
        <v>1066</v>
      </c>
      <c r="H58" s="1510">
        <f>-PV(6.5%,30,H56)</f>
        <v>105921859.27197166</v>
      </c>
    </row>
    <row r="59" spans="2:28">
      <c r="D59" s="1494" t="s">
        <v>1067</v>
      </c>
      <c r="E59" s="1507">
        <f>E58-H27</f>
        <v>54158445.627668127</v>
      </c>
      <c r="F59" s="561"/>
      <c r="G59" s="1502" t="s">
        <v>1067</v>
      </c>
      <c r="H59" s="1510">
        <f>H58-H30</f>
        <v>77219495.217084065</v>
      </c>
    </row>
    <row r="60" spans="2:28" ht="13.5" thickBot="1">
      <c r="D60" s="1496" t="s">
        <v>1068</v>
      </c>
      <c r="E60" s="1508">
        <f>E59*GapCalc!I33</f>
        <v>46034678.783517912</v>
      </c>
      <c r="F60" s="561"/>
      <c r="G60" s="1504" t="s">
        <v>1068</v>
      </c>
      <c r="H60" s="1511">
        <f>H59*GapCalc!I33</f>
        <v>65636570.934521459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3" t="s">
        <v>972</v>
      </c>
      <c r="C3" s="1257">
        <f>'Development Budget'!E18</f>
        <v>16380000</v>
      </c>
      <c r="D3" s="1244" t="s">
        <v>974</v>
      </c>
      <c r="E3" s="1255">
        <v>1.199398E-2</v>
      </c>
    </row>
    <row r="4" spans="1:5" ht="31.5">
      <c r="B4" s="1245" t="s">
        <v>973</v>
      </c>
      <c r="C4" s="1258">
        <f>SUM('Development Budget'!G31+'Development Budget'!G32)</f>
        <v>80891329.5</v>
      </c>
      <c r="D4" s="1246" t="s">
        <v>975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976</v>
      </c>
      <c r="C6" s="1244" t="s">
        <v>977</v>
      </c>
      <c r="D6" s="1247" t="s">
        <v>978</v>
      </c>
      <c r="E6" s="1177"/>
    </row>
    <row r="7" spans="1:5">
      <c r="A7" s="1250"/>
      <c r="B7" s="1259">
        <f>C3*E3</f>
        <v>196461.39239999998</v>
      </c>
      <c r="C7" s="1259">
        <f>C4*E4</f>
        <v>970208.98819641001</v>
      </c>
      <c r="D7" s="1251">
        <f>(1-'Rental Income'!O19)</f>
        <v>0.80158730158730163</v>
      </c>
    </row>
    <row r="8" spans="1:5">
      <c r="A8" s="1252" t="s">
        <v>979</v>
      </c>
      <c r="B8" s="1259">
        <f>B7*D7</f>
        <v>157480.95739999998</v>
      </c>
      <c r="C8" s="1259">
        <f>C7*D7</f>
        <v>777707.20482410642</v>
      </c>
      <c r="D8" s="1253"/>
    </row>
    <row r="9" spans="1:5">
      <c r="A9" s="1250"/>
      <c r="B9" s="1259"/>
      <c r="C9" s="1259"/>
      <c r="D9" s="1253"/>
    </row>
    <row r="10" spans="1:5">
      <c r="A10" s="1254" t="s">
        <v>980</v>
      </c>
      <c r="B10" s="1260">
        <f>SUM(B8:C8)</f>
        <v>935188.16222410637</v>
      </c>
      <c r="C10" s="1260"/>
      <c r="D10" s="1248"/>
    </row>
    <row r="12" spans="1:5">
      <c r="A12" t="s">
        <v>989</v>
      </c>
    </row>
    <row r="13" spans="1:5">
      <c r="A13" t="s">
        <v>990</v>
      </c>
      <c r="B13">
        <v>6</v>
      </c>
      <c r="C13" s="1267">
        <f>C3*(E3/12)*B13</f>
        <v>98230.696200000006</v>
      </c>
    </row>
    <row r="14" spans="1:5">
      <c r="A14" t="s">
        <v>991</v>
      </c>
      <c r="B14">
        <v>24</v>
      </c>
      <c r="C14" s="1267">
        <f>C3*(E3/12)*B14</f>
        <v>392922.78480000002</v>
      </c>
    </row>
    <row r="15" spans="1:5">
      <c r="A15" s="40" t="s">
        <v>993</v>
      </c>
      <c r="C15" s="1270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10880604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164</v>
      </c>
      <c r="D19" s="57">
        <f>SUM(D15:D18)</f>
        <v>10341874.800000001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935188.16222410637</v>
      </c>
      <c r="Y56" s="1171">
        <f>X56/'Rental Income'!D15</f>
        <v>3711.064135809946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169">
        <f>SUM(X68,X64,X54,X39,X31)</f>
        <v>1455015.2755574398</v>
      </c>
      <c r="Y70" s="1169">
        <f>X70/D10</f>
        <v>5773.8701411009515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171">
        <f>Y70-6000</f>
        <v>-226.12985889904849</v>
      </c>
    </row>
    <row r="75" spans="1:25">
      <c r="A75" s="44" t="s">
        <v>259</v>
      </c>
      <c r="B75" s="45"/>
      <c r="C75" s="45"/>
      <c r="D75" s="52">
        <f>D19-D73</f>
        <v>8173702.2059200015</v>
      </c>
      <c r="E75" s="52">
        <f>D75/D10</f>
        <v>32435.326213968259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245772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1.4938345234782828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93861427.901976362</v>
      </c>
      <c r="C21" s="48">
        <v>18731659</v>
      </c>
      <c r="D21" s="48">
        <f>B21-C21</f>
        <v>75129768.901976362</v>
      </c>
      <c r="E21" s="55">
        <f>D21/B21</f>
        <v>0.80043283573778257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7866427.9019763619</v>
      </c>
      <c r="C28" s="50"/>
      <c r="D28" s="50">
        <f t="shared" si="5"/>
        <v>7866427.9019763619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1003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1004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1005</v>
      </c>
      <c r="B3" s="1294" t="s">
        <v>1086</v>
      </c>
      <c r="C3" s="1295"/>
      <c r="D3" s="1295" t="s">
        <v>1006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1007</v>
      </c>
      <c r="B4" s="1298" t="s">
        <v>1008</v>
      </c>
      <c r="C4" s="1299"/>
      <c r="D4" s="1299"/>
      <c r="E4" s="1299" t="s">
        <v>1009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1010</v>
      </c>
      <c r="D5" s="1299"/>
      <c r="E5" s="1299"/>
      <c r="F5" s="1299"/>
      <c r="G5" s="1299"/>
      <c r="H5" s="1299"/>
      <c r="I5" s="1302" t="s">
        <v>1011</v>
      </c>
      <c r="J5" s="1299"/>
      <c r="K5" s="1301"/>
    </row>
    <row r="6" spans="1:11" ht="16.5" thickBot="1">
      <c r="A6" s="1303" t="s">
        <v>1012</v>
      </c>
      <c r="B6" s="1304"/>
      <c r="C6" s="1305">
        <v>20</v>
      </c>
      <c r="D6" s="1304"/>
      <c r="E6" s="1304" t="s">
        <v>1013</v>
      </c>
      <c r="F6" s="1304"/>
      <c r="G6" s="1304"/>
      <c r="H6" s="1306">
        <f>'Development Budget'!G46+'Development Budget'!G47</f>
        <v>111390578.06249999</v>
      </c>
      <c r="I6" s="1307"/>
      <c r="J6" s="1308"/>
      <c r="K6" s="1309"/>
    </row>
    <row r="7" spans="1:11">
      <c r="A7" s="1310" t="s">
        <v>1014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1015</v>
      </c>
      <c r="B8" s="1312"/>
      <c r="C8" s="1312"/>
      <c r="D8" s="1315">
        <f>SUM(H6/1000)*0.9+500</f>
        <v>100751.52025624999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1016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90676.368230624998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1017</v>
      </c>
      <c r="B13" s="1312"/>
      <c r="C13" s="1312"/>
      <c r="D13" s="1315">
        <f>SUM(A14+A15+A16)/100*0.415/12*C6</f>
        <v>802579.41493229149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111390578.06249999</v>
      </c>
      <c r="B14" s="1312" t="s">
        <v>1018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1019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1020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1021</v>
      </c>
      <c r="B17" s="1312"/>
      <c r="C17" s="1312"/>
      <c r="D17" s="1315">
        <f>SUM(H6/1000)*0.23</f>
        <v>25619.832954375001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1022</v>
      </c>
      <c r="B19" s="1312"/>
      <c r="C19" s="1312"/>
      <c r="D19" s="1315"/>
      <c r="E19" s="1320">
        <f>SUM(D8:D17)</f>
        <v>1019627.1363735414</v>
      </c>
      <c r="F19" s="1312"/>
      <c r="G19" s="1321" t="s">
        <v>1023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1024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1025</v>
      </c>
      <c r="B23" s="1333" t="str">
        <f>B3</f>
        <v>St. James UMC</v>
      </c>
      <c r="C23" s="1333"/>
      <c r="D23" s="1333"/>
      <c r="E23" s="1333" t="s">
        <v>1026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1008</v>
      </c>
      <c r="C24" s="1333"/>
      <c r="D24" s="1333"/>
      <c r="E24" s="1333"/>
      <c r="F24" s="1333"/>
      <c r="G24" s="1333"/>
      <c r="H24" s="1333"/>
      <c r="I24" s="1337" t="s">
        <v>1011</v>
      </c>
      <c r="J24" s="1333"/>
      <c r="K24" s="1335"/>
    </row>
    <row r="25" spans="1:11" ht="16.5" thickBot="1">
      <c r="A25" s="1338" t="s">
        <v>1027</v>
      </c>
      <c r="B25" s="1339"/>
      <c r="C25" s="1340">
        <v>50</v>
      </c>
      <c r="D25" s="1339"/>
      <c r="E25" s="1339" t="s">
        <v>1028</v>
      </c>
      <c r="F25" s="1339"/>
      <c r="G25" s="1339"/>
      <c r="H25" s="1341">
        <f>SUM(H6*0.8)</f>
        <v>89112462.449999988</v>
      </c>
      <c r="I25" s="1342"/>
      <c r="J25" s="1343"/>
      <c r="K25" s="1344"/>
    </row>
    <row r="26" spans="1:11">
      <c r="A26" s="1345" t="s">
        <v>1014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1015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1016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1029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1030</v>
      </c>
      <c r="B32" s="1347"/>
      <c r="C32" s="1347"/>
      <c r="D32" s="1350">
        <f>SUM(A33+A34+A35)/100*0.135+500</f>
        <v>122057.76818749998</v>
      </c>
      <c r="E32" s="1347" t="s">
        <v>1031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89112462.449999988</v>
      </c>
      <c r="B33" s="1347" t="s">
        <v>1032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159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1033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1034</v>
      </c>
      <c r="B36" s="1347"/>
      <c r="C36" s="1347"/>
      <c r="D36" s="1350"/>
      <c r="E36" s="1353">
        <f>SUM(D27:D34)</f>
        <v>129145.26818749998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3" t="s">
        <v>455</v>
      </c>
      <c r="B5" s="1604"/>
      <c r="C5" s="1604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3" t="s">
        <v>469</v>
      </c>
      <c r="B5" s="1604"/>
      <c r="C5" s="1604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605"/>
      <c r="B6" s="1606"/>
      <c r="C6" s="1606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387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85995000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-8711592.5099999979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3"/>
      <c r="B5" s="1604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5"/>
      <c r="B6" s="1616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3"/>
      <c r="B39" s="1604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5"/>
      <c r="B40" s="1616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3"/>
      <c r="B72" s="1604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5"/>
      <c r="B73" s="1606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07" t="s">
        <v>589</v>
      </c>
      <c r="D74" s="1608"/>
      <c r="E74" s="1608"/>
      <c r="F74" s="1608"/>
      <c r="G74" s="1608"/>
      <c r="H74" s="1608"/>
      <c r="I74" s="1609"/>
      <c r="J74" s="1617" t="s">
        <v>582</v>
      </c>
      <c r="K74" s="1618"/>
      <c r="L74" s="1618"/>
      <c r="M74" s="1618"/>
      <c r="N74" s="1618"/>
      <c r="O74" s="1619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07"/>
      <c r="D78" s="1608"/>
      <c r="E78" s="1608"/>
      <c r="F78" s="1608"/>
      <c r="G78" s="1608"/>
      <c r="H78" s="1608"/>
      <c r="I78" s="160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07"/>
      <c r="D85" s="1608"/>
      <c r="E85" s="1608"/>
      <c r="F85" s="1608"/>
      <c r="G85" s="1608"/>
      <c r="H85" s="1608"/>
      <c r="I85" s="160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07"/>
      <c r="D91" s="1608"/>
      <c r="E91" s="1608"/>
      <c r="F91" s="1608"/>
      <c r="G91" s="1608"/>
      <c r="H91" s="1608"/>
      <c r="I91" s="1609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2">
        <f>'PreDev Flow of Funds'!D47</f>
        <v>14824249.954999998</v>
      </c>
      <c r="D114" s="1611"/>
    </row>
    <row r="115" spans="2:19">
      <c r="B115" s="397" t="s">
        <v>600</v>
      </c>
      <c r="C115" s="1613">
        <f>M102</f>
        <v>1323400.22</v>
      </c>
      <c r="D115" s="1611"/>
    </row>
    <row r="116" spans="2:19">
      <c r="B116" s="397" t="s">
        <v>582</v>
      </c>
      <c r="C116" s="1613">
        <f>'Development Budget'!G37-Predevelopment!D27-Predevelopment!D28-Predevelopment!D29-Timeline!M102-Predevelopment!D17</f>
        <v>-7034823.5549999988</v>
      </c>
      <c r="D116" s="1611"/>
    </row>
    <row r="117" spans="2:19" ht="16.5" thickBot="1">
      <c r="B117" s="398" t="s">
        <v>601</v>
      </c>
      <c r="C117" s="1614">
        <f>C118-C114-C116-C115</f>
        <v>57244460.380000003</v>
      </c>
      <c r="D117" s="1615"/>
    </row>
    <row r="118" spans="2:19" ht="16.5" thickTop="1">
      <c r="B118" s="368" t="s">
        <v>585</v>
      </c>
      <c r="C118" s="1610">
        <v>66357287</v>
      </c>
      <c r="D118" s="1611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