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All Policy Inputs\"/>
    </mc:Choice>
  </mc:AlternateContent>
  <xr:revisionPtr revIDLastSave="0" documentId="13_ncr:1_{952DA0FF-1541-41A0-B6B0-78DCD799D69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K53" i="10" l="1"/>
  <c r="I45" i="10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l="1"/>
  <c r="K55" i="10" s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F44" i="5" l="1"/>
  <c r="G22" i="23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18" i="28" s="1"/>
  <c r="D22" i="6"/>
  <c r="I250" i="1"/>
  <c r="K97" i="1" s="1"/>
  <c r="G254" i="1"/>
  <c r="D23" i="2"/>
  <c r="E28" i="28" l="1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<sst xmlns="http://schemas.openxmlformats.org/spreadsheetml/2006/main" count="1995" uniqueCount="1105">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</sst>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workbookViewId="0">
      <selection activeCell="H16" sqref="H16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93516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93516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0.10581697598745921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0.10581697598745919</v>
      </c>
      <c r="E16" s="700"/>
    </row>
    <row r="17" spans="1:6">
      <c r="A17" s="1686"/>
      <c r="B17" s="702"/>
      <c r="D17" s="1682"/>
      <c r="E17" s="1754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1257804.6028843806</v>
      </c>
      <c r="E18" s="1755">
        <f ca="1">ABS(D18/D28)</f>
        <v>2.3727457331878917E-2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1732.6732673267327</v>
      </c>
    </row>
    <row r="22" spans="1:6">
      <c r="A22" s="64"/>
      <c r="B22" s="4" t="s">
        <v>16</v>
      </c>
      <c r="C22" s="4"/>
      <c r="D22" s="1531">
        <f>'Development Budget'!G44</f>
        <v>38840982.187500007</v>
      </c>
      <c r="E22" s="1531">
        <f t="shared" ref="E22:E28" si="0">D22/$D$10</f>
        <v>384564.18007425749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1437720</v>
      </c>
      <c r="E23" s="1531">
        <f t="shared" si="0"/>
        <v>14234.851485148514</v>
      </c>
    </row>
    <row r="24" spans="1:6">
      <c r="A24" s="64"/>
      <c r="B24" s="4" t="s">
        <v>18</v>
      </c>
      <c r="C24" s="4"/>
      <c r="D24" s="1531">
        <f>'Development Budget'!G97</f>
        <v>364475</v>
      </c>
      <c r="E24" s="1531">
        <f t="shared" si="0"/>
        <v>3608.6633663366338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2565194.3405381702</v>
      </c>
      <c r="E25" s="1531">
        <f t="shared" si="0"/>
        <v>25397.963767704656</v>
      </c>
    </row>
    <row r="26" spans="1:6">
      <c r="A26" s="64"/>
      <c r="B26" s="4" t="s">
        <v>20</v>
      </c>
      <c r="C26" s="4"/>
      <c r="D26" s="1531">
        <f>'Development Budget'!G181</f>
        <v>2413381.2413105131</v>
      </c>
      <c r="E26" s="1531">
        <f t="shared" si="0"/>
        <v>23894.863775351616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7213756.7551785335</v>
      </c>
      <c r="E27" s="1532">
        <f t="shared" si="0"/>
        <v>71423.334209688444</v>
      </c>
    </row>
    <row r="28" spans="1:6" ht="16.5" thickTop="1">
      <c r="A28" s="4"/>
      <c r="B28" s="4"/>
      <c r="C28" s="150" t="s">
        <v>14</v>
      </c>
      <c r="D28" s="1533">
        <f>SUM(D21:D27)</f>
        <v>53010509.524527222</v>
      </c>
      <c r="E28" s="1531">
        <f t="shared" si="0"/>
        <v>524856.52994581405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34389400.190942697</v>
      </c>
      <c r="E32" s="1586">
        <f t="shared" si="1"/>
        <v>340489.11080141284</v>
      </c>
    </row>
    <row r="33" spans="1:5">
      <c r="A33" s="64"/>
      <c r="B33" s="4" t="s">
        <v>1052</v>
      </c>
      <c r="C33" s="4"/>
      <c r="D33" s="1587">
        <f>GapCalc!D29</f>
        <v>2777605.4000376789</v>
      </c>
      <c r="E33" s="1586">
        <f>D33/$D$10</f>
        <v>27501.043564729494</v>
      </c>
    </row>
    <row r="34" spans="1:5">
      <c r="A34" s="65"/>
      <c r="B34" s="4" t="s">
        <v>26</v>
      </c>
      <c r="C34" s="4"/>
      <c r="D34" s="1587">
        <f>GapCalc!D30</f>
        <v>15739763.93354685</v>
      </c>
      <c r="E34" s="1586">
        <f>D34/$D$10</f>
        <v>155839.2468668005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52906769.524527222</v>
      </c>
      <c r="E36" s="1586">
        <f>D36/$D$10</f>
        <v>523829.40123294276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40166152.352891088</v>
      </c>
      <c r="E40" s="1586">
        <f t="shared" ref="E40" si="2">D40/$D$10</f>
        <v>397684.67676129792</v>
      </c>
    </row>
    <row r="41" spans="1:5">
      <c r="A41" s="60"/>
      <c r="B41" s="4" t="s">
        <v>1052</v>
      </c>
      <c r="C41" s="4"/>
      <c r="D41" s="1591">
        <f>GapCalc!D29+GapCalc!D38</f>
        <v>2777605.4000376789</v>
      </c>
      <c r="E41" s="1586">
        <f>D41/$D$10</f>
        <v>27501.043564729494</v>
      </c>
    </row>
    <row r="42" spans="1:5">
      <c r="A42" s="60"/>
      <c r="B42" s="1557" t="s">
        <v>26</v>
      </c>
      <c r="C42" s="4"/>
      <c r="D42" s="1592">
        <f>GapCalc!D30+GapCalc!D39</f>
        <v>15739763.93354685</v>
      </c>
      <c r="E42" s="1586">
        <f>D42/$D$10</f>
        <v>155839.2468668005</v>
      </c>
    </row>
    <row r="43" spans="1:5">
      <c r="A43" s="60"/>
      <c r="B43" s="1714" t="s">
        <v>1103</v>
      </c>
      <c r="C43" s="4"/>
      <c r="D43" s="1592">
        <f>IF(D32-D40&gt;0,0,D32-D40)</f>
        <v>-5776752.1619483903</v>
      </c>
      <c r="E43" s="1586">
        <f>D43/$D$10</f>
        <v>-57195.565959885054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52906769.524527222</v>
      </c>
      <c r="E45" s="1588">
        <f>D45/$D$10</f>
        <v>523829.40123294276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4" zoomScaleNormal="100" workbookViewId="0">
      <selection activeCell="G44" sqref="G44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93516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93516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1732.6732673267327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38840982.187500007</v>
      </c>
      <c r="E18" s="1531">
        <f t="shared" ref="E18:E24" si="0">D18/$D$11</f>
        <v>384564.18007425749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1437720</v>
      </c>
      <c r="E19" s="1531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364475</v>
      </c>
      <c r="E20" s="1531">
        <f t="shared" si="0"/>
        <v>3608.6633663366338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2565194.3405381702</v>
      </c>
      <c r="E21" s="1531">
        <f t="shared" si="0"/>
        <v>25397.963767704656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2413381.2413105131</v>
      </c>
      <c r="E22" s="1531">
        <f t="shared" si="0"/>
        <v>23894.863775351616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7213756.7551785335</v>
      </c>
      <c r="E23" s="1532">
        <f t="shared" si="0"/>
        <v>71423.334209688444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53010509.524527222</v>
      </c>
      <c r="E24" s="1531">
        <f t="shared" si="0"/>
        <v>524856.52994581405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34389400.190942697</v>
      </c>
      <c r="E28" s="1586">
        <f t="shared" si="1"/>
        <v>340489.11080141284</v>
      </c>
      <c r="F28" s="62"/>
      <c r="G28" s="1419" t="s">
        <v>609</v>
      </c>
      <c r="H28" s="1608">
        <f>H32/D11</f>
        <v>27501.043564729494</v>
      </c>
      <c r="I28" s="703"/>
    </row>
    <row r="29" spans="1:10" ht="15.75">
      <c r="A29" s="64"/>
      <c r="B29" s="4" t="s">
        <v>1052</v>
      </c>
      <c r="C29" s="4"/>
      <c r="D29" s="1587">
        <v>2777605.4000376789</v>
      </c>
      <c r="E29" s="1586">
        <f>D29/$D$11</f>
        <v>27501.043564729494</v>
      </c>
      <c r="F29" s="520"/>
      <c r="G29" s="1420" t="s">
        <v>972</v>
      </c>
      <c r="H29" s="1609">
        <f>H33/D11</f>
        <v>155839.2468668005</v>
      </c>
      <c r="I29" s="703"/>
    </row>
    <row r="30" spans="1:10" ht="16.5" thickBot="1">
      <c r="A30" s="65"/>
      <c r="B30" s="4" t="s">
        <v>26</v>
      </c>
      <c r="C30" s="4"/>
      <c r="D30" s="1587">
        <v>15739763.93354685</v>
      </c>
      <c r="E30" s="1586">
        <f>D30/$D$11</f>
        <v>155839.2468668005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-103740</v>
      </c>
      <c r="E32" s="1588">
        <f>D32/$D$11</f>
        <v>-1027.1287128712872</v>
      </c>
      <c r="F32" s="62"/>
      <c r="G32" s="1339" t="s">
        <v>609</v>
      </c>
      <c r="H32" s="1611">
        <f>D29+D38</f>
        <v>2777605.4000376789</v>
      </c>
      <c r="I32" s="1346">
        <f>H32/H34</f>
        <v>0.14999999999999997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52906769.524527222</v>
      </c>
      <c r="E33" s="1586">
        <f>D33/$D$11</f>
        <v>523829.40123294276</v>
      </c>
      <c r="F33" s="62"/>
      <c r="G33" s="1441" t="s">
        <v>972</v>
      </c>
      <c r="H33" s="1611">
        <f>D30+D39</f>
        <v>15739763.93354685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18517369.333584528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0.34931506034698273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40166152.352891088</v>
      </c>
      <c r="E37" s="1586">
        <f t="shared" ref="E37" si="2">D37/$D$11</f>
        <v>397684.67676129792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15561</v>
      </c>
      <c r="I39" s="1596">
        <f>D29+H39</f>
        <v>2793166.4000376789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88179</v>
      </c>
      <c r="I40" s="1597">
        <f>D30+H40</f>
        <v>15827942.93354685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5776752.1619483903</v>
      </c>
      <c r="E41" s="1588">
        <f>D41/$D$11</f>
        <v>57195.565959885054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40166152.352891088</v>
      </c>
      <c r="E42" s="1586">
        <f>D42/$D$11</f>
        <v>397684.67676129792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-866512.82429225848</v>
      </c>
      <c r="I43" s="1596">
        <f>D38+H43</f>
        <v>-866512.82429225848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-4910239.3376561319</v>
      </c>
      <c r="I44" s="1596">
        <f>D39+H44</f>
        <v>-4910239.3376561319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16808897.845998574</v>
      </c>
      <c r="J46" s="1582" t="s">
        <v>1084</v>
      </c>
      <c r="K46" s="1583">
        <f>'Cash Flow'!C76</f>
        <v>0.10581697598745921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6343888.3673430709</v>
      </c>
      <c r="J47" s="1584" t="s">
        <v>1099</v>
      </c>
      <c r="K47" s="1607">
        <f>'Cash Flow'!C70</f>
        <v>27398503.488977674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1069133.9124517236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2966276.0904703359</v>
      </c>
      <c r="J51" s="1585" t="s">
        <v>1084</v>
      </c>
      <c r="K51" s="1618">
        <f>'Cash Flow'!H76</f>
        <v>0.10581697598745919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2777605.4000376789</v>
      </c>
      <c r="J52" s="1584" t="s">
        <v>1098</v>
      </c>
      <c r="K52" s="1607">
        <f>'Cash Flow'!H70</f>
        <v>4835030.0274666473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188670.69043265702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1257804.6028843806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22145727.621056937</v>
      </c>
      <c r="J58" s="1582" t="s">
        <v>1084</v>
      </c>
      <c r="K58" s="1583">
        <f>'Cash Flow'!C103</f>
        <v>0.12933975487006219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36097536.022322804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6405963.6875100862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3247970.1636909773</v>
      </c>
      <c r="J63" s="1585" t="s">
        <v>1084</v>
      </c>
      <c r="K63" s="1618">
        <f>'Cash Flow'!H103</f>
        <v>9.0602717245022474E-2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2777605.4000376789</v>
      </c>
      <c r="J64" s="1584" t="s">
        <v>1098</v>
      </c>
      <c r="K64" s="1607">
        <f>'Cash Flow'!H97</f>
        <v>5294191.3668162925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470364.76365329837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6876328.4511633851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2" zoomScale="130" zoomScaleNormal="130" workbookViewId="0">
      <selection activeCell="M10" sqref="M10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0.34653465346534651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0</v>
      </c>
      <c r="O8" s="521">
        <f t="shared" si="0"/>
        <v>0</v>
      </c>
      <c r="Q8" s="283">
        <f>SUM(O10:O15)</f>
        <v>0.64356435643564358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28</v>
      </c>
      <c r="E9" s="278">
        <f>IF(D9="","",D9/D$15)</f>
        <v>0.27722772277227725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50</v>
      </c>
      <c r="N9" s="298">
        <f>E46+E183</f>
        <v>35</v>
      </c>
      <c r="O9" s="332">
        <f t="shared" si="0"/>
        <v>0.34653465346534651</v>
      </c>
    </row>
    <row r="10" spans="2:19" ht="12.75" customHeight="1">
      <c r="B10" s="268"/>
      <c r="C10" s="209" t="s">
        <v>53</v>
      </c>
      <c r="D10" s="210">
        <f>SUM(E24,E33,E42,E51,E60,E78,E69,E87,E96,E116,E106)</f>
        <v>19</v>
      </c>
      <c r="E10" s="278">
        <f>IF(D10="","",D10/D$15)</f>
        <v>0.18811881188118812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54</v>
      </c>
      <c r="E11" s="278">
        <f>IF(D11="","",D11/D$15)</f>
        <v>0.53465346534653468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65</v>
      </c>
      <c r="O13" s="332">
        <f>N13/$N$18</f>
        <v>0.64356435643564358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77930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314724</v>
      </c>
      <c r="F18" s="285"/>
      <c r="H18" s="286"/>
      <c r="I18" s="287"/>
      <c r="K18" s="226"/>
      <c r="M18" s="328" t="s">
        <v>10</v>
      </c>
      <c r="N18" s="1423">
        <f>N17+N16</f>
        <v>101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0.34653465346534651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0.6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18</v>
      </c>
      <c r="F41" s="223"/>
      <c r="G41" s="308">
        <f>H9*$C$38</f>
        <v>1455.6</v>
      </c>
      <c r="H41" s="308">
        <f>$K$9</f>
        <v>0</v>
      </c>
      <c r="I41" s="228">
        <f>ROUND(G41-H41,0)</f>
        <v>1456</v>
      </c>
      <c r="J41" s="284">
        <f>D41*E41</f>
        <v>7200</v>
      </c>
      <c r="K41" s="292">
        <f>E41*I41</f>
        <v>26208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9</v>
      </c>
      <c r="F42" s="223"/>
      <c r="G42" s="308">
        <f>H10*C38</f>
        <v>1560</v>
      </c>
      <c r="H42" s="308">
        <f>$K$10</f>
        <v>0</v>
      </c>
      <c r="I42" s="228">
        <f>ROUND(G42-H42,0)</f>
        <v>1560</v>
      </c>
      <c r="J42" s="284">
        <f>D42*E42</f>
        <v>6030</v>
      </c>
      <c r="K42" s="292">
        <f>E42*I42</f>
        <v>14040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8</v>
      </c>
      <c r="F43" s="223"/>
      <c r="G43" s="308">
        <f>H11*C38</f>
        <v>1872</v>
      </c>
      <c r="H43" s="228">
        <f>$K$11</f>
        <v>0</v>
      </c>
      <c r="I43" s="228">
        <f>ROUND(G43-H43,0)</f>
        <v>1872</v>
      </c>
      <c r="J43" s="284">
        <f>D43*E43</f>
        <v>8000</v>
      </c>
      <c r="K43" s="292">
        <f>E43*I43</f>
        <v>14976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2163.6</v>
      </c>
      <c r="H44" s="228">
        <v>0</v>
      </c>
      <c r="I44" s="228">
        <f>ROUND(G44-H44,0)</f>
        <v>2164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35</v>
      </c>
      <c r="F46" s="203"/>
      <c r="G46" s="203"/>
      <c r="H46" s="246"/>
      <c r="I46" s="247"/>
      <c r="J46" s="296">
        <f>SUM(J41:J45)</f>
        <v>21230</v>
      </c>
      <c r="K46" s="297">
        <f>SUM(K41:K45)</f>
        <v>55224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10</v>
      </c>
      <c r="F50" s="223"/>
      <c r="G50" s="308">
        <v>2400</v>
      </c>
      <c r="H50" s="308">
        <f>$K$9</f>
        <v>0</v>
      </c>
      <c r="I50" s="228">
        <v>2400</v>
      </c>
      <c r="J50" s="284">
        <f>D50*E50</f>
        <v>4000</v>
      </c>
      <c r="K50" s="292">
        <f>E50*I50</f>
        <v>24000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10</v>
      </c>
      <c r="F51" s="223"/>
      <c r="G51" s="308">
        <v>3120</v>
      </c>
      <c r="H51" s="308">
        <f>$K$10</f>
        <v>0</v>
      </c>
      <c r="I51" s="228">
        <f>ROUND(G51-H51,0)</f>
        <v>3120</v>
      </c>
      <c r="J51" s="284">
        <f>D51*E51</f>
        <v>6700</v>
      </c>
      <c r="K51" s="292">
        <f>E51*I51</f>
        <v>31200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45</v>
      </c>
      <c r="F52" s="223"/>
      <c r="G52" s="308">
        <v>4540</v>
      </c>
      <c r="H52" s="228">
        <f>$K$11</f>
        <v>0</v>
      </c>
      <c r="I52" s="228">
        <v>4540</v>
      </c>
      <c r="J52" s="284">
        <f>D52*E52</f>
        <v>45000</v>
      </c>
      <c r="K52" s="292">
        <f>E52*I52</f>
        <v>204300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v>4327</v>
      </c>
      <c r="H53" s="228">
        <v>0</v>
      </c>
      <c r="I53" s="22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65</v>
      </c>
      <c r="F55" s="247"/>
      <c r="G55" s="247"/>
      <c r="H55" s="246"/>
      <c r="I55" s="247"/>
      <c r="J55" s="296">
        <f>SUM(J50:J54)</f>
        <v>55700</v>
      </c>
      <c r="K55" s="297">
        <f>SUM(K50:K54)</f>
        <v>259500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5" zoomScaleNormal="100" workbookViewId="0">
      <selection activeCell="G42" sqref="G42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5776752.1619483903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85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6565000</v>
      </c>
      <c r="N18" s="1674"/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1732.6732673267327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30952785.75</v>
      </c>
      <c r="H32" s="1039"/>
      <c r="I32" s="950">
        <f t="shared" si="0"/>
        <v>306463.22524752474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34048064.325000003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28054800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2897985.7500000005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3095278.5750000002</v>
      </c>
      <c r="G36" s="854">
        <f>F36</f>
        <v>3095278.5750000002</v>
      </c>
      <c r="H36" s="950"/>
      <c r="I36" s="950">
        <f t="shared" si="0"/>
        <v>30646.322524752479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2166695.0025000004</v>
      </c>
      <c r="H37" s="1072"/>
      <c r="I37" s="950">
        <f t="shared" si="0"/>
        <v>21452.425767326738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2166695.0025000004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1547639.2875000001</v>
      </c>
      <c r="H38" s="1072"/>
      <c r="I38" s="950">
        <f t="shared" si="0"/>
        <v>15323.161262376239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1547639.2875000001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464291.78625</v>
      </c>
      <c r="H40" s="1072"/>
      <c r="I40" s="950">
        <f t="shared" si="0"/>
        <v>4596.9483787128711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464291.78625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464291.78625</v>
      </c>
      <c r="H41" s="1072"/>
      <c r="I41" s="950">
        <f t="shared" si="0"/>
        <v>4596.9483787128711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464291.78625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38840982.187500007</v>
      </c>
      <c r="H44" s="1324"/>
      <c r="I44" s="1325">
        <f t="shared" si="0"/>
        <v>384564.18007425749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38840982.187500007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38840982.187500007</v>
      </c>
      <c r="H46" s="1333"/>
      <c r="I46" s="1325">
        <f t="shared" si="0"/>
        <v>384564.18007425749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38840982.187500007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3884098.2187500009</v>
      </c>
      <c r="H47" s="1039"/>
      <c r="I47" s="950">
        <f t="shared" si="0"/>
        <v>38456.418007425753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3884098.2187500009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1149617.5445312499</v>
      </c>
      <c r="H59" s="1128"/>
      <c r="I59" s="950">
        <f t="shared" si="0"/>
        <v>11382.351926051979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97102.45546875002</v>
      </c>
      <c r="H67" s="1039"/>
      <c r="I67" s="950">
        <f t="shared" si="0"/>
        <v>961.41045018564375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97102.45546875002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288102.45546875003</v>
      </c>
      <c r="H80" s="1101"/>
      <c r="I80" s="950">
        <f t="shared" si="0"/>
        <v>2852.499559096535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288102.45546875003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264475</v>
      </c>
      <c r="H90" s="1111"/>
      <c r="I90" s="950">
        <f t="shared" si="3"/>
        <v>2618.5643564356437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264475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/>
      <c r="G91" s="1110">
        <v>100000</v>
      </c>
      <c r="H91" s="1111"/>
      <c r="I91" s="950">
        <f t="shared" si="3"/>
        <v>990.09900990099015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/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/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/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1190487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364475</v>
      </c>
      <c r="H97" s="1101"/>
      <c r="I97" s="950">
        <f t="shared" si="3"/>
        <v>3608.6633663366338</v>
      </c>
      <c r="J97" s="1102"/>
      <c r="K97" s="1166">
        <f>I97/I250</f>
        <v>6.8755234248665835E-3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364475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110017.82656760905</v>
      </c>
      <c r="H102" s="1111"/>
      <c r="I102" s="950">
        <f t="shared" si="3"/>
        <v>1089.2854115604857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110017.82656760905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95017.826567609052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1886980.5203141014</v>
      </c>
      <c r="N103" s="1172">
        <v>1900356.531352181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110017.82656760905</v>
      </c>
      <c r="H114" s="1101"/>
      <c r="I114" s="950">
        <f t="shared" si="3"/>
        <v>1089.2854115604857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110017.82656760905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1455764.4498336636</v>
      </c>
      <c r="H116" s="1177"/>
      <c r="I116" s="950">
        <f t="shared" si="3"/>
        <v>14413.5094042937</v>
      </c>
      <c r="J116" s="1178"/>
      <c r="K116" s="1179" t="s">
        <v>823</v>
      </c>
      <c r="L116" s="1073"/>
      <c r="M116" s="1180">
        <f>0.5*Data!C20*Data!C17/12*Data!C19</f>
        <v>1375576.007637708</v>
      </c>
      <c r="N116" s="1181">
        <v>1455764.4498336636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1455764.4498336636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363941.11245841591</v>
      </c>
      <c r="H117" s="1094"/>
      <c r="I117" s="950">
        <f t="shared" si="3"/>
        <v>3603.377351073425</v>
      </c>
      <c r="J117" s="1015"/>
      <c r="K117" s="1184" t="s">
        <v>825</v>
      </c>
      <c r="L117" s="1185"/>
      <c r="M117" s="1186">
        <f>0.01*Data!C20</f>
        <v>343894.001909427</v>
      </c>
      <c r="N117" s="1172">
        <v>363941.11245841591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363941.11245841591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555497.61137732817</v>
      </c>
      <c r="H121" s="1117"/>
      <c r="I121" s="950">
        <f t="shared" si="3"/>
        <v>5499.9763502705755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555497.61137732817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555497.61137732817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64591.16686876239</v>
      </c>
      <c r="H125" s="1111"/>
      <c r="I125" s="950">
        <f t="shared" si="3"/>
        <v>639.51650365111277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64591.16686876239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54591.16686876239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51584.100286414046</v>
      </c>
      <c r="N126" s="1172">
        <v>54591.16686876239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2455194.3405381702</v>
      </c>
      <c r="H148" s="1128"/>
      <c r="I148" s="950">
        <f t="shared" si="6"/>
        <v>24308.854856813567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2455194.3405381702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493948.76688068639</v>
      </c>
      <c r="H151" s="1093"/>
      <c r="I151" s="950">
        <f t="shared" ref="I151:I158" si="7">G151/$F$9</f>
        <v>4890.5818503038254</v>
      </c>
      <c r="J151" s="1094"/>
      <c r="K151" s="1244" t="s">
        <v>863</v>
      </c>
      <c r="L151" s="1245"/>
      <c r="M151" s="1558">
        <f>Data!C31*Data!C30</f>
        <v>401661.52352891088</v>
      </c>
      <c r="N151" s="1345">
        <v>493948.76688068639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3095046.0171848424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2413381.2413105131</v>
      </c>
      <c r="H178" s="1093"/>
      <c r="I178" s="950">
        <f t="shared" si="6"/>
        <v>23894.863775351616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2413381.2413105131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2413381.2413105131</v>
      </c>
      <c r="H181" s="1128"/>
      <c r="I181" s="950">
        <f t="shared" si="6"/>
        <v>23894.863775351616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2413381.2413105131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310246.04319425207</v>
      </c>
      <c r="H233" s="1111"/>
      <c r="I233" s="950">
        <f t="shared" si="8"/>
        <v>3071.7430019232879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310246.04319425207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748996.04319425207</v>
      </c>
      <c r="H234" s="1282"/>
      <c r="I234" s="950">
        <f t="shared" si="8"/>
        <v>7415.8024078638819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748996.04319425207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53010509.524527222</v>
      </c>
      <c r="H250" s="1298"/>
      <c r="I250" s="1299">
        <f>G250/F9</f>
        <v>524856.52994581405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566.86031828272405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K33" sqref="K33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101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93516</v>
      </c>
      <c r="D5" t="s">
        <v>428</v>
      </c>
      <c r="G5" s="510"/>
    </row>
    <row r="6" spans="1:15">
      <c r="B6" s="1350" t="s">
        <v>12</v>
      </c>
      <c r="C6" s="700">
        <f>'Construction Calculation'!C14</f>
        <v>93516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15586</v>
      </c>
      <c r="D8" t="s">
        <v>428</v>
      </c>
      <c r="G8" s="510"/>
    </row>
    <row r="9" spans="1:15">
      <c r="B9" s="1350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34389400.190942697</v>
      </c>
      <c r="D20" s="1375">
        <f>MIN(D22,GapCalc!D24)</f>
        <v>34456831.190942697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34456831.190942697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0.04</v>
      </c>
      <c r="D24" s="1425">
        <f>PMT(C24/12,C25*12,C30)*12</f>
        <v>-2163081.2413105406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2261881.2413105131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43117855.199999996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40166152.352891088</v>
      </c>
      <c r="D30" s="1376">
        <f>-PV($C$24/12,$C$29*12,C27/12)</f>
        <v>42000764.838394098</v>
      </c>
      <c r="E30" s="1384"/>
      <c r="F30" t="s">
        <v>438</v>
      </c>
      <c r="G30" s="1381"/>
      <c r="H30" s="1376">
        <f>PV(G23,G29,-'Cash Flow'!E41*H28,)</f>
        <v>3646463.9903072035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2261881.2413105131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42408407.619621783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37200625.277120106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3776688</v>
      </c>
      <c r="F12" s="89">
        <f>E12*(1+$D$12)</f>
        <v>3871105.1999999997</v>
      </c>
      <c r="G12" s="89">
        <f t="shared" ref="G12:AH12" si="0">F12*(1+$D$12)</f>
        <v>3967882.8299999991</v>
      </c>
      <c r="H12" s="89">
        <f t="shared" si="0"/>
        <v>4067079.9007499986</v>
      </c>
      <c r="I12" s="89">
        <f t="shared" si="0"/>
        <v>4168756.8982687481</v>
      </c>
      <c r="J12" s="89">
        <f t="shared" si="0"/>
        <v>4272975.8207254661</v>
      </c>
      <c r="K12" s="89">
        <f t="shared" si="0"/>
        <v>4379800.2162436023</v>
      </c>
      <c r="L12" s="89">
        <f t="shared" si="0"/>
        <v>4489295.2216496924</v>
      </c>
      <c r="M12" s="89">
        <f t="shared" si="0"/>
        <v>4601527.6021909341</v>
      </c>
      <c r="N12" s="89">
        <f t="shared" si="0"/>
        <v>4716565.7922457075</v>
      </c>
      <c r="O12" s="89">
        <f t="shared" si="0"/>
        <v>4834479.9370518494</v>
      </c>
      <c r="P12" s="89">
        <f t="shared" si="0"/>
        <v>4955341.9354781453</v>
      </c>
      <c r="Q12" s="89">
        <f t="shared" si="0"/>
        <v>5079225.4838650981</v>
      </c>
      <c r="R12" s="89">
        <f t="shared" si="0"/>
        <v>5206206.1209617248</v>
      </c>
      <c r="S12" s="90">
        <f t="shared" si="0"/>
        <v>5336361.2739857677</v>
      </c>
      <c r="T12" s="89">
        <f t="shared" si="0"/>
        <v>5469770.3058354119</v>
      </c>
      <c r="U12" s="89">
        <f t="shared" si="0"/>
        <v>5606514.5634812964</v>
      </c>
      <c r="V12" s="89">
        <f t="shared" si="0"/>
        <v>5746677.4275683286</v>
      </c>
      <c r="W12" s="89">
        <f t="shared" si="0"/>
        <v>5890344.3632575367</v>
      </c>
      <c r="X12" s="89">
        <f t="shared" si="0"/>
        <v>6037602.9723389745</v>
      </c>
      <c r="Y12" s="89">
        <f t="shared" si="0"/>
        <v>6188543.0466474481</v>
      </c>
      <c r="Z12" s="89">
        <f t="shared" si="0"/>
        <v>6343256.6228136336</v>
      </c>
      <c r="AA12" s="89">
        <f t="shared" si="0"/>
        <v>6501838.0383839738</v>
      </c>
      <c r="AB12" s="89">
        <f t="shared" si="0"/>
        <v>6664383.9893435724</v>
      </c>
      <c r="AC12" s="89">
        <f t="shared" si="0"/>
        <v>6830993.5890771607</v>
      </c>
      <c r="AD12" s="89">
        <f t="shared" si="0"/>
        <v>7001768.4288040893</v>
      </c>
      <c r="AE12" s="89">
        <f t="shared" si="0"/>
        <v>7176812.6395241907</v>
      </c>
      <c r="AF12" s="89">
        <f t="shared" si="0"/>
        <v>7356232.9555122945</v>
      </c>
      <c r="AG12" s="89">
        <f t="shared" si="0"/>
        <v>7540138.7794001009</v>
      </c>
      <c r="AH12" s="89">
        <f t="shared" si="0"/>
        <v>7728642.2488851026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-189113.40000000002</v>
      </c>
      <c r="F14" s="100">
        <f t="shared" ref="F14:AH14" si="2">-((F12+F13)*$C$14)</f>
        <v>-193841.23499999999</v>
      </c>
      <c r="G14" s="100">
        <f t="shared" si="2"/>
        <v>-198687.26587499995</v>
      </c>
      <c r="H14" s="100">
        <f t="shared" si="2"/>
        <v>-203654.44752187494</v>
      </c>
      <c r="I14" s="100">
        <f t="shared" si="2"/>
        <v>-208745.80870992178</v>
      </c>
      <c r="J14" s="100">
        <f t="shared" si="2"/>
        <v>-213964.45392766979</v>
      </c>
      <c r="K14" s="100">
        <f t="shared" si="2"/>
        <v>-219313.56527586153</v>
      </c>
      <c r="L14" s="100">
        <f t="shared" si="2"/>
        <v>-224796.40440775803</v>
      </c>
      <c r="M14" s="100">
        <f t="shared" si="2"/>
        <v>-230416.31451795201</v>
      </c>
      <c r="N14" s="100">
        <f t="shared" si="2"/>
        <v>-236176.72238090076</v>
      </c>
      <c r="O14" s="100">
        <f t="shared" si="2"/>
        <v>-242081.14044042327</v>
      </c>
      <c r="P14" s="100">
        <f t="shared" si="2"/>
        <v>-248133.16895143382</v>
      </c>
      <c r="Q14" s="100">
        <f t="shared" si="2"/>
        <v>-254336.49817521963</v>
      </c>
      <c r="R14" s="100">
        <f t="shared" si="2"/>
        <v>-260694.91062960005</v>
      </c>
      <c r="S14" s="101">
        <f t="shared" si="2"/>
        <v>-267212.28339534008</v>
      </c>
      <c r="T14" s="100">
        <f t="shared" si="2"/>
        <v>-273892.59048022359</v>
      </c>
      <c r="U14" s="100">
        <f t="shared" si="2"/>
        <v>-280739.90524222911</v>
      </c>
      <c r="V14" s="100">
        <f t="shared" si="2"/>
        <v>-287758.40287328482</v>
      </c>
      <c r="W14" s="100">
        <f t="shared" si="2"/>
        <v>-294952.362945117</v>
      </c>
      <c r="X14" s="100">
        <f t="shared" si="2"/>
        <v>-302326.17201874487</v>
      </c>
      <c r="Y14" s="100">
        <f t="shared" si="2"/>
        <v>-309884.32631921343</v>
      </c>
      <c r="Z14" s="100">
        <f t="shared" si="2"/>
        <v>-317631.43447719375</v>
      </c>
      <c r="AA14" s="100">
        <f t="shared" si="2"/>
        <v>-325572.22033912357</v>
      </c>
      <c r="AB14" s="100">
        <f t="shared" si="2"/>
        <v>-333711.52584760165</v>
      </c>
      <c r="AC14" s="100">
        <f t="shared" si="2"/>
        <v>-342054.31399379158</v>
      </c>
      <c r="AD14" s="100">
        <f t="shared" si="2"/>
        <v>-350605.67184363637</v>
      </c>
      <c r="AE14" s="100">
        <f t="shared" si="2"/>
        <v>-359370.81363972725</v>
      </c>
      <c r="AF14" s="100">
        <f t="shared" si="2"/>
        <v>-368355.08398072037</v>
      </c>
      <c r="AG14" s="100">
        <f t="shared" si="2"/>
        <v>-377563.96108023834</v>
      </c>
      <c r="AH14" s="100">
        <f t="shared" si="2"/>
        <v>-387003.06010724424</v>
      </c>
    </row>
    <row r="15" spans="1:34">
      <c r="A15" s="76"/>
      <c r="B15" s="102" t="s">
        <v>312</v>
      </c>
      <c r="C15" s="76"/>
      <c r="D15" s="76"/>
      <c r="E15" s="95">
        <f>SUM(E12:E14)</f>
        <v>3593154.6</v>
      </c>
      <c r="F15" s="95">
        <f t="shared" ref="F15:AH15" si="3">SUM(F12:F14)</f>
        <v>3682983.4649999999</v>
      </c>
      <c r="G15" s="103">
        <f t="shared" si="3"/>
        <v>3775058.0516249989</v>
      </c>
      <c r="H15" s="104">
        <f t="shared" si="3"/>
        <v>3869434.5029156236</v>
      </c>
      <c r="I15" s="104">
        <f t="shared" si="3"/>
        <v>3966170.3654885138</v>
      </c>
      <c r="J15" s="95">
        <f t="shared" si="3"/>
        <v>4065324.6246257257</v>
      </c>
      <c r="K15" s="103">
        <f t="shared" si="3"/>
        <v>4166957.7402413688</v>
      </c>
      <c r="L15" s="95">
        <f t="shared" si="3"/>
        <v>4271131.6837474024</v>
      </c>
      <c r="M15" s="95">
        <f t="shared" si="3"/>
        <v>4377909.9758410882</v>
      </c>
      <c r="N15" s="95">
        <f t="shared" si="3"/>
        <v>4487357.7252371144</v>
      </c>
      <c r="O15" s="95">
        <f t="shared" si="3"/>
        <v>4599541.6683680424</v>
      </c>
      <c r="P15" s="95">
        <f t="shared" si="3"/>
        <v>4714530.210077242</v>
      </c>
      <c r="Q15" s="95">
        <f t="shared" si="3"/>
        <v>4832393.465329173</v>
      </c>
      <c r="R15" s="95">
        <f t="shared" si="3"/>
        <v>4953203.3019624008</v>
      </c>
      <c r="S15" s="96">
        <f t="shared" si="3"/>
        <v>5077033.3845114615</v>
      </c>
      <c r="T15" s="95">
        <f t="shared" si="3"/>
        <v>5203959.2191242483</v>
      </c>
      <c r="U15" s="95">
        <f t="shared" si="3"/>
        <v>5334058.1996023534</v>
      </c>
      <c r="V15" s="95">
        <f t="shared" si="3"/>
        <v>5467409.6545924116</v>
      </c>
      <c r="W15" s="95">
        <f t="shared" si="3"/>
        <v>5604094.8959572222</v>
      </c>
      <c r="X15" s="95">
        <f t="shared" si="3"/>
        <v>5744197.2683561519</v>
      </c>
      <c r="Y15" s="95">
        <f t="shared" si="3"/>
        <v>5887802.2000650559</v>
      </c>
      <c r="Z15" s="95">
        <f t="shared" si="3"/>
        <v>6034997.2550666817</v>
      </c>
      <c r="AA15" s="95">
        <f t="shared" si="3"/>
        <v>6185872.1864433475</v>
      </c>
      <c r="AB15" s="95">
        <f t="shared" si="3"/>
        <v>6340518.9911044305</v>
      </c>
      <c r="AC15" s="95">
        <f t="shared" si="3"/>
        <v>6499031.9658820406</v>
      </c>
      <c r="AD15" s="95">
        <f t="shared" si="3"/>
        <v>6661507.7650290905</v>
      </c>
      <c r="AE15" s="95">
        <f t="shared" si="3"/>
        <v>6828045.4591548173</v>
      </c>
      <c r="AF15" s="95">
        <f t="shared" si="3"/>
        <v>6998746.5956336865</v>
      </c>
      <c r="AG15" s="95">
        <f t="shared" si="3"/>
        <v>7173715.2605245281</v>
      </c>
      <c r="AH15" s="95">
        <f t="shared" si="3"/>
        <v>7353058.1420376403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-242597.11042738426</v>
      </c>
      <c r="F19" s="89">
        <f>E19*(1+$D$19)</f>
        <v>-245629.57430772655</v>
      </c>
      <c r="G19" s="89">
        <f t="shared" ref="G19:AH19" si="6">F19*(1+$D$19)</f>
        <v>-248699.94398657311</v>
      </c>
      <c r="H19" s="89">
        <f t="shared" si="6"/>
        <v>-251808.69328640527</v>
      </c>
      <c r="I19" s="89">
        <f t="shared" si="6"/>
        <v>-254956.30195248532</v>
      </c>
      <c r="J19" s="89">
        <f t="shared" si="6"/>
        <v>-258143.25572689137</v>
      </c>
      <c r="K19" s="89">
        <f t="shared" si="6"/>
        <v>-261370.0464234775</v>
      </c>
      <c r="L19" s="89">
        <f t="shared" si="6"/>
        <v>-264637.17200377095</v>
      </c>
      <c r="M19" s="89">
        <f t="shared" si="6"/>
        <v>-267945.13665381807</v>
      </c>
      <c r="N19" s="89">
        <f t="shared" si="6"/>
        <v>-271294.4508619908</v>
      </c>
      <c r="O19" s="89">
        <f t="shared" si="6"/>
        <v>-274685.63149776566</v>
      </c>
      <c r="P19" s="89">
        <f t="shared" si="6"/>
        <v>-278119.2018914877</v>
      </c>
      <c r="Q19" s="89">
        <f t="shared" si="6"/>
        <v>-281595.69191513129</v>
      </c>
      <c r="R19" s="89">
        <f t="shared" si="6"/>
        <v>-285115.63806407043</v>
      </c>
      <c r="S19" s="90">
        <f t="shared" si="6"/>
        <v>-288679.58353987132</v>
      </c>
      <c r="T19" s="89">
        <f t="shared" si="6"/>
        <v>-292288.07833411969</v>
      </c>
      <c r="U19" s="89">
        <f t="shared" si="6"/>
        <v>-295941.67931329616</v>
      </c>
      <c r="V19" s="89">
        <f t="shared" si="6"/>
        <v>-299640.95030471234</v>
      </c>
      <c r="W19" s="89">
        <f t="shared" si="6"/>
        <v>-303386.46218352125</v>
      </c>
      <c r="X19" s="89">
        <f t="shared" si="6"/>
        <v>-307178.79296081525</v>
      </c>
      <c r="Y19" s="89">
        <f t="shared" si="6"/>
        <v>-311018.52787282545</v>
      </c>
      <c r="Z19" s="89">
        <f t="shared" si="6"/>
        <v>-314906.25947123574</v>
      </c>
      <c r="AA19" s="89">
        <f t="shared" si="6"/>
        <v>-318842.58771462616</v>
      </c>
      <c r="AB19" s="89">
        <f t="shared" si="6"/>
        <v>-322828.12006105896</v>
      </c>
      <c r="AC19" s="89">
        <f t="shared" si="6"/>
        <v>-326863.47156182217</v>
      </c>
      <c r="AD19" s="89">
        <f t="shared" si="6"/>
        <v>-330949.26495634491</v>
      </c>
      <c r="AE19" s="89">
        <f t="shared" si="6"/>
        <v>-335086.13076829922</v>
      </c>
      <c r="AF19" s="89">
        <f t="shared" si="6"/>
        <v>-339274.70740290295</v>
      </c>
      <c r="AG19" s="89">
        <f t="shared" si="6"/>
        <v>-343515.64124543924</v>
      </c>
      <c r="AH19" s="89">
        <f t="shared" si="6"/>
        <v>-347809.5867610072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2714257.4895726158</v>
      </c>
      <c r="F21" s="95">
        <f t="shared" si="8"/>
        <v>2779843.8906922732</v>
      </c>
      <c r="G21" s="95">
        <f t="shared" si="8"/>
        <v>2846895.7576384256</v>
      </c>
      <c r="H21" s="95">
        <f t="shared" si="8"/>
        <v>2915442.777379218</v>
      </c>
      <c r="I21" s="95">
        <f t="shared" si="8"/>
        <v>2985515.1251572785</v>
      </c>
      <c r="J21" s="95">
        <f t="shared" si="8"/>
        <v>3057143.4676768281</v>
      </c>
      <c r="K21" s="95">
        <f t="shared" si="8"/>
        <v>3130358.9660531147</v>
      </c>
      <c r="L21" s="95">
        <f t="shared" si="8"/>
        <v>3205193.2785070883</v>
      </c>
      <c r="M21" s="95">
        <f t="shared" si="8"/>
        <v>3281678.5627874476</v>
      </c>
      <c r="N21" s="95">
        <f t="shared" si="8"/>
        <v>3359847.4783013077</v>
      </c>
      <c r="O21" s="95">
        <f t="shared" si="8"/>
        <v>3439733.1879338771</v>
      </c>
      <c r="P21" s="95">
        <f t="shared" si="8"/>
        <v>3521369.3595365807</v>
      </c>
      <c r="Q21" s="95">
        <f t="shared" si="8"/>
        <v>3604790.1670621475</v>
      </c>
      <c r="R21" s="95">
        <f t="shared" si="8"/>
        <v>3690030.2913241195</v>
      </c>
      <c r="S21" s="96">
        <f t="shared" si="8"/>
        <v>3777124.9203572823</v>
      </c>
      <c r="T21" s="95">
        <f t="shared" si="8"/>
        <v>3866109.7493543201</v>
      </c>
      <c r="U21" s="95">
        <f t="shared" si="8"/>
        <v>3957020.9801529958</v>
      </c>
      <c r="V21" s="95">
        <f t="shared" si="8"/>
        <v>4049895.3202468753</v>
      </c>
      <c r="W21" s="95">
        <f t="shared" si="8"/>
        <v>4144769.9812914487</v>
      </c>
      <c r="X21" s="95">
        <f t="shared" si="8"/>
        <v>4241682.6770762056</v>
      </c>
      <c r="Y21" s="95">
        <f t="shared" si="8"/>
        <v>4340671.6209319299</v>
      </c>
      <c r="Z21" s="95">
        <f t="shared" si="8"/>
        <v>4441775.522541035</v>
      </c>
      <c r="AA21" s="95">
        <f t="shared" si="8"/>
        <v>4545033.5841174051</v>
      </c>
      <c r="AB21" s="95">
        <f t="shared" si="8"/>
        <v>4650485.49592066</v>
      </c>
      <c r="AC21" s="95">
        <f t="shared" si="8"/>
        <v>4758171.4310682118</v>
      </c>
      <c r="AD21" s="95">
        <f t="shared" si="8"/>
        <v>4868132.0396069186</v>
      </c>
      <c r="AE21" s="95">
        <f t="shared" si="8"/>
        <v>4980408.4418043876</v>
      </c>
      <c r="AF21" s="95">
        <f t="shared" si="8"/>
        <v>5095042.2206182787</v>
      </c>
      <c r="AG21" s="95">
        <f t="shared" si="8"/>
        <v>5212075.4133001463</v>
      </c>
      <c r="AH21" s="95">
        <f t="shared" si="8"/>
        <v>5331550.5020884275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-2261881.2413105131</v>
      </c>
      <c r="F22" s="95">
        <f t="shared" ref="F22:AH22" si="9">$E$22</f>
        <v>-2261881.2413105131</v>
      </c>
      <c r="G22" s="95">
        <f t="shared" si="9"/>
        <v>-2261881.2413105131</v>
      </c>
      <c r="H22" s="95">
        <f t="shared" si="9"/>
        <v>-2261881.2413105131</v>
      </c>
      <c r="I22" s="95">
        <f t="shared" si="9"/>
        <v>-2261881.2413105131</v>
      </c>
      <c r="J22" s="95">
        <f t="shared" si="9"/>
        <v>-2261881.2413105131</v>
      </c>
      <c r="K22" s="95">
        <f t="shared" si="9"/>
        <v>-2261881.2413105131</v>
      </c>
      <c r="L22" s="95">
        <f t="shared" si="9"/>
        <v>-2261881.2413105131</v>
      </c>
      <c r="M22" s="95">
        <f t="shared" si="9"/>
        <v>-2261881.2413105131</v>
      </c>
      <c r="N22" s="95">
        <f t="shared" si="9"/>
        <v>-2261881.2413105131</v>
      </c>
      <c r="O22" s="95">
        <f t="shared" si="9"/>
        <v>-2261881.2413105131</v>
      </c>
      <c r="P22" s="95">
        <f t="shared" si="9"/>
        <v>-2261881.2413105131</v>
      </c>
      <c r="Q22" s="95">
        <f t="shared" si="9"/>
        <v>-2261881.2413105131</v>
      </c>
      <c r="R22" s="95">
        <f t="shared" si="9"/>
        <v>-2261881.2413105131</v>
      </c>
      <c r="S22" s="96">
        <f t="shared" si="9"/>
        <v>-2261881.2413105131</v>
      </c>
      <c r="T22" s="95">
        <f t="shared" si="9"/>
        <v>-2261881.2413105131</v>
      </c>
      <c r="U22" s="95">
        <f t="shared" si="9"/>
        <v>-2261881.2413105131</v>
      </c>
      <c r="V22" s="95">
        <f t="shared" si="9"/>
        <v>-2261881.2413105131</v>
      </c>
      <c r="W22" s="95">
        <f t="shared" si="9"/>
        <v>-2261881.2413105131</v>
      </c>
      <c r="X22" s="95">
        <f t="shared" si="9"/>
        <v>-2261881.2413105131</v>
      </c>
      <c r="Y22" s="95">
        <f t="shared" si="9"/>
        <v>-2261881.2413105131</v>
      </c>
      <c r="Z22" s="95">
        <f t="shared" si="9"/>
        <v>-2261881.2413105131</v>
      </c>
      <c r="AA22" s="95">
        <f t="shared" si="9"/>
        <v>-2261881.2413105131</v>
      </c>
      <c r="AB22" s="95">
        <f t="shared" si="9"/>
        <v>-2261881.2413105131</v>
      </c>
      <c r="AC22" s="95">
        <f t="shared" si="9"/>
        <v>-2261881.2413105131</v>
      </c>
      <c r="AD22" s="95">
        <f t="shared" si="9"/>
        <v>-2261881.2413105131</v>
      </c>
      <c r="AE22" s="95">
        <f t="shared" si="9"/>
        <v>-2261881.2413105131</v>
      </c>
      <c r="AF22" s="95">
        <f t="shared" si="9"/>
        <v>-2261881.2413105131</v>
      </c>
      <c r="AG22" s="95">
        <f t="shared" si="9"/>
        <v>-2261881.2413105131</v>
      </c>
      <c r="AH22" s="95">
        <f t="shared" si="9"/>
        <v>-2261881.2413105131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452376.24826210272</v>
      </c>
      <c r="F25" s="119">
        <f t="shared" ref="F25:AH25" si="11">+F21+F22+F23</f>
        <v>517962.64938176004</v>
      </c>
      <c r="G25" s="119">
        <f t="shared" si="11"/>
        <v>585014.51632791245</v>
      </c>
      <c r="H25" s="119">
        <f t="shared" si="11"/>
        <v>653561.53606870491</v>
      </c>
      <c r="I25" s="119">
        <f t="shared" si="11"/>
        <v>723633.88384676538</v>
      </c>
      <c r="J25" s="119">
        <f t="shared" si="11"/>
        <v>795262.22636631504</v>
      </c>
      <c r="K25" s="119">
        <f t="shared" si="11"/>
        <v>868477.72474260163</v>
      </c>
      <c r="L25" s="119">
        <f t="shared" si="11"/>
        <v>943312.0371965752</v>
      </c>
      <c r="M25" s="119">
        <f t="shared" si="11"/>
        <v>1019797.3214769345</v>
      </c>
      <c r="N25" s="119">
        <f t="shared" si="11"/>
        <v>1097966.2369907945</v>
      </c>
      <c r="O25" s="119">
        <f t="shared" si="11"/>
        <v>1177851.946623364</v>
      </c>
      <c r="P25" s="119">
        <f t="shared" si="11"/>
        <v>1259488.1182260676</v>
      </c>
      <c r="Q25" s="119">
        <f t="shared" si="11"/>
        <v>1342908.9257516344</v>
      </c>
      <c r="R25" s="119">
        <f t="shared" si="11"/>
        <v>1428149.0500136064</v>
      </c>
      <c r="S25" s="160">
        <f t="shared" si="11"/>
        <v>1515243.6790467692</v>
      </c>
      <c r="T25" s="119">
        <f t="shared" si="11"/>
        <v>1604228.508043807</v>
      </c>
      <c r="U25" s="119">
        <f t="shared" si="11"/>
        <v>1695139.7388424827</v>
      </c>
      <c r="V25" s="119">
        <f t="shared" si="11"/>
        <v>1788014.0789363622</v>
      </c>
      <c r="W25" s="119">
        <f t="shared" si="11"/>
        <v>1882888.7399809356</v>
      </c>
      <c r="X25" s="119">
        <f t="shared" si="11"/>
        <v>1979801.4357656925</v>
      </c>
      <c r="Y25" s="119">
        <f t="shared" si="11"/>
        <v>2078790.3796214168</v>
      </c>
      <c r="Z25" s="119">
        <f t="shared" si="11"/>
        <v>2179894.2812305219</v>
      </c>
      <c r="AA25" s="119">
        <f t="shared" si="11"/>
        <v>2283152.342806892</v>
      </c>
      <c r="AB25" s="119">
        <f t="shared" si="11"/>
        <v>2388604.2546101469</v>
      </c>
      <c r="AC25" s="119">
        <f t="shared" si="11"/>
        <v>2496290.1897576987</v>
      </c>
      <c r="AD25" s="119">
        <f t="shared" si="11"/>
        <v>2606250.7982964055</v>
      </c>
      <c r="AE25" s="119">
        <f t="shared" si="11"/>
        <v>2718527.2004938745</v>
      </c>
      <c r="AF25" s="119">
        <f t="shared" si="11"/>
        <v>2833160.9793077656</v>
      </c>
      <c r="AG25" s="119">
        <f t="shared" si="11"/>
        <v>2950194.1719896332</v>
      </c>
      <c r="AH25" s="119">
        <f t="shared" si="11"/>
        <v>3069669.2607779144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1.2289963946478717</v>
      </c>
      <c r="G27" s="122">
        <f t="shared" si="12"/>
        <v>1.2586406861878214</v>
      </c>
      <c r="H27" s="122">
        <f t="shared" si="12"/>
        <v>1.2889459995211938</v>
      </c>
      <c r="I27" s="122">
        <f t="shared" si="12"/>
        <v>1.3199256754202968</v>
      </c>
      <c r="J27" s="122">
        <f t="shared" si="12"/>
        <v>1.3515932719374548</v>
      </c>
      <c r="K27" s="122">
        <f t="shared" si="12"/>
        <v>1.383962565708982</v>
      </c>
      <c r="L27" s="122">
        <f t="shared" si="12"/>
        <v>1.4170475531465254</v>
      </c>
      <c r="M27" s="122">
        <f t="shared" si="12"/>
        <v>1.4508624515078754</v>
      </c>
      <c r="N27" s="122">
        <f t="shared" si="12"/>
        <v>1.4854216998389549</v>
      </c>
      <c r="O27" s="122">
        <f t="shared" si="12"/>
        <v>1.520739959778316</v>
      </c>
      <c r="P27" s="122">
        <f t="shared" si="12"/>
        <v>1.5568321162150547</v>
      </c>
      <c r="Q27" s="122">
        <f t="shared" si="12"/>
        <v>1.5937132777906435</v>
      </c>
      <c r="R27" s="122">
        <f t="shared" si="12"/>
        <v>1.6313987772347189</v>
      </c>
      <c r="S27" s="161">
        <f t="shared" si="12"/>
        <v>1.6699041715244303</v>
      </c>
      <c r="T27" s="122">
        <f t="shared" si="12"/>
        <v>1.7092452418564343</v>
      </c>
      <c r="U27" s="122">
        <f t="shared" si="12"/>
        <v>1.7494379934201738</v>
      </c>
      <c r="V27" s="122">
        <f t="shared" si="12"/>
        <v>1.7904986549605069</v>
      </c>
      <c r="W27" s="122">
        <f t="shared" si="12"/>
        <v>1.8324436781172504</v>
      </c>
      <c r="X27" s="122">
        <f t="shared" si="12"/>
        <v>1.8752897365286136</v>
      </c>
      <c r="Y27" s="122">
        <f t="shared" si="12"/>
        <v>1.9190537246849375</v>
      </c>
      <c r="Z27" s="122">
        <f t="shared" si="12"/>
        <v>1.9637527565185124</v>
      </c>
      <c r="AA27" s="122">
        <f t="shared" si="12"/>
        <v>2.0094041637146498</v>
      </c>
      <c r="AB27" s="122">
        <f t="shared" si="12"/>
        <v>2.056025493728491</v>
      </c>
      <c r="AC27" s="122">
        <f t="shared" si="12"/>
        <v>2.1036345074913707</v>
      </c>
      <c r="AD27" s="122">
        <f t="shared" si="12"/>
        <v>2.1522491767898333</v>
      </c>
      <c r="AE27" s="122">
        <f t="shared" si="12"/>
        <v>2.2018876812996533</v>
      </c>
      <c r="AF27" s="122">
        <f t="shared" si="12"/>
        <v>2.2525684052564396</v>
      </c>
      <c r="AG27" s="122">
        <f t="shared" si="12"/>
        <v>2.3043099337436117</v>
      </c>
      <c r="AH27" s="122">
        <f t="shared" si="12"/>
        <v>2.3571310485776769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452376.24826210272</v>
      </c>
      <c r="F41" s="129">
        <f t="shared" ref="F41:S41" si="20">F25+F37</f>
        <v>517962.64938176004</v>
      </c>
      <c r="G41" s="129">
        <f t="shared" si="20"/>
        <v>585014.51632791245</v>
      </c>
      <c r="H41" s="129">
        <f t="shared" si="20"/>
        <v>653561.53606870491</v>
      </c>
      <c r="I41" s="129">
        <f t="shared" si="20"/>
        <v>723633.88384676538</v>
      </c>
      <c r="J41" s="129">
        <f t="shared" si="20"/>
        <v>795262.22636631504</v>
      </c>
      <c r="K41" s="129">
        <f t="shared" si="20"/>
        <v>868477.72474260163</v>
      </c>
      <c r="L41" s="129">
        <f t="shared" si="20"/>
        <v>943312.0371965752</v>
      </c>
      <c r="M41" s="129">
        <f t="shared" si="20"/>
        <v>1019797.3214769345</v>
      </c>
      <c r="N41" s="129">
        <f t="shared" si="20"/>
        <v>1097966.2369907945</v>
      </c>
      <c r="O41" s="129">
        <f t="shared" si="20"/>
        <v>1177851.946623364</v>
      </c>
      <c r="P41" s="129">
        <f t="shared" si="20"/>
        <v>1259488.1182260676</v>
      </c>
      <c r="Q41" s="129">
        <f t="shared" si="20"/>
        <v>1342908.9257516344</v>
      </c>
      <c r="R41" s="129">
        <f t="shared" si="20"/>
        <v>1428149.0500136064</v>
      </c>
      <c r="S41" s="130">
        <f t="shared" si="20"/>
        <v>1515243.6790467692</v>
      </c>
      <c r="T41" s="130">
        <f t="shared" ref="T41:AH41" si="21">T25+T37</f>
        <v>1604228.508043807</v>
      </c>
      <c r="U41" s="130">
        <f t="shared" si="21"/>
        <v>1695139.7388424827</v>
      </c>
      <c r="V41" s="130">
        <f t="shared" si="21"/>
        <v>1788014.0789363622</v>
      </c>
      <c r="W41" s="130">
        <f t="shared" si="21"/>
        <v>1882888.7399809356</v>
      </c>
      <c r="X41" s="130">
        <f t="shared" si="21"/>
        <v>1979801.4357656925</v>
      </c>
      <c r="Y41" s="130">
        <f t="shared" si="21"/>
        <v>2078790.3796214168</v>
      </c>
      <c r="Z41" s="130">
        <f t="shared" si="21"/>
        <v>2179894.2812305219</v>
      </c>
      <c r="AA41" s="130">
        <f t="shared" si="21"/>
        <v>2283152.342806892</v>
      </c>
      <c r="AB41" s="130">
        <f t="shared" si="21"/>
        <v>2388604.2546101469</v>
      </c>
      <c r="AC41" s="130">
        <f t="shared" si="21"/>
        <v>2496290.1897576987</v>
      </c>
      <c r="AD41" s="130">
        <f t="shared" si="21"/>
        <v>2606250.7982964055</v>
      </c>
      <c r="AE41" s="130">
        <f t="shared" si="21"/>
        <v>2718527.2004938745</v>
      </c>
      <c r="AF41" s="130">
        <f t="shared" si="21"/>
        <v>2833160.9793077656</v>
      </c>
      <c r="AG41" s="130">
        <f t="shared" si="21"/>
        <v>2950194.1719896332</v>
      </c>
      <c r="AH41" s="130">
        <f t="shared" si="21"/>
        <v>3069669.2607779144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1049</v>
      </c>
      <c r="E42" s="129">
        <f>((E41*$C$42))</f>
        <v>384519.81102278735</v>
      </c>
      <c r="F42" s="129">
        <f t="shared" ref="F42:S42" si="22">((F41*$C$42))</f>
        <v>440268.25197449606</v>
      </c>
      <c r="G42" s="129">
        <f t="shared" si="22"/>
        <v>497262.33887872566</v>
      </c>
      <c r="H42" s="129">
        <f t="shared" si="22"/>
        <v>555527.30565839924</v>
      </c>
      <c r="I42" s="129">
        <f t="shared" si="22"/>
        <v>615088.80126975069</v>
      </c>
      <c r="J42" s="129">
        <f t="shared" si="22"/>
        <v>675972.89241136785</v>
      </c>
      <c r="K42" s="129">
        <f t="shared" si="22"/>
        <v>738206.06603121141</v>
      </c>
      <c r="L42" s="129">
        <f t="shared" si="22"/>
        <v>801815.23161708901</v>
      </c>
      <c r="M42" s="129">
        <f t="shared" si="22"/>
        <v>866827.72325539438</v>
      </c>
      <c r="N42" s="129">
        <f t="shared" si="22"/>
        <v>933271.30144217541</v>
      </c>
      <c r="O42" s="129">
        <f t="shared" si="22"/>
        <v>1001174.1546298595</v>
      </c>
      <c r="P42" s="129">
        <f t="shared" si="22"/>
        <v>1070564.9004921576</v>
      </c>
      <c r="Q42" s="129">
        <f t="shared" si="22"/>
        <v>1141472.5868888893</v>
      </c>
      <c r="R42" s="129">
        <f t="shared" si="22"/>
        <v>1213926.6925115655</v>
      </c>
      <c r="S42" s="129">
        <f t="shared" si="22"/>
        <v>1287957.1271897538</v>
      </c>
      <c r="T42" s="129">
        <f t="shared" ref="T42:AH42" si="23">((T41*$C$42))</f>
        <v>1363594.2318372361</v>
      </c>
      <c r="U42" s="129">
        <f t="shared" si="23"/>
        <v>1440868.7780161104</v>
      </c>
      <c r="V42" s="129">
        <f t="shared" si="23"/>
        <v>1519811.967095908</v>
      </c>
      <c r="W42" s="129">
        <f t="shared" si="23"/>
        <v>1600455.4289837955</v>
      </c>
      <c r="X42" s="129">
        <f t="shared" si="23"/>
        <v>1682831.2204008389</v>
      </c>
      <c r="Y42" s="129">
        <f t="shared" si="23"/>
        <v>1766971.8226782044</v>
      </c>
      <c r="Z42" s="129">
        <f t="shared" si="23"/>
        <v>1852910.1390459437</v>
      </c>
      <c r="AA42" s="129">
        <f t="shared" si="23"/>
        <v>1940679.4913858585</v>
      </c>
      <c r="AB42" s="129">
        <f t="shared" si="23"/>
        <v>2030313.616418625</v>
      </c>
      <c r="AC42" s="129">
        <f t="shared" si="23"/>
        <v>2121846.661294044</v>
      </c>
      <c r="AD42" s="129">
        <f t="shared" si="23"/>
        <v>2215313.1785519449</v>
      </c>
      <c r="AE42" s="129">
        <f t="shared" si="23"/>
        <v>2310748.1204197938</v>
      </c>
      <c r="AF42" s="129">
        <f t="shared" si="23"/>
        <v>2408186.8324116012</v>
      </c>
      <c r="AG42" s="129">
        <f t="shared" si="23"/>
        <v>2507665.0461911885</v>
      </c>
      <c r="AH42" s="129">
        <f t="shared" si="23"/>
        <v>2609218.8716612277</v>
      </c>
    </row>
    <row r="43" spans="1:34">
      <c r="A43" s="86"/>
      <c r="B43" s="132" t="s">
        <v>331</v>
      </c>
      <c r="C43" s="324">
        <f>GapCalc!I32</f>
        <v>0.14999999999999997</v>
      </c>
      <c r="D43" s="133" t="s">
        <v>1049</v>
      </c>
      <c r="E43" s="108">
        <f>$C$43*(E41)</f>
        <v>67856.43723931539</v>
      </c>
      <c r="F43" s="108">
        <f t="shared" ref="F43:S43" si="24">$C$43*(F41)</f>
        <v>77694.397407263983</v>
      </c>
      <c r="G43" s="108">
        <f t="shared" si="24"/>
        <v>87752.177449186842</v>
      </c>
      <c r="H43" s="108">
        <f t="shared" si="24"/>
        <v>98034.23041030571</v>
      </c>
      <c r="I43" s="108">
        <f t="shared" si="24"/>
        <v>108545.08257701478</v>
      </c>
      <c r="J43" s="108">
        <f t="shared" si="24"/>
        <v>119289.33395494723</v>
      </c>
      <c r="K43" s="108">
        <f t="shared" si="24"/>
        <v>130271.65871139022</v>
      </c>
      <c r="L43" s="108">
        <f t="shared" si="24"/>
        <v>141496.80557948624</v>
      </c>
      <c r="M43" s="108">
        <f t="shared" si="24"/>
        <v>152969.59822154013</v>
      </c>
      <c r="N43" s="108">
        <f t="shared" si="24"/>
        <v>164694.93554861913</v>
      </c>
      <c r="O43" s="108">
        <f t="shared" si="24"/>
        <v>176677.79199350456</v>
      </c>
      <c r="P43" s="108">
        <f t="shared" si="24"/>
        <v>188923.2177339101</v>
      </c>
      <c r="Q43" s="108">
        <f t="shared" si="24"/>
        <v>201436.33886274512</v>
      </c>
      <c r="R43" s="108">
        <f t="shared" si="24"/>
        <v>214222.35750204092</v>
      </c>
      <c r="S43" s="108">
        <f t="shared" si="24"/>
        <v>227286.55185701532</v>
      </c>
      <c r="T43" s="108">
        <f t="shared" ref="T43:AH43" si="25">$C$43*(T41)</f>
        <v>240634.276206571</v>
      </c>
      <c r="U43" s="108">
        <f t="shared" si="25"/>
        <v>254270.96082637235</v>
      </c>
      <c r="V43" s="108">
        <f t="shared" si="25"/>
        <v>268202.11184045428</v>
      </c>
      <c r="W43" s="108">
        <f t="shared" si="25"/>
        <v>282433.3109971403</v>
      </c>
      <c r="X43" s="108">
        <f t="shared" si="25"/>
        <v>296970.21536485379</v>
      </c>
      <c r="Y43" s="108">
        <f t="shared" si="25"/>
        <v>311818.55694321246</v>
      </c>
      <c r="Z43" s="108">
        <f t="shared" si="25"/>
        <v>326984.14218457823</v>
      </c>
      <c r="AA43" s="108">
        <f t="shared" si="25"/>
        <v>342472.85142103373</v>
      </c>
      <c r="AB43" s="108">
        <f t="shared" si="25"/>
        <v>358290.63819152192</v>
      </c>
      <c r="AC43" s="108">
        <f t="shared" si="25"/>
        <v>374443.52846365474</v>
      </c>
      <c r="AD43" s="108">
        <f t="shared" si="25"/>
        <v>390937.61974446074</v>
      </c>
      <c r="AE43" s="108">
        <f t="shared" si="25"/>
        <v>407779.08007408108</v>
      </c>
      <c r="AF43" s="108">
        <f t="shared" si="25"/>
        <v>424974.14689616475</v>
      </c>
      <c r="AG43" s="108">
        <f t="shared" si="25"/>
        <v>442529.1257984449</v>
      </c>
      <c r="AH43" s="108">
        <f t="shared" si="25"/>
        <v>460450.38911668706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2.8740980498311881E-2</v>
      </c>
      <c r="F47" s="142">
        <f>F41/GapCalc!$H$33</f>
        <v>3.2907904563791043E-2</v>
      </c>
      <c r="G47" s="142">
        <f>G41/GapCalc!$H$33</f>
        <v>3.7167934588970886E-2</v>
      </c>
      <c r="H47" s="142">
        <f>H41/GapCalc!$H$33</f>
        <v>4.1522956686519327E-2</v>
      </c>
      <c r="I47" s="142">
        <f>I41/GapCalc!$H$33</f>
        <v>4.5974887990820036E-2</v>
      </c>
      <c r="J47" s="142">
        <f>J41/GapCalc!$H$33</f>
        <v>5.0525676860460257E-2</v>
      </c>
      <c r="K47" s="142">
        <f>K41/GapCalc!$H$33</f>
        <v>5.5177303065618216E-2</v>
      </c>
      <c r="L47" s="142">
        <f>L41/GapCalc!$H$33</f>
        <v>5.9931777959264868E-2</v>
      </c>
      <c r="M47" s="142">
        <f>M41/GapCalc!$H$33</f>
        <v>6.479114463104467E-2</v>
      </c>
      <c r="N47" s="142">
        <f>N41/GapCalc!$H$33</f>
        <v>6.9757478042644011E-2</v>
      </c>
      <c r="O47" s="142">
        <f>O41/GapCalc!$H$33</f>
        <v>7.4832885143401445E-2</v>
      </c>
      <c r="P47" s="142">
        <f>P41/GapCalc!$H$33</f>
        <v>8.0019504964853078E-2</v>
      </c>
      <c r="Q47" s="142">
        <f>Q41/GapCalc!$H$33</f>
        <v>8.5319508692848545E-2</v>
      </c>
      <c r="R47" s="142">
        <f>R41/GapCalc!$H$33</f>
        <v>9.0735099715805109E-2</v>
      </c>
      <c r="S47" s="142">
        <f>S41/GapCalc!$H$33</f>
        <v>9.6268513647607107E-2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2.4429833423565098E-2</v>
      </c>
      <c r="F48" s="142">
        <f>F43/GapCalc!$H$32</f>
        <v>2.7971718879222382E-2</v>
      </c>
      <c r="G48" s="142">
        <f>G43/GapCalc!$H$32</f>
        <v>3.1592744400625254E-2</v>
      </c>
      <c r="H48" s="142">
        <f>H43/GapCalc!$H$32</f>
        <v>3.5294513183541425E-2</v>
      </c>
      <c r="I48" s="142">
        <f>I43/GapCalc!$H$32</f>
        <v>3.9078654792197028E-2</v>
      </c>
      <c r="J48" s="142">
        <f>J43/GapCalc!$H$32</f>
        <v>4.2946825331391221E-2</v>
      </c>
      <c r="K48" s="142">
        <f>K43/GapCalc!$H$32</f>
        <v>4.6900707605775485E-2</v>
      </c>
      <c r="L48" s="142">
        <f>L43/GapCalc!$H$32</f>
        <v>5.0942011265375134E-2</v>
      </c>
      <c r="M48" s="142">
        <f>M43/GapCalc!$H$32</f>
        <v>5.5072472936387964E-2</v>
      </c>
      <c r="N48" s="142">
        <f>N43/GapCalc!$H$32</f>
        <v>5.9293856336247404E-2</v>
      </c>
      <c r="O48" s="142">
        <f>O43/GapCalc!$H$32</f>
        <v>6.3607952371891235E-2</v>
      </c>
      <c r="P48" s="142">
        <f>P43/GapCalc!$H$32</f>
        <v>6.801657922012512E-2</v>
      </c>
      <c r="Q48" s="142">
        <f>Q43/GapCalc!$H$32</f>
        <v>7.2521582388921257E-2</v>
      </c>
      <c r="R48" s="142">
        <f>R43/GapCalc!$H$32</f>
        <v>7.7124834758434346E-2</v>
      </c>
      <c r="S48" s="142">
        <f>S43/GapCalc!$H$32</f>
        <v>8.1828236600466037E-2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16808897.845998574</v>
      </c>
      <c r="D66" s="1544"/>
      <c r="E66" s="1564" t="s">
        <v>285</v>
      </c>
      <c r="G66" s="1520" t="s">
        <v>1073</v>
      </c>
      <c r="H66" s="1565">
        <f>H70/1.63</f>
        <v>2966276.0904703359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3906845.4672467383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689443.31774942414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4910239.3376561319</v>
      </c>
      <c r="D68" s="1545" t="s">
        <v>68</v>
      </c>
      <c r="G68" s="1521" t="s">
        <v>1079</v>
      </c>
      <c r="H68" s="1568">
        <f>IF(GapCalc!D41*C43&lt; 0,0,GapCalc!D41*C43)</f>
        <v>866512.82429225836</v>
      </c>
      <c r="I68" s="1545" t="s">
        <v>68</v>
      </c>
    </row>
    <row r="69" spans="2:10">
      <c r="B69" s="1521" t="s">
        <v>1059</v>
      </c>
      <c r="C69" s="1568">
        <f>'Debt Calc'!E60</f>
        <v>18581418.684074804</v>
      </c>
      <c r="D69" s="1546">
        <v>0.9</v>
      </c>
      <c r="G69" s="1521" t="s">
        <v>1075</v>
      </c>
      <c r="H69" s="1568">
        <f>'Debt Calc'!E59*C43</f>
        <v>3279073.8854249646</v>
      </c>
      <c r="I69" s="1546">
        <v>0.9</v>
      </c>
    </row>
    <row r="70" spans="2:10">
      <c r="B70" s="1523" t="s">
        <v>1042</v>
      </c>
      <c r="C70" s="1577">
        <f>C67+C68+C69</f>
        <v>27398503.488977674</v>
      </c>
      <c r="D70" s="1545" t="s">
        <v>68</v>
      </c>
      <c r="G70" s="1523" t="s">
        <v>1042</v>
      </c>
      <c r="H70" s="1577">
        <f>H67+H68+H69</f>
        <v>4835030.0274666473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0.62999999999999989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8.9999999999999983E-2</v>
      </c>
      <c r="I73" s="1548"/>
    </row>
    <row r="74" spans="2:10" ht="13.5" thickBot="1">
      <c r="B74" s="1578" t="s">
        <v>1080</v>
      </c>
      <c r="C74" s="1581">
        <f>GapCalc!H33</f>
        <v>15739763.93354685</v>
      </c>
      <c r="D74" s="1549"/>
      <c r="F74" s="1559"/>
      <c r="G74" s="1578" t="s">
        <v>1082</v>
      </c>
      <c r="H74" s="1581">
        <f>GapCalc!H32</f>
        <v>2777605.4000376789</v>
      </c>
      <c r="I74" s="1549"/>
    </row>
    <row r="75" spans="2:10">
      <c r="B75" s="70" t="s">
        <v>1081</v>
      </c>
      <c r="C75" s="1579">
        <f>(C70-C74)/C74</f>
        <v>0.74071883191221444</v>
      </c>
      <c r="G75" s="70" t="s">
        <v>1081</v>
      </c>
      <c r="H75" s="1579">
        <f>(H70-H74)/H74</f>
        <v>0.74071883191221433</v>
      </c>
    </row>
    <row r="76" spans="2:10">
      <c r="B76" s="70" t="s">
        <v>1045</v>
      </c>
      <c r="C76" s="1579">
        <f>C75/7</f>
        <v>0.10581697598745921</v>
      </c>
      <c r="G76" s="70" t="s">
        <v>1045</v>
      </c>
      <c r="H76" s="1579">
        <f>H75/7</f>
        <v>0.10581697598745919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6343888.3673430709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6508759.7235613968</v>
      </c>
      <c r="D81" s="1545" t="s">
        <v>68</v>
      </c>
    </row>
    <row r="82" spans="2:10">
      <c r="B82" s="1521" t="s">
        <v>1059</v>
      </c>
      <c r="C82" s="1568">
        <f>C68</f>
        <v>4910239.3376561319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11418999.061217528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0.8</v>
      </c>
      <c r="D86" s="1548"/>
    </row>
    <row r="87" spans="2:10">
      <c r="B87" s="1523" t="s">
        <v>1045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22145727.621056937</v>
      </c>
      <c r="D93" s="1544"/>
      <c r="E93" s="1564" t="s">
        <v>288</v>
      </c>
      <c r="G93" s="1520" t="s">
        <v>1073</v>
      </c>
      <c r="H93" s="1565">
        <f>H97/1.63</f>
        <v>3247970.1636909773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6508759.7235613968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1148604.6570990696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4910239.3376561319</v>
      </c>
      <c r="D95" s="1545" t="s">
        <v>68</v>
      </c>
      <c r="G95" s="1521" t="s">
        <v>1079</v>
      </c>
      <c r="H95" s="1568">
        <f>IF(GapCalc!D41*C43&lt; 0,0,GapCalc!D41*C43)</f>
        <v>866512.82429225836</v>
      </c>
      <c r="I95" s="1545" t="s">
        <v>68</v>
      </c>
    </row>
    <row r="96" spans="2:10">
      <c r="B96" s="1521" t="s">
        <v>1059</v>
      </c>
      <c r="C96" s="1568">
        <f>'Debt Calc'!H60</f>
        <v>24678536.96110528</v>
      </c>
      <c r="D96" s="1546">
        <v>0.9</v>
      </c>
      <c r="G96" s="1521" t="s">
        <v>1075</v>
      </c>
      <c r="H96" s="1568">
        <f>'Debt Calc'!E59*C43</f>
        <v>3279073.8854249646</v>
      </c>
      <c r="I96" s="1546">
        <v>0.9</v>
      </c>
    </row>
    <row r="97" spans="2:9">
      <c r="B97" s="1523" t="s">
        <v>1042</v>
      </c>
      <c r="C97" s="1577">
        <f>C94+C95+C96</f>
        <v>36097536.022322804</v>
      </c>
      <c r="D97" s="1545" t="s">
        <v>68</v>
      </c>
      <c r="G97" s="1523" t="s">
        <v>1042</v>
      </c>
      <c r="H97" s="1577">
        <f>H94+H95+H96</f>
        <v>5294191.3668162925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0.62999999999999989</v>
      </c>
      <c r="D99" s="1548"/>
      <c r="G99" s="1521" t="s">
        <v>1044</v>
      </c>
      <c r="H99" s="1524">
        <f>(H97-H93)/H93</f>
        <v>0.62999999999999989</v>
      </c>
      <c r="I99" s="1548"/>
    </row>
    <row r="100" spans="2:9">
      <c r="B100" s="1523" t="s">
        <v>1045</v>
      </c>
      <c r="C100" s="1566">
        <f>C99/7</f>
        <v>8.9999999999999983E-2</v>
      </c>
      <c r="D100" s="1548"/>
      <c r="G100" s="1523" t="s">
        <v>1045</v>
      </c>
      <c r="H100" s="1566">
        <f>H99/7</f>
        <v>8.9999999999999983E-2</v>
      </c>
      <c r="I100" s="1548"/>
    </row>
    <row r="101" spans="2:9" ht="13.5" thickBot="1">
      <c r="B101" s="1578" t="s">
        <v>1080</v>
      </c>
      <c r="C101" s="1581">
        <f>GapCalc!H33</f>
        <v>15739763.93354685</v>
      </c>
      <c r="D101" s="1549"/>
      <c r="G101" s="1578" t="s">
        <v>1082</v>
      </c>
      <c r="H101" s="1581">
        <f>GapCalc!H32</f>
        <v>2777605.4000376789</v>
      </c>
      <c r="I101" s="1549"/>
    </row>
    <row r="102" spans="2:9">
      <c r="B102" s="70" t="s">
        <v>1081</v>
      </c>
      <c r="C102" s="1579">
        <f>(C97-C101)/C101</f>
        <v>1.293397548700622</v>
      </c>
      <c r="G102" s="70" t="s">
        <v>1081</v>
      </c>
      <c r="H102" s="1579">
        <f>(H97-H101)/H101</f>
        <v>0.90602717245022479</v>
      </c>
    </row>
    <row r="103" spans="2:9">
      <c r="B103" s="70" t="s">
        <v>1045</v>
      </c>
      <c r="C103" s="1579">
        <f>C102/10</f>
        <v>0.12933975487006219</v>
      </c>
      <c r="G103" s="70" t="s">
        <v>1045</v>
      </c>
      <c r="H103" s="1579">
        <f>H102/10</f>
        <v>9.0602717245022474E-2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77930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15586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93516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93516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93516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101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50.5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50.5</v>
      </c>
      <c r="D49" s="876"/>
      <c r="E49" s="855" t="s">
        <v>577</v>
      </c>
      <c r="F49" s="855"/>
      <c r="G49" s="923">
        <v>143</v>
      </c>
      <c r="H49" s="884">
        <f>C53*D53</f>
        <v>20265.634615384617</v>
      </c>
      <c r="I49" s="884">
        <f>G49*H49</f>
        <v>2897985.7500000005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20265.634615384617</v>
      </c>
      <c r="I51" s="930">
        <f>SUM(I48:I50)</f>
        <v>2897985.7500000005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51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2897985.7500000005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51</v>
      </c>
      <c r="D55" s="855"/>
      <c r="E55" s="855"/>
      <c r="F55" s="937"/>
      <c r="G55" s="855"/>
      <c r="H55" s="872" t="s">
        <v>685</v>
      </c>
      <c r="I55" s="939">
        <f>SUM(I53:I54)</f>
        <v>2897985.7500000005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-0.5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F63" sqref="F63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2261881.2413105131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42000764.838394098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42000700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19381922.50453189</v>
      </c>
    </row>
    <row r="15" spans="2:36">
      <c r="B15" s="556"/>
      <c r="C15" s="560" t="s">
        <v>634</v>
      </c>
      <c r="H15" s="561">
        <f>12*PMT(Data!C24/12,Data!C29*12,-'Debt Calc'!H14)</f>
        <v>2261877.749546811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-1810002.9710539021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-1810002.9710539021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42000700</v>
      </c>
      <c r="E21" s="561">
        <f>$H$15</f>
        <v>2261877.749546811</v>
      </c>
      <c r="F21" s="561">
        <f>E21-G21</f>
        <v>0</v>
      </c>
      <c r="G21" s="561">
        <f>D21-H21</f>
        <v>2261877.749546811</v>
      </c>
      <c r="H21" s="561">
        <f>D21-E21</f>
        <v>39738822.250453189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39738822.250453189</v>
      </c>
      <c r="E22" s="561">
        <f t="shared" ref="E22:E50" si="1">$H$15</f>
        <v>2261877.749546811</v>
      </c>
      <c r="F22" s="561">
        <f t="shared" ref="F22:F50" si="2">E22-G22</f>
        <v>0</v>
      </c>
      <c r="G22" s="561">
        <f t="shared" ref="G22:G50" si="3">D22-H22</f>
        <v>2261877.749546811</v>
      </c>
      <c r="H22" s="561">
        <f t="shared" ref="H22:H39" si="4">D22-E22</f>
        <v>37476944.500906378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37476944.500906378</v>
      </c>
      <c r="E23" s="561">
        <f t="shared" si="1"/>
        <v>2261877.749546811</v>
      </c>
      <c r="F23" s="561">
        <f t="shared" si="2"/>
        <v>0</v>
      </c>
      <c r="G23" s="561">
        <f t="shared" si="3"/>
        <v>2261877.749546811</v>
      </c>
      <c r="H23" s="561">
        <f t="shared" si="4"/>
        <v>35215066.751359567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35215066.751359567</v>
      </c>
      <c r="E24" s="561">
        <f t="shared" si="1"/>
        <v>2261877.749546811</v>
      </c>
      <c r="F24" s="561">
        <f t="shared" si="2"/>
        <v>0</v>
      </c>
      <c r="G24" s="561">
        <f t="shared" si="3"/>
        <v>2261877.749546811</v>
      </c>
      <c r="H24" s="561">
        <f t="shared" si="4"/>
        <v>32953189.001812756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32953189.001812756</v>
      </c>
      <c r="E25" s="561">
        <f t="shared" si="1"/>
        <v>2261877.749546811</v>
      </c>
      <c r="F25" s="561">
        <f t="shared" si="2"/>
        <v>0</v>
      </c>
      <c r="G25" s="561">
        <f t="shared" si="3"/>
        <v>2261877.749546811</v>
      </c>
      <c r="H25" s="561">
        <f t="shared" si="4"/>
        <v>30691311.252265945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30691311.252265945</v>
      </c>
      <c r="E26" s="561">
        <f t="shared" si="1"/>
        <v>2261877.749546811</v>
      </c>
      <c r="F26" s="561">
        <f t="shared" si="2"/>
        <v>0</v>
      </c>
      <c r="G26" s="561">
        <f t="shared" si="3"/>
        <v>2261877.749546811</v>
      </c>
      <c r="H26" s="561">
        <f t="shared" si="4"/>
        <v>28429433.502719134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28429433.502719134</v>
      </c>
      <c r="E27" s="561">
        <f t="shared" si="1"/>
        <v>2261877.749546811</v>
      </c>
      <c r="F27" s="561">
        <f t="shared" si="2"/>
        <v>0</v>
      </c>
      <c r="G27" s="561">
        <f t="shared" si="3"/>
        <v>2261877.749546811</v>
      </c>
      <c r="H27" s="561">
        <f t="shared" si="4"/>
        <v>26167555.753172323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26167555.753172323</v>
      </c>
      <c r="E28" s="561">
        <f t="shared" si="1"/>
        <v>2261877.749546811</v>
      </c>
      <c r="F28" s="561">
        <f t="shared" si="2"/>
        <v>0</v>
      </c>
      <c r="G28" s="561">
        <f t="shared" si="3"/>
        <v>2261877.749546811</v>
      </c>
      <c r="H28" s="561">
        <f t="shared" si="4"/>
        <v>23905678.003625512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23905678.003625512</v>
      </c>
      <c r="E29" s="561">
        <f t="shared" si="1"/>
        <v>2261877.749546811</v>
      </c>
      <c r="F29" s="561">
        <f t="shared" si="2"/>
        <v>0</v>
      </c>
      <c r="G29" s="561">
        <f t="shared" si="3"/>
        <v>2261877.749546811</v>
      </c>
      <c r="H29" s="561">
        <f t="shared" si="4"/>
        <v>21643800.254078701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21643800.254078701</v>
      </c>
      <c r="E30" s="561">
        <f t="shared" si="1"/>
        <v>2261877.749546811</v>
      </c>
      <c r="F30" s="561">
        <f t="shared" si="2"/>
        <v>0</v>
      </c>
      <c r="G30" s="561">
        <f t="shared" si="3"/>
        <v>2261877.749546811</v>
      </c>
      <c r="H30" s="561">
        <f>D30-E30</f>
        <v>19381922.50453189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19381922.50453189</v>
      </c>
      <c r="E31" s="561">
        <f t="shared" si="1"/>
        <v>2261877.749546811</v>
      </c>
      <c r="F31" s="561">
        <f t="shared" si="2"/>
        <v>0</v>
      </c>
      <c r="G31" s="561">
        <f t="shared" si="3"/>
        <v>2261877.749546811</v>
      </c>
      <c r="H31" s="561">
        <f t="shared" si="4"/>
        <v>17120044.754985079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17120044.754985079</v>
      </c>
      <c r="E32" s="561">
        <f t="shared" si="1"/>
        <v>2261877.749546811</v>
      </c>
      <c r="F32" s="561">
        <f t="shared" si="2"/>
        <v>0</v>
      </c>
      <c r="G32" s="561">
        <f t="shared" si="3"/>
        <v>2261877.749546811</v>
      </c>
      <c r="H32" s="561">
        <f t="shared" si="4"/>
        <v>14858167.005438268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14858167.005438268</v>
      </c>
      <c r="E33" s="561">
        <f t="shared" si="1"/>
        <v>2261877.749546811</v>
      </c>
      <c r="F33" s="561">
        <f t="shared" si="2"/>
        <v>0</v>
      </c>
      <c r="G33" s="561">
        <f t="shared" si="3"/>
        <v>2261877.749546811</v>
      </c>
      <c r="H33" s="561">
        <f t="shared" si="4"/>
        <v>12596289.255891457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12596289.255891457</v>
      </c>
      <c r="E34" s="561">
        <f t="shared" si="1"/>
        <v>2261877.749546811</v>
      </c>
      <c r="F34" s="561">
        <f t="shared" si="2"/>
        <v>0</v>
      </c>
      <c r="G34" s="561">
        <f t="shared" si="3"/>
        <v>2261877.749546811</v>
      </c>
      <c r="H34" s="561">
        <f t="shared" si="4"/>
        <v>10334411.506344646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10334411.506344646</v>
      </c>
      <c r="E35" s="561">
        <f t="shared" si="1"/>
        <v>2261877.749546811</v>
      </c>
      <c r="F35" s="561">
        <f t="shared" si="2"/>
        <v>0</v>
      </c>
      <c r="G35" s="561">
        <f t="shared" si="3"/>
        <v>2261877.749546811</v>
      </c>
      <c r="H35" s="561">
        <f t="shared" si="4"/>
        <v>8072533.7567978352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8072533.7567978352</v>
      </c>
      <c r="E36" s="561">
        <f t="shared" si="1"/>
        <v>2261877.749546811</v>
      </c>
      <c r="F36" s="561">
        <f t="shared" si="2"/>
        <v>0</v>
      </c>
      <c r="G36" s="561">
        <f t="shared" si="3"/>
        <v>2261877.749546811</v>
      </c>
      <c r="H36" s="561">
        <f t="shared" si="4"/>
        <v>5810656.0072510242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5810656.0072510242</v>
      </c>
      <c r="E37" s="561">
        <f t="shared" si="1"/>
        <v>2261877.749546811</v>
      </c>
      <c r="F37" s="561">
        <f t="shared" si="2"/>
        <v>0</v>
      </c>
      <c r="G37" s="561">
        <f t="shared" si="3"/>
        <v>2261877.749546811</v>
      </c>
      <c r="H37" s="561">
        <f t="shared" si="4"/>
        <v>3548778.2577042133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3548778.2577042133</v>
      </c>
      <c r="E38" s="561">
        <f t="shared" si="1"/>
        <v>2261877.749546811</v>
      </c>
      <c r="F38" s="561">
        <f t="shared" si="2"/>
        <v>0</v>
      </c>
      <c r="G38" s="561">
        <f t="shared" si="3"/>
        <v>2261877.749546811</v>
      </c>
      <c r="H38" s="561">
        <f>D38-E38</f>
        <v>1286900.5081574023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1286900.5081574023</v>
      </c>
      <c r="E39" s="561">
        <f t="shared" si="1"/>
        <v>2261877.749546811</v>
      </c>
      <c r="F39" s="561">
        <f t="shared" si="2"/>
        <v>0</v>
      </c>
      <c r="G39" s="561">
        <f t="shared" si="3"/>
        <v>2261877.749546811</v>
      </c>
      <c r="H39" s="561">
        <f t="shared" si="4"/>
        <v>-974977.24138940871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-974977.24138940871</v>
      </c>
      <c r="E40" s="561">
        <f t="shared" si="1"/>
        <v>2261877.749546811</v>
      </c>
      <c r="F40" s="561">
        <f t="shared" si="2"/>
        <v>3236854.9909362197</v>
      </c>
      <c r="G40" s="561">
        <f t="shared" si="3"/>
        <v>-974977.24138940871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2261877.749546811</v>
      </c>
      <c r="F41" s="561">
        <f t="shared" si="2"/>
        <v>2261877.749546811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2261877.749546811</v>
      </c>
      <c r="F42" s="561">
        <f t="shared" si="2"/>
        <v>2261877.749546811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2261877.749546811</v>
      </c>
      <c r="F43" s="561">
        <f t="shared" si="2"/>
        <v>2261877.749546811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2261877.749546811</v>
      </c>
      <c r="F44" s="561">
        <f t="shared" si="2"/>
        <v>2261877.749546811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2261877.749546811</v>
      </c>
      <c r="F45" s="561">
        <f t="shared" si="2"/>
        <v>2261877.749546811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2261877.749546811</v>
      </c>
      <c r="F46" s="561">
        <f t="shared" si="2"/>
        <v>2261877.749546811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2261877.749546811</v>
      </c>
      <c r="F47" s="561">
        <f t="shared" si="2"/>
        <v>2261877.749546811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2261877.749546811</v>
      </c>
      <c r="F48" s="561">
        <f t="shared" si="2"/>
        <v>2261877.749546811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2261877.749546811</v>
      </c>
      <c r="F49" s="561">
        <f t="shared" si="2"/>
        <v>2261877.749546811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2261877.749546811</v>
      </c>
      <c r="F50" s="561">
        <f t="shared" si="2"/>
        <v>2261877.749546811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83339154.804827377</v>
      </c>
      <c r="F55" s="561"/>
      <c r="G55" s="1663" t="s">
        <v>1064</v>
      </c>
      <c r="H55" s="1667">
        <f>'Cash Flow'!N15/0.05</f>
        <v>89747154.50474228</v>
      </c>
    </row>
    <row r="56" spans="2:28">
      <c r="D56" s="1653" t="s">
        <v>1065</v>
      </c>
      <c r="E56" s="1665">
        <f>'Cash Flow'!K21/1.2</f>
        <v>2608632.4717109292</v>
      </c>
      <c r="F56" s="561"/>
      <c r="G56" s="1661" t="s">
        <v>1065</v>
      </c>
      <c r="H56" s="1668">
        <f>'Cash Flow'!N21/1.2</f>
        <v>2799872.8985844231</v>
      </c>
    </row>
    <row r="57" spans="2:28">
      <c r="D57" s="1653" t="s">
        <v>1066</v>
      </c>
      <c r="E57" s="1665">
        <f>E55*0.6</f>
        <v>50003492.882896423</v>
      </c>
      <c r="F57" s="561"/>
      <c r="G57" s="1661" t="s">
        <v>1066</v>
      </c>
      <c r="H57" s="1668">
        <f>H55*0.6</f>
        <v>53848292.702845365</v>
      </c>
    </row>
    <row r="58" spans="2:28">
      <c r="D58" s="1653" t="s">
        <v>1067</v>
      </c>
      <c r="E58" s="1665">
        <f>-PV(4%,34,E56)</f>
        <v>48028048.322672091</v>
      </c>
      <c r="F58" s="561"/>
      <c r="G58" s="1661" t="s">
        <v>1067</v>
      </c>
      <c r="H58" s="1668">
        <f>-PV(4%,30,H56)</f>
        <v>48415495.399949864</v>
      </c>
    </row>
    <row r="59" spans="2:28">
      <c r="D59" s="1652" t="s">
        <v>1068</v>
      </c>
      <c r="E59" s="1665">
        <f>E58-H27</f>
        <v>21860492.569499768</v>
      </c>
      <c r="F59" s="561"/>
      <c r="G59" s="1660" t="s">
        <v>1068</v>
      </c>
      <c r="H59" s="1668">
        <f>H58-H30</f>
        <v>29033572.895417973</v>
      </c>
    </row>
    <row r="60" spans="2:28" ht="13.5" thickBot="1">
      <c r="D60" s="1654" t="s">
        <v>1069</v>
      </c>
      <c r="E60" s="1666">
        <f>E59*GapCalc!I33</f>
        <v>18581418.684074804</v>
      </c>
      <c r="F60" s="561"/>
      <c r="G60" s="1662" t="s">
        <v>1069</v>
      </c>
      <c r="H60" s="1669">
        <f>H59*GapCalc!I33</f>
        <v>24678536.96110528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30952785.75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0</v>
      </c>
      <c r="C7" s="1417">
        <f>C4*E4</f>
        <v>371247.09322978498</v>
      </c>
      <c r="D7" s="1409">
        <f>(1-'Rental Income'!O19)</f>
        <v>0.65346534653465349</v>
      </c>
    </row>
    <row r="8" spans="1:5">
      <c r="A8" s="1410" t="s">
        <v>980</v>
      </c>
      <c r="B8" s="1417">
        <f>B7*D7</f>
        <v>0</v>
      </c>
      <c r="C8" s="1417">
        <f>C7*D7</f>
        <v>242597.11042738426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242597.11042738426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0</v>
      </c>
    </row>
    <row r="14" spans="1:5">
      <c r="A14" t="s">
        <v>992</v>
      </c>
      <c r="B14">
        <v>24</v>
      </c>
      <c r="C14" s="1425">
        <f>C3*(E3/12)*B14</f>
        <v>0</v>
      </c>
    </row>
    <row r="15" spans="1:5">
      <c r="A15" s="40" t="s">
        <v>994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3776688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-189113.40000000002</v>
      </c>
      <c r="E18" s="50"/>
      <c r="F18" s="55">
        <v>0.05</v>
      </c>
    </row>
    <row r="19" spans="1:25">
      <c r="A19" s="40" t="s">
        <v>165</v>
      </c>
      <c r="D19" s="57">
        <f>SUM(D15:D18)</f>
        <v>3593154.6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242597.11042738426</v>
      </c>
      <c r="Y56" s="1309">
        <f>X56/'Rental Income'!D15</f>
        <v>2401.951588389943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315181.24376071757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307">
        <f>SUM(X68,X64,X54,X39,X31)</f>
        <v>626583.61709405086</v>
      </c>
      <c r="Y70" s="1307">
        <f>X70/D10</f>
        <v>6203.7981890500087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9">
        <f>Y70-6000</f>
        <v>203.79818905000866</v>
      </c>
    </row>
    <row r="75" spans="1:25">
      <c r="A75" s="44" t="s">
        <v>260</v>
      </c>
      <c r="B75" s="45"/>
      <c r="C75" s="45"/>
      <c r="D75" s="52">
        <f>D19-D73</f>
        <v>2598943.58592</v>
      </c>
      <c r="E75" s="52">
        <f>D75/D10</f>
        <v>25732.114712079208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93516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38840982.187500007</v>
      </c>
      <c r="C7" s="465">
        <f>'Dev Summary_5-20'!B8</f>
        <v>3190331</v>
      </c>
      <c r="D7" s="465">
        <f t="shared" ref="D7:D14" si="0">B7-C7</f>
        <v>35650651.187500007</v>
      </c>
      <c r="E7" s="477">
        <f t="shared" ref="E7:E15" si="1">D7/B7</f>
        <v>0.91786173211071043</v>
      </c>
      <c r="F7" s="477"/>
      <c r="G7" s="472" t="e">
        <f t="shared" ref="G7:G14" si="2">B7/$B$15</f>
        <v>#REF!</v>
      </c>
      <c r="I7" s="147">
        <f>B7/$H$4</f>
        <v>353099.83806818188</v>
      </c>
      <c r="J7" s="53">
        <f>B7/$H$5</f>
        <v>415.34049988771983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110017.82656760905</v>
      </c>
      <c r="C9" s="446">
        <f>'Dev Summary_5-20'!B10</f>
        <v>50000</v>
      </c>
      <c r="D9" s="446">
        <f t="shared" si="0"/>
        <v>60017.826567609052</v>
      </c>
      <c r="E9" s="477">
        <f t="shared" si="1"/>
        <v>0.54552819702111099</v>
      </c>
      <c r="F9" s="477"/>
      <c r="G9" s="473" t="e">
        <f t="shared" si="2"/>
        <v>#REF!</v>
      </c>
      <c r="I9" s="53">
        <f t="shared" si="3"/>
        <v>1000.1620597055369</v>
      </c>
      <c r="J9" s="53">
        <f t="shared" si="4"/>
        <v>1.1764599273665368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0.34218743316651695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264475</v>
      </c>
      <c r="C14" s="467">
        <f>'Dev Summary_5-20'!B14</f>
        <v>282276.62941911275</v>
      </c>
      <c r="D14" s="467">
        <f t="shared" si="0"/>
        <v>-17801.629419112753</v>
      </c>
      <c r="E14" s="478">
        <f t="shared" si="1"/>
        <v>-6.7309308702572082E-2</v>
      </c>
      <c r="F14" s="478"/>
      <c r="G14" s="474" t="e">
        <f t="shared" si="2"/>
        <v>#REF!</v>
      </c>
      <c r="I14" s="53">
        <f t="shared" si="3"/>
        <v>2404.318181818182</v>
      </c>
      <c r="J14" s="53">
        <f t="shared" si="4"/>
        <v>2.8281256683348306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40166152.352891088</v>
      </c>
      <c r="C21" s="48">
        <v>18731659</v>
      </c>
      <c r="D21" s="48">
        <f>B21-C21</f>
        <v>21434493.352891088</v>
      </c>
      <c r="E21" s="55">
        <f>D21/B21</f>
        <v>0.53364567172310373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5776752.1619483903</v>
      </c>
      <c r="C28" s="50"/>
      <c r="D28" s="50">
        <f t="shared" si="5"/>
        <v>5776752.1619483903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42725080.406250007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38952.572365625012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35057.31512906251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327643.05614322919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42725080.406250007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9826.7684934375029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411479.7121313542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34180064.32500001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47899.030718750015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34180064.32500001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54986.530718750015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456</v>
      </c>
      <c r="B5" s="1763"/>
      <c r="C5" s="1763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470</v>
      </c>
      <c r="B5" s="1763"/>
      <c r="C5" s="1763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464291.78625</v>
      </c>
      <c r="E10" s="748">
        <f>'PreDev Flow of Funds'!Y10+'PreDev Flow of Funds'!Y12</f>
        <v>1395966</v>
      </c>
      <c r="F10" s="748">
        <f>(D10-E10)/18</f>
        <v>-51759.678541666668</v>
      </c>
      <c r="G10" s="748">
        <f>$F$10</f>
        <v>-51759.678541666668</v>
      </c>
      <c r="H10" s="748">
        <f t="shared" ref="H10:W10" si="2">$F$10</f>
        <v>-51759.678541666668</v>
      </c>
      <c r="I10" s="748">
        <f t="shared" si="2"/>
        <v>-51759.678541666668</v>
      </c>
      <c r="J10" s="748">
        <f t="shared" si="2"/>
        <v>-51759.678541666668</v>
      </c>
      <c r="K10" s="748">
        <f t="shared" si="2"/>
        <v>-51759.678541666668</v>
      </c>
      <c r="L10" s="748">
        <f t="shared" si="2"/>
        <v>-51759.678541666668</v>
      </c>
      <c r="M10" s="748">
        <f t="shared" si="2"/>
        <v>-51759.678541666668</v>
      </c>
      <c r="N10" s="748">
        <f t="shared" si="2"/>
        <v>-51759.678541666668</v>
      </c>
      <c r="O10" s="748">
        <f t="shared" si="2"/>
        <v>-51759.678541666668</v>
      </c>
      <c r="P10" s="748">
        <f t="shared" si="2"/>
        <v>-51759.678541666668</v>
      </c>
      <c r="Q10" s="748">
        <f t="shared" si="2"/>
        <v>-51759.678541666668</v>
      </c>
      <c r="R10" s="748">
        <f t="shared" si="2"/>
        <v>-51759.678541666668</v>
      </c>
      <c r="S10" s="748">
        <f t="shared" si="2"/>
        <v>-51759.678541666668</v>
      </c>
      <c r="T10" s="748">
        <f t="shared" si="2"/>
        <v>-51759.678541666668</v>
      </c>
      <c r="U10" s="748">
        <f t="shared" si="2"/>
        <v>-51759.678541666668</v>
      </c>
      <c r="V10" s="748">
        <f t="shared" si="2"/>
        <v>-51759.678541666668</v>
      </c>
      <c r="W10" s="748">
        <f t="shared" si="2"/>
        <v>-51759.678541666668</v>
      </c>
      <c r="X10" s="748"/>
      <c r="Y10" s="748">
        <f>SUM(E10:W10)</f>
        <v>464291.78625</v>
      </c>
    </row>
    <row r="11" spans="1:25" ht="15">
      <c r="A11" s="402"/>
      <c r="B11" s="403" t="s">
        <v>388</v>
      </c>
      <c r="C11" s="748"/>
      <c r="D11" s="748">
        <f>'Development Budget'!G41</f>
        <v>464291.78625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38840982.187500007</v>
      </c>
      <c r="E13" s="748">
        <f>'PreDev Flow of Funds'!Y14</f>
        <v>69798.3</v>
      </c>
      <c r="F13" s="748">
        <f>(D13-E13)/18</f>
        <v>2153954.6604166673</v>
      </c>
      <c r="G13" s="748">
        <f>$F$13</f>
        <v>2153954.6604166673</v>
      </c>
      <c r="H13" s="748">
        <f t="shared" ref="H13:W13" si="5">$F$13</f>
        <v>2153954.6604166673</v>
      </c>
      <c r="I13" s="748">
        <f t="shared" si="5"/>
        <v>2153954.6604166673</v>
      </c>
      <c r="J13" s="748">
        <f t="shared" si="5"/>
        <v>2153954.6604166673</v>
      </c>
      <c r="K13" s="748">
        <f t="shared" si="5"/>
        <v>2153954.6604166673</v>
      </c>
      <c r="L13" s="748">
        <f t="shared" si="5"/>
        <v>2153954.6604166673</v>
      </c>
      <c r="M13" s="748">
        <f t="shared" si="5"/>
        <v>2153954.6604166673</v>
      </c>
      <c r="N13" s="748">
        <f t="shared" si="5"/>
        <v>2153954.6604166673</v>
      </c>
      <c r="O13" s="748">
        <f t="shared" si="5"/>
        <v>2153954.6604166673</v>
      </c>
      <c r="P13" s="748">
        <f t="shared" si="5"/>
        <v>2153954.6604166673</v>
      </c>
      <c r="Q13" s="748">
        <f t="shared" si="5"/>
        <v>2153954.6604166673</v>
      </c>
      <c r="R13" s="748">
        <f t="shared" si="5"/>
        <v>2153954.6604166673</v>
      </c>
      <c r="S13" s="748">
        <f t="shared" si="5"/>
        <v>2153954.6604166673</v>
      </c>
      <c r="T13" s="748">
        <f t="shared" si="5"/>
        <v>2153954.6604166673</v>
      </c>
      <c r="U13" s="748">
        <f t="shared" si="5"/>
        <v>2153954.6604166673</v>
      </c>
      <c r="V13" s="748">
        <f t="shared" si="5"/>
        <v>2153954.6604166673</v>
      </c>
      <c r="W13" s="748">
        <f t="shared" si="5"/>
        <v>2153954.6604166673</v>
      </c>
      <c r="X13" s="748"/>
      <c r="Y13" s="748">
        <f t="shared" si="3"/>
        <v>38840982.187500007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38840982.187500007</v>
      </c>
      <c r="E15" s="748">
        <f>'PreDev Flow of Funds'!Y16+'PreDev Flow of Funds'!Y17+'PreDev Flow of Funds'!Y19</f>
        <v>72500</v>
      </c>
      <c r="F15" s="748">
        <f>(D15-E15)/18</f>
        <v>2153804.5659722225</v>
      </c>
      <c r="G15" s="748">
        <f>$F$15</f>
        <v>2153804.5659722225</v>
      </c>
      <c r="H15" s="748">
        <f t="shared" ref="H15:W15" si="7">$F$15</f>
        <v>2153804.5659722225</v>
      </c>
      <c r="I15" s="748">
        <f t="shared" si="7"/>
        <v>2153804.5659722225</v>
      </c>
      <c r="J15" s="748">
        <f t="shared" si="7"/>
        <v>2153804.5659722225</v>
      </c>
      <c r="K15" s="748">
        <f t="shared" si="7"/>
        <v>2153804.5659722225</v>
      </c>
      <c r="L15" s="748">
        <f t="shared" si="7"/>
        <v>2153804.5659722225</v>
      </c>
      <c r="M15" s="748">
        <f t="shared" si="7"/>
        <v>2153804.5659722225</v>
      </c>
      <c r="N15" s="748">
        <f t="shared" si="7"/>
        <v>2153804.5659722225</v>
      </c>
      <c r="O15" s="748">
        <f t="shared" si="7"/>
        <v>2153804.5659722225</v>
      </c>
      <c r="P15" s="748">
        <f t="shared" si="7"/>
        <v>2153804.5659722225</v>
      </c>
      <c r="Q15" s="748">
        <f t="shared" si="7"/>
        <v>2153804.5659722225</v>
      </c>
      <c r="R15" s="748">
        <f t="shared" si="7"/>
        <v>2153804.5659722225</v>
      </c>
      <c r="S15" s="748">
        <f t="shared" si="7"/>
        <v>2153804.5659722225</v>
      </c>
      <c r="T15" s="748">
        <f t="shared" si="7"/>
        <v>2153804.5659722225</v>
      </c>
      <c r="U15" s="748">
        <f t="shared" si="7"/>
        <v>2153804.5659722225</v>
      </c>
      <c r="V15" s="748">
        <f t="shared" si="7"/>
        <v>2153804.5659722225</v>
      </c>
      <c r="W15" s="748">
        <f t="shared" si="7"/>
        <v>2153804.5659722225</v>
      </c>
      <c r="X15" s="748"/>
      <c r="Y15" s="748">
        <f t="shared" si="3"/>
        <v>38840982.187500015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30952785.75</v>
      </c>
      <c r="E33" s="748">
        <v>0</v>
      </c>
      <c r="F33" s="748">
        <f>D33</f>
        <v>30952785.75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30952785.75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97102.45546875002</v>
      </c>
      <c r="E43" s="748">
        <f>D43</f>
        <v>97102.45546875002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97102.45546875002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288102.45546875003</v>
      </c>
      <c r="E52" s="748">
        <f>D52</f>
        <v>288102.45546875003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288102.45546875003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264475</v>
      </c>
      <c r="E58" s="748">
        <f>'PreDev Flow of Funds'!Y46</f>
        <v>96238.814999999988</v>
      </c>
      <c r="F58" s="748">
        <f>(D58-E58)/18</f>
        <v>9346.4547222222227</v>
      </c>
      <c r="G58" s="748">
        <f>$F$58</f>
        <v>9346.4547222222227</v>
      </c>
      <c r="H58" s="748">
        <f t="shared" ref="H58:W58" si="18">$F$58</f>
        <v>9346.4547222222227</v>
      </c>
      <c r="I58" s="748">
        <f t="shared" si="18"/>
        <v>9346.4547222222227</v>
      </c>
      <c r="J58" s="748">
        <f t="shared" si="18"/>
        <v>9346.4547222222227</v>
      </c>
      <c r="K58" s="748">
        <f t="shared" si="18"/>
        <v>9346.4547222222227</v>
      </c>
      <c r="L58" s="748">
        <f t="shared" si="18"/>
        <v>9346.4547222222227</v>
      </c>
      <c r="M58" s="748">
        <f t="shared" si="18"/>
        <v>9346.4547222222227</v>
      </c>
      <c r="N58" s="748">
        <f t="shared" si="18"/>
        <v>9346.4547222222227</v>
      </c>
      <c r="O58" s="748">
        <f t="shared" si="18"/>
        <v>9346.4547222222227</v>
      </c>
      <c r="P58" s="748">
        <f t="shared" si="18"/>
        <v>9346.4547222222227</v>
      </c>
      <c r="Q58" s="748">
        <f t="shared" si="18"/>
        <v>9346.4547222222227</v>
      </c>
      <c r="R58" s="748">
        <f t="shared" si="18"/>
        <v>9346.4547222222227</v>
      </c>
      <c r="S58" s="748">
        <f t="shared" si="18"/>
        <v>9346.4547222222227</v>
      </c>
      <c r="T58" s="748">
        <f t="shared" si="18"/>
        <v>9346.4547222222227</v>
      </c>
      <c r="U58" s="748">
        <f t="shared" si="18"/>
        <v>9346.4547222222227</v>
      </c>
      <c r="V58" s="748">
        <f t="shared" si="18"/>
        <v>9346.4547222222227</v>
      </c>
      <c r="W58" s="748">
        <f t="shared" si="18"/>
        <v>9346.4547222222227</v>
      </c>
      <c r="X58" s="748"/>
      <c r="Y58" s="748">
        <f t="shared" si="3"/>
        <v>264475.00000000012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110017.82656760905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15230357.985937497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34389400.190942697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-12879737.109962322</v>
      </c>
      <c r="E87" s="749">
        <f>E80-E84-E85-E86-E88-E89-E90-E91</f>
        <v>389204.91093749553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15230357.985937497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2"/>
      <c r="B5" s="1763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4"/>
      <c r="B6" s="1766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4"/>
      <c r="B40" s="1766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4"/>
      <c r="B73" s="1765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7" t="s">
        <v>590</v>
      </c>
      <c r="D74" s="1768"/>
      <c r="E74" s="1768"/>
      <c r="F74" s="1768"/>
      <c r="G74" s="1768"/>
      <c r="H74" s="1768"/>
      <c r="I74" s="1769"/>
      <c r="J74" s="1770" t="s">
        <v>583</v>
      </c>
      <c r="K74" s="1771"/>
      <c r="L74" s="1771"/>
      <c r="M74" s="1771"/>
      <c r="N74" s="1771"/>
      <c r="O74" s="1772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7"/>
      <c r="D78" s="1768"/>
      <c r="E78" s="1768"/>
      <c r="F78" s="1768"/>
      <c r="G78" s="1768"/>
      <c r="H78" s="1768"/>
      <c r="I78" s="1769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7"/>
      <c r="D85" s="1768"/>
      <c r="E85" s="1768"/>
      <c r="F85" s="1768"/>
      <c r="G85" s="1768"/>
      <c r="H85" s="1768"/>
      <c r="I85" s="1769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7"/>
      <c r="D91" s="1768"/>
      <c r="E91" s="1768"/>
      <c r="F91" s="1768"/>
      <c r="G91" s="1768"/>
      <c r="H91" s="1768"/>
      <c r="I91" s="1769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-1316315.2021875</v>
      </c>
      <c r="K103" s="162">
        <f>J103+(C116*0.25)/2</f>
        <v>-2632630.4043749999</v>
      </c>
      <c r="L103" s="162">
        <f>K103+((C116-K103)/4)</f>
        <v>-4607103.2076562494</v>
      </c>
      <c r="M103" s="162">
        <f>L103+((C116-K103)/4)</f>
        <v>-6581576.0109374989</v>
      </c>
      <c r="N103" s="162">
        <f>M103+((C116-K103)/4)</f>
        <v>-8556048.8142187484</v>
      </c>
      <c r="O103" s="162">
        <f>N103+((C116-K103)/4)</f>
        <v>-10530521.617499998</v>
      </c>
      <c r="P103" s="162">
        <f>O103</f>
        <v>-10530521.617499998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9951110.9070833344</v>
      </c>
      <c r="K104" s="371">
        <f>((C117-1033493)/6)+J104</f>
        <v>19902221.814166669</v>
      </c>
      <c r="L104" s="371">
        <f>((C117-1033493)/6)+K104</f>
        <v>29853332.721250005</v>
      </c>
      <c r="M104" s="371">
        <f>((C117-1033493)/6)+L104</f>
        <v>39804443.628333338</v>
      </c>
      <c r="N104" s="371">
        <f>((C117-1033493)/6)+M104</f>
        <v>49755554.53541667</v>
      </c>
      <c r="O104" s="371">
        <f>((C117-1033493)/6)+N104</f>
        <v>59706665.442500003</v>
      </c>
      <c r="P104" s="371">
        <f>(286645+100000+646848)+O104</f>
        <v>60740158.442500003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8634795.7048958354</v>
      </c>
      <c r="K110" s="371">
        <f t="shared" ref="K110:P110" si="9">SUM(K103:K104)</f>
        <v>17269591.409791671</v>
      </c>
      <c r="L110" s="371">
        <f t="shared" si="9"/>
        <v>25246229.513593756</v>
      </c>
      <c r="M110" s="371">
        <f t="shared" si="9"/>
        <v>33222867.617395841</v>
      </c>
      <c r="N110" s="371">
        <f t="shared" si="9"/>
        <v>41199505.721197918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5">
        <f>'PreDev Flow of Funds'!D47</f>
        <v>14824249.954999998</v>
      </c>
      <c r="D114" s="1774"/>
    </row>
    <row r="115" spans="2:19">
      <c r="B115" s="397" t="s">
        <v>601</v>
      </c>
      <c r="C115" s="1776">
        <f>M102</f>
        <v>1323400.22</v>
      </c>
      <c r="D115" s="1774"/>
    </row>
    <row r="116" spans="2:19">
      <c r="B116" s="397" t="s">
        <v>583</v>
      </c>
      <c r="C116" s="1776">
        <f>'Development Budget'!G37-Predevelopment!D27-Predevelopment!D28-Predevelopment!D29-Timeline!M102-Predevelopment!D17</f>
        <v>-10530521.6175</v>
      </c>
      <c r="D116" s="1774"/>
    </row>
    <row r="117" spans="2:19" ht="16.5" thickBot="1">
      <c r="B117" s="398" t="s">
        <v>602</v>
      </c>
      <c r="C117" s="1777">
        <f>C118-C114-C116-C115</f>
        <v>60740158.442500003</v>
      </c>
      <c r="D117" s="1778"/>
    </row>
    <row r="118" spans="2:19" ht="16.5" thickTop="1">
      <c r="B118" s="368" t="s">
        <v>586</v>
      </c>
      <c r="C118" s="1773">
        <v>66357287</v>
      </c>
      <c r="D118" s="1774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2024-05-23T18:24:14Z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