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DB752280-747F-473E-842E-8E42B9AE43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K53" i="10" l="1"/>
  <c r="I45" i="10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l="1"/>
  <c r="K55" i="10" s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 s="1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AG44" i="5"/>
  <c r="AH44" i="5"/>
  <c r="K101" i="11"/>
  <c r="J105" i="11"/>
  <c r="J112" i="11" s="1"/>
  <c r="I88" i="15"/>
  <c r="I95" i="15"/>
  <c r="H99" i="5" l="1"/>
  <c r="H100" i="5" s="1"/>
  <c r="H98" i="5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<sst xmlns="http://schemas.openxmlformats.org/spreadsheetml/2006/main" count="1995" uniqueCount="1105">
  <si>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</si>
  <si>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</si>
  <si>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</si>
  <si>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</si>
  <si>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</si>
  <si>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</si>
  <si>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</si>
  <si>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</si>
  <si>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</si>
  <si>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</si>
  <si>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</si>
  <si>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</si>
  <si>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</si>
  <si>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</si>
  <si>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</si>
  <si>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</si>
  <si>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</si>
  <si>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</si>
  <si>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</si>
  <si>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</si>
  <si>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</si>
  <si>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</si>
  <si>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</si>
  <si>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</si>
  <si>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</si>
  <si>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</si>
  <si>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</si>
  <si>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</si>
  <si>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</si>
  <si>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</si>
  <si>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</si>
  <si>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</si>
  <si>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</si>
  <si>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</si>
  <si>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</si>
  <si>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</si>
  <si>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</si>
  <si>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</si>
  <si>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</si>
  <si>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</si>
  <si>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</si>
  <si>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</si>
  <si>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</si>
  <si>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</si>
  <si>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</si>
  <si>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</si>
  <si>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</si>
  <si>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</si>
  <si>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</si>
  <si>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</si>
  <si>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</si>
  <si>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</si>
  <si>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</si>
  <si>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</si>
  <si>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</si>
  <si>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</si>
  <si>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</si>
  <si>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</si>
  <si>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</si>
  <si>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</si>
  <si>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</si>
  <si>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</si>
  <si>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</si>
  <si>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</si>
  <si>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</si>
  <si>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</si>
  <si>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</si>
  <si>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</si>
  <si>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</si>
  <si>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</si>
  <si>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</si>
  <si>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</si>
  <si>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</si>
  <si>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</si>
  <si>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</si>
  <si>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</si>
  <si>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</si>
  <si>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</si>
  <si>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</si>
  <si>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</si>
  <si>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</si>
  <si>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</si>
  <si>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</si>
  <si>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</si>
  <si>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</si>
  <si>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</si>
  <si>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</si>
  <si>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</si>
  <si>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</si>
  <si>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</si>
  <si>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</si>
  <si>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</si>
  <si>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</si>
  <si>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</si>
  <si>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</si>
  <si>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</si>
  <si>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</si>
  <si>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</si>
  <si>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</si>
  <si>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</si>
  <si>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</si>
  <si>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</si>
  <si>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</si>
  <si>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</si>
  <si>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</si>
  <si>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</si>
  <si>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</si>
  <si>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</si>
  <si>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</si>
  <si>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</si>
  <si>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</si>
  <si>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</si>
  <si>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</si>
  <si>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</si>
  <si>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</si>
  <si>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</si>
  <si>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</si>
  <si>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</si>
  <si>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</si>
  <si>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</si>
  <si>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</si>
  <si>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</si>
  <si>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</si>
  <si>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</si>
  <si>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</si>
  <si>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</si>
  <si>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</si>
  <si>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</si>
  <si>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</si>
  <si>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</si>
  <si>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</si>
  <si>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</si>
  <si>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</si>
  <si>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</si>
  <si>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</si>
  <si>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</si>
  <si>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</si>
  <si>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</si>
  <si>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</si>
  <si>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</si>
  <si>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</si>
  <si>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</si>
  <si>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</si>
  <si>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</si>
  <si>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</si>
  <si>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</si>
  <si>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</si>
  <si>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</si>
  <si>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</si>
  <si>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</si>
  <si>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</si>
  <si>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</si>
  <si>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</si>
  <si>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</si>
  <si>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</si>
  <si>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</si>
  <si>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</si>
  <si>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</si>
  <si>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</si>
  <si>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</si>
  <si>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</si>
  <si>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</si>
  <si>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</si>
  <si>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</si>
  <si>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</si>
  <si>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</si>
  <si>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</si>
  <si>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</si>
  <si>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</si>
  <si>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</si>
  <si>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</si>
  <si>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</si>
  <si>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</si>
  <si>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</si>
  <si>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</si>
  <si>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</si>
  <si>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</si>
  <si>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</si>
  <si>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</si>
  <si>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</si>
  <si>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</si>
  <si>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</si>
  <si>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</si>
  <si>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</si>
  <si>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</si>
  <si>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</si>
  <si>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</si>
  <si>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</si>
  <si>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</si>
  <si>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</si>
  <si>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</si>
  <si>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</si>
  <si>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</si>
  <si>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</si>
  <si>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</si>
  <si>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</si>
  <si>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</si>
  <si>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</si>
  <si>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</si>
  <si>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</si>
  <si>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</si>
  <si>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</si>
  <si>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</si>
  <si>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</si>
  <si>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</si>
  <si>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</si>
  <si>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</si>
  <si>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</si>
  <si>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</si>
  <si>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</si>
  <si>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</si>
  <si>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</si>
  <si>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</si>
  <si>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</si>
  <si>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</si>
  <si>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</si>
  <si>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</si>
  <si>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</si>
  <si>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</si>
  <si>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</si>
  <si>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</si>
  <si>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</si>
  <si>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</si>
  <si>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</si>
  <si>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</si>
  <si>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</si>
  <si>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</si>
  <si>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</si>
  <si>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</si>
  <si>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</si>
  <si>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</si>
  <si>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</si>
  <si>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</si>
  <si>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</si>
  <si>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</si>
  <si>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</si>
  <si>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</si>
  <si>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</si>
  <si>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</si>
  <si>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</si>
  <si>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</si>
  <si>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</si>
  <si>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</si>
  <si>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</si>
  <si>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</si>
  <si>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</si>
  <si>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</si>
  <si>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</si>
  <si>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</si>
  <si>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</si>
  <si>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</si>
  <si>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</si>
  <si>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</si>
  <si>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</si>
  <si>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</si>
  <si>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</si>
  <si>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</si>
  <si>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</si>
  <si>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</si>
  <si>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</si>
  <si>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</si>
  <si>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</si>
  <si>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</si>
  <si>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</si>
  <si>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</si>
  <si>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</si>
  <si>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</si>
  <si>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</si>
  <si>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</si>
  <si>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</si>
  <si>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</si>
  <si>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</si>
  <si>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</si>
  <si>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</si>
  <si>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</si>
  <si>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</si>
  <si>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</si>
  <si>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</si>
  <si>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</si>
  <si>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</si>
  <si>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</si>
  <si>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</si>
  <si>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</si>
  <si>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</si>
  <si>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</si>
  <si>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</si>
  <si>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</si>
  <si>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</si>
  <si>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</si>
  <si>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</si>
  <si>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</si>
  <si>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</si>
  <si>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</si>
  <si>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</si>
  <si>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</si>
  <si>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</si>
  <si>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</si>
  <si>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</si>
  <si>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</si>
  <si>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</si>
  <si>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</si>
  <si>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</si>
  <si>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</si>
  <si>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</si>
  <si>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</si>
  <si>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</si>
  <si>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</si>
  <si>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</si>
  <si>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</si>
  <si>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</si>
  <si>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</si>
  <si>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</si>
  <si>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</si>
  <si>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</si>
  <si>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</si>
  <si>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</si>
  <si>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</si>
  <si>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</si>
  <si>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</si>
  <si>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</si>
  <si>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</si>
  <si>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</si>
  <si>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</si>
  <si>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</si>
  <si>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</si>
  <si>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</si>
  <si>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</si>
  <si>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</si>
  <si>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</si>
  <si>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</si>
  <si>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</si>
  <si>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</si>
  <si>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</si>
  <si>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</si>
  <si>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</si>
  <si>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</si>
  <si>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</si>
  <si>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</si>
  <si>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</si>
  <si>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</si>
  <si>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</si>
  <si>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</si>
  <si>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</si>
  <si>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</si>
  <si>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</si>
  <si>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</si>
  <si>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</si>
  <si>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</si>
  <si>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</si>
  <si>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</si>
  <si>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</si>
  <si>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</si>
  <si>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</si>
  <si>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</si>
  <si>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</si>
  <si>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</si>
  <si>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</si>
  <si>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</si>
  <si>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</si>
  <si>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</si>
  <si>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</si>
  <si>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</si>
  <si>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</si>
  <si>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</si>
  <si>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</si>
  <si>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</si>
  <si>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</si>
  <si>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</si>
  <si>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</si>
  <si>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</si>
  <si>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</si>
  <si>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</si>
  <si>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</si>
  <si>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</si>
  <si>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</si>
  <si>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</si>
  <si>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</si>
  <si>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</si>
  <si>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</si>
  <si>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</si>
  <si>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</si>
  <si>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</si>
  <si>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</si>
  <si>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</si>
  <si>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</si>
  <si>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</si>
  <si>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</si>
  <si>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</si>
  <si>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</si>
  <si>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</si>
  <si>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</si>
  <si>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</si>
  <si>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</si>
  <si>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</si>
  <si>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</si>
  <si>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</si>
  <si>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</si>
  <si>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</si>
  <si>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</si>
  <si>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</si>
  <si>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</si>
  <si>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</si>
  <si>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</si>
  <si>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</si>
  <si>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</si>
  <si>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</si>
  <si>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</si>
  <si>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</si>
  <si>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</si>
  <si>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</si>
  <si>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</si>
  <si>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</si>
  <si>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</si>
  <si>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</si>
  <si>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</si>
  <si>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</si>
  <si>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</si>
  <si>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</si>
  <si>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</si>
  <si>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</si>
  <si>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</si>
  <si>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</si>
  <si>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</si>
  <si>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</si>
  <si>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</si>
  <si>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</si>
  <si>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</si>
  <si>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</si>
  <si>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</si>
  <si>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</si>
  <si>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</si>
  <si>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</si>
  <si>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</si>
  <si>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</si>
  <si>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</si>
  <si>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</si>
  <si>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</si>
  <si>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</si>
  <si>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</si>
  <si>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</si>
  <si>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</si>
  <si>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</si>
  <si>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</si>
  <si>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</si>
  <si>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</si>
  <si>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</si>
  <si>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</si>
  <si>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</si>
  <si>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</si>
  <si>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</si>
  <si>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</si>
  <si>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</si>
  <si>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</si>
  <si>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</si>
  <si>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</si>
  <si>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</si>
  <si>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</si>
  <si>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</si>
  <si>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</si>
  <si>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</si>
  <si>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</si>
  <si>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</si>
  <si>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</si>
  <si>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</si>
  <si>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</si>
  <si>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</si>
  <si>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</si>
  <si>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</si>
  <si>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</si>
  <si>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</si>
  <si>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</si>
  <si>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</si>
  <si>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</si>
  <si>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</si>
  <si>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</si>
  <si>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</si>
  <si>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</si>
  <si>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</si>
  <si>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</si>
  <si>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</si>
  <si>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</si>
  <si>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</si>
  <si>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</si>
  <si>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</si>
  <si>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</si>
  <si>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</si>
  <si>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</si>
  <si>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</si>
  <si>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</si>
  <si>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</si>
  <si>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</si>
  <si>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</si>
  <si>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</si>
  <si>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</si>
  <si>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</si>
  <si>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</si>
  <si>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</si>
  <si>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</si>
  <si>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</si>
  <si>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</si>
  <si>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</si>
  <si>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</si>
  <si>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</si>
  <si>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</si>
  <si>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</si>
  <si>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</si>
  <si>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</si>
  <si>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</si>
  <si>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</si>
  <si>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</si>
  <si>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</si>
  <si>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</si>
  <si>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</si>
  <si>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</si>
  <si>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</si>
  <si>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</si>
  <si>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</si>
  <si>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</si>
  <si>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</si>
  <si>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</si>
  <si>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</si>
  <si>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</si>
  <si>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</si>
  <si>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</si>
  <si>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</si>
  <si>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</si>
  <si>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</si>
  <si>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</si>
  <si>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</si>
  <si>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</si>
  <si>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</si>
  <si>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</si>
  <si>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</si>
  <si>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</si>
  <si>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</si>
  <si>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</si>
  <si>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</si>
  <si>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</si>
  <si>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</si>
  <si>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</si>
  <si>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</si>
  <si>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</si>
  <si>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</si>
  <si>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</si>
  <si>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</si>
  <si>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</si>
  <si>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</si>
  <si>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</si>
  <si>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</si>
  <si>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</si>
  <si>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</si>
  <si>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</si>
  <si>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</si>
  <si>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</si>
  <si>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</si>
  <si>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</si>
  <si>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</si>
  <si>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</si>
  <si>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</si>
  <si>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</si>
  <si>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</si>
  <si>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</si>
  <si>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</si>
  <si>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</si>
  <si>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</si>
  <si>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</si>
  <si>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</si>
  <si>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</si>
  <si>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</si>
  <si>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</si>
  <si>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</si>
  <si>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</si>
  <si>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</si>
  <si>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</si>
  <si>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</si>
  <si>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</si>
  <si>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</si>
  <si>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</si>
  <si>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</si>
  <si>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</si>
  <si>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</si>
  <si>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</si>
  <si>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</si>
  <si>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</si>
  <si>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</si>
  <si>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</si>
  <si>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</si>
  <si>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</si>
  <si>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</si>
  <si>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</si>
  <si>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</si>
  <si>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</si>
  <si>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</si>
  <si>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</si>
  <si>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</si>
  <si>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</si>
  <si>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</si>
  <si>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</si>
  <si>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</si>
  <si>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</si>
  <si>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</si>
  <si>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</si>
  <si>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</si>
  <si>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</si>
  <si>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</si>
  <si>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</si>
  <si>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</si>
  <si>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</si>
  <si>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</si>
  <si>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</si>
  <si>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</si>
  <si>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</si>
  <si>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</si>
  <si>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</si>
  <si>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</si>
  <si>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</si>
  <si>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</si>
  <si>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</si>
  <si>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</si>
  <si>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</si>
  <si>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</si>
  <si>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</si>
  <si>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</si>
  <si>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</si>
  <si>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</si>
  <si>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</si>
  <si>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</si>
  <si>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</si>
  <si>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</si>
  <si>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</si>
  <si>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</si>
  <si>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</si>
  <si>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</si>
  <si>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</si>
  <si>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</si>
  <si>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</si>
  <si>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</si>
  <si>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</si>
  <si>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</si>
  <si>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</si>
  <si>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</si>
  <si>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</si>
  <si>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</si>
  <si>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</si>
  <si>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</si>
  <si>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</si>
  <si>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</si>
  <si>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</si>
  <si>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</si>
  <si>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</si>
  <si>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</si>
  <si>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</si>
  <si>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</si>
  <si>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</si>
  <si>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</si>
  <si>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</si>
  <si>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</si>
  <si>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</si>
  <si>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</si>
  <si>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</si>
  <si>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</si>
  <si>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</si>
  <si>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</si>
  <si>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</si>
  <si>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</si>
  <si>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</si>
  <si>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</si>
  <si>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</si>
  <si>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</si>
  <si>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</si>
  <si>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</si>
  <si>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</si>
  <si>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</si>
  <si>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</si>
  <si>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</si>
  <si>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</si>
  <si>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</si>
  <si>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</si>
  <si>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</si>
  <si>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</si>
  <si>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</si>
  <si>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</si>
  <si>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</si>
  <si>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</si>
  <si>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</si>
  <si>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</si>
  <si>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</si>
  <si>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</si>
  <si>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</si>
  <si>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</si>
  <si>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</si>
  <si>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</si>
  <si>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</si>
  <si>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</si>
  <si>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</si>
  <si>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</si>
  <si>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</si>
  <si>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</si>
  <si>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</si>
  <si>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</si>
  <si>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</si>
  <si>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</si>
  <si>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</si>
  <si>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</si>
  <si>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</si>
  <si>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</si>
  <si>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</si>
  <si>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</si>
  <si>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</si>
  <si>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</si>
  <si>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</si>
  <si>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</si>
  <si>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</si>
  <si>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</si>
  <si>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</si>
  <si>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</si>
  <si>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</si>
  <si>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</si>
  <si>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</si>
  <si>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</si>
  <si>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</si>
  <si>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</si>
  <si>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</si>
  <si>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</si>
  <si>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</si>
  <si>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</si>
  <si>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</si>
  <si>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</si>
  <si>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</si>
  <si>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</si>
  <si>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</si>
  <si>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</si>
  <si>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</si>
  <si>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</si>
  <si>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</si>
  <si>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</si>
  <si>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</si>
  <si>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</si>
  <si>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</si>
  <si>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</si>
  <si>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</si>
  <si>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</si>
  <si>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</si>
  <si>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</si>
  <si>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</si>
  <si>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</si>
  <si>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</si>
  <si>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</si>
  <si>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</si>
  <si>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</si>
  <si>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</si>
  <si>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</si>
  <si>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</si>
  <si>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</si>
  <si>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</si>
  <si>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</si>
  <si>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</si>
  <si>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</si>
  <si>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</si>
  <si>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</si>
  <si>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</si>
  <si>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</si>
  <si>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</si>
  <si>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</si>
  <si>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</si>
  <si>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</si>
  <si>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</si>
  <si>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</si>
  <si>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</si>
  <si>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</si>
  <si>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</si>
  <si>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</si>
  <si>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</si>
  <si>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</si>
  <si>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</si>
  <si>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</si>
  <si>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</si>
  <si>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</si>
  <si>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</si>
  <si>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</si>
  <si>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</si>
  <si>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</si>
  <si>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</si>
  <si>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</si>
  <si>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</si>
  <si>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</si>
  <si>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</si>
  <si>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</si>
  <si>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</si>
  <si>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</si>
  <si>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</si>
  <si>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</si>
  <si>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</si>
  <si>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</si>
  <si>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</si>
  <si>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</si>
  <si>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</si>
  <si>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</si>
  <si>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</si>
  <si>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</si>
  <si>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</si>
  <si>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</si>
  <si>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</si>
  <si>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</si>
  <si>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</si>
  <si>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</si>
  <si>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</si>
  <si>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</si>
  <si>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</si>
  <si>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</si>
  <si>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</si>
  <si>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</si>
  <si>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</si>
  <si>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</si>
  <si>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</si>
  <si>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</si>
  <si>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</si>
  <si>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</si>
  <si>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</si>
  <si>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</si>
  <si>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</si>
  <si>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</si>
  <si>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</si>
  <si>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</si>
  <si>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</si>
  <si>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</si>
  <si>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</si>
  <si>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</si>
  <si>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</si>
  <si>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</si>
  <si>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</si>
  <si>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</si>
  <si>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</si>
  <si>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</si>
  <si>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</si>
  <si>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</si>
  <si>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</si>
  <si>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</si>
  <si>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</si>
  <si>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</si>
  <si>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</si>
  <si>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</si>
  <si>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</si>
  <si>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</si>
  <si>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</si>
  <si>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</si>
  <si>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</si>
  <si>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</si>
  <si>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</si>
  <si>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</si>
  <si>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</si>
  <si>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</si>
  <si>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</si>
  <si>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</si>
  <si>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</si>
  <si>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</si>
  <si>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</si>
  <si>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</si>
  <si>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</si>
  <si>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</si>
  <si>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</si>
  <si>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</si>
  <si>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</si>
  <si>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</si>
  <si>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</si>
  <si>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</si>
  <si>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</si>
  <si>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</si>
  <si>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</si>
  <si>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</si>
  <si>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</si>
  <si>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</si>
  <si>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</si>
  <si>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</si>
  <si>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</si>
  <si>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</si>
  <si>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</si>
  <si>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</si>
  <si>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</si>
  <si>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</si>
  <si>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</si>
  <si>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</si>
  <si>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</si>
  <si>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</si>
  <si>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</si>
  <si>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</si>
  <si>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</si>
  <si>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</si>
  <si>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</si>
  <si>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</si>
  <si>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</si>
  <si>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</si>
  <si>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</si>
  <si>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</si>
  <si>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</si>
  <si>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</si>
  <si>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</si>
  <si>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</si>
  <si>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</si>
  <si>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</si>
  <si>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</si>
  <si>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</si>
  <si>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</si>
  <si>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</si>
  <si>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</si>
  <si>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</si>
  <si>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</si>
  <si>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</si>
  <si>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</si>
  <si>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</si>
  <si>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</si>
  <si>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</si>
  <si>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</si>
  <si>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</si>
  <si>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</si>
  <si>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</si>
  <si>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</si>
  <si>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</si>
  <si>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</si>
  <si>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</si>
  <si>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</si>
  <si>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</si>
  <si>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</si>
  <si>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</si>
  <si>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</si>
  <si>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</si>
  <si>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</si>
  <si>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</si>
  <si>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</si>
  <si>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</si>
  <si>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</si>
  <si>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</si>
  <si>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</si>
  <si>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</si>
  <si>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</si>
  <si>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</si>
  <si>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</si>
  <si>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</si>
  <si>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</si>
  <si>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</si>
  <si>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</si>
  <si>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</si>
  <si>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</si>
  <si>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</si>
  <si>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</si>
  <si>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</si>
  <si>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</si>
  <si>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</si>
  <si>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</si>
  <si>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</si>
  <si>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</si>
  <si>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</si>
  <si>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</si>
  <si>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</si>
  <si>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</si>
  <si>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</si>
  <si>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</si>
  <si>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</si>
  <si>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</si>
  <si>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</si>
  <si>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</si>
  <si>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</si>
  <si>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</si>
  <si>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</si>
  <si>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</si>
  <si>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</si>
  <si>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</si>
  <si>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</si>
  <si>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</si>
  <si>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</si>
  <si>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</si>
  <si>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</si>
  <si>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</si>
  <si>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</si>
  <si>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</si>
  <si>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</si>
  <si>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</si>
  <si>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</si>
  <si>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</si>
  <si>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</si>
  <si>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</si>
  <si>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</si>
  <si>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</si>
  <si>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</si>
  <si>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</si>
  <si>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</si>
  <si>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</si>
  <si>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</si>
  <si>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</si>
  <si>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</si>
  <si>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</si>
  <si>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</si>
  <si>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</si>
  <si>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</si>
  <si>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</si>
  <si>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</si>
  <si>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</si>
  <si>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</si>
  <si>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</si>
  <si>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</si>
  <si>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</si>
  <si>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</si>
  <si>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</si>
  <si>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</si>
  <si>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</si>
  <si>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</si>
  <si>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</si>
  <si>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</si>
  <si>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</si>
  <si>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</si>
  <si>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</si>
  <si>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</si>
  <si>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</si>
  <si>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</si>
  <si>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</si>
  <si>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</si>
  <si>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</si>
  <si>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</si>
  <si>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</si>
  <si>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</si>
  <si>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</si>
  <si>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</si>
  <si>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</si>
  <si>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</si>
  <si>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</si>
  <si>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</si>
  <si>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</si>
  <si>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</si>
  <si>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</si>
  <si>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</si>
  <si>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</si>
  <si>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</si>
  <si>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</si>
  <si>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</si>
  <si>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</si>
  <si>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</si>
  <si>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</si>
  <si>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</si>
  <si>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</si>
  <si>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</si>
  <si>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</si>
  <si>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</si>
  <si>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</si>
  <si>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</si>
  <si>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</si>
  <si>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</si>
  <si>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</si>
  <si>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</si>
  <si>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</si>
  <si>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</si>
  <si>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</si>
  <si>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</si>
  <si>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</si>
  <si>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</si>
  <si>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</si>
  <si>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</si>
  <si>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</si>
  <si>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</si>
  <si>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</si>
  <si>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</si>
  <si>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</si>
  <si>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</si>
  <si>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</si>
  <si>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</si>
  <si>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</si>
  <si>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</si>
  <si>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</si>
  <si>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</si>
  <si>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</si>
  <si>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</si>
  <si>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</si>
  <si>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</si>
  <si>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</si>
  <si>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</si>
  <si>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</si>
  <si>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</si>
  <si>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</si>
  <si>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</si>
  <si>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</si>
  <si>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</si>
  <si>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</si>
  <si>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</si>
  <si>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</si>
  <si>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</si>
  <si>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</si>
  <si>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</si>
  <si>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</si>
  <si>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</si>
  <si>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</si>
  <si>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</si>
  <si>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</si>
  <si>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</si>
  <si>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</si>
  <si>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</si>
  <si>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</si>
  <si>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</si>
  <si>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</si>
  <si>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</si>
  <si>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</si>
  <si>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</si>
  <si>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</si>
  <si>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</si>
  <si>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</si>
  <si>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</si>
  <si>
    <t>60%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</si>
</sst>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E18" sqref="E1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88080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88080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1102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0.10050869134277374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0.10050869134277374</v>
      </c>
      <c r="E16" s="700"/>
    </row>
    <row r="17" spans="1:6">
      <c r="A17" s="1686"/>
      <c r="B17" s="702"/>
      <c r="D17" s="1682"/>
      <c r="E17" s="1754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736652.64584916225</v>
      </c>
      <c r="E18" s="1755">
        <f ca="1">ABS(D18/D28)</f>
        <v>1.579527226367837E-2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1732.6732673267327</v>
      </c>
    </row>
    <row r="22" spans="1:6">
      <c r="A22" s="64"/>
      <c r="B22" s="4" t="s">
        <v>16</v>
      </c>
      <c r="C22" s="4"/>
      <c r="D22" s="1531">
        <f>'Development Budget'!G44</f>
        <v>33180000</v>
      </c>
      <c r="E22" s="1531">
        <f t="shared" ref="E22:E28" si="0">D22/$D$10</f>
        <v>328514.85148514854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364475</v>
      </c>
      <c r="E24" s="1531">
        <f t="shared" si="0"/>
        <v>3608.6633663366338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2677216.8883137708</v>
      </c>
      <c r="E25" s="1531">
        <f t="shared" si="0"/>
        <v>26507.09790409674</v>
      </c>
    </row>
    <row r="26" spans="1:6">
      <c r="A26" s="64"/>
      <c r="B26" s="4" t="s">
        <v>20</v>
      </c>
      <c r="C26" s="4"/>
      <c r="D26" s="1531">
        <f>'Development Budget'!G181</f>
        <v>2085787.5</v>
      </c>
      <c r="E26" s="1531">
        <f t="shared" si="0"/>
        <v>20651.361386138615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6717340.8548584729</v>
      </c>
      <c r="E27" s="1532">
        <f t="shared" si="0"/>
        <v>66508.325295628441</v>
      </c>
    </row>
    <row r="28" spans="1:6" ht="16.5" thickTop="1">
      <c r="A28" s="4"/>
      <c r="B28" s="4"/>
      <c r="C28" s="150" t="s">
        <v>14</v>
      </c>
      <c r="D28" s="1533">
        <f>SUM(D21:D27)</f>
        <v>46637540.243172243</v>
      </c>
      <c r="E28" s="1531">
        <f t="shared" si="0"/>
        <v>461757.82418982417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30314401.158061959</v>
      </c>
      <c r="E32" s="1586">
        <f t="shared" si="1"/>
        <v>300142.58572338574</v>
      </c>
    </row>
    <row r="33" spans="1:5">
      <c r="A33" s="64"/>
      <c r="B33" s="4" t="s">
        <v>1051</v>
      </c>
      <c r="C33" s="4"/>
      <c r="D33" s="1587">
        <f>GapCalc!D29</f>
        <v>2448470.8627665429</v>
      </c>
      <c r="E33" s="1586">
        <f>D33/$D$10</f>
        <v>24242.285769965772</v>
      </c>
    </row>
    <row r="34" spans="1:5">
      <c r="A34" s="65"/>
      <c r="B34" s="4" t="s">
        <v>26</v>
      </c>
      <c r="C34" s="4"/>
      <c r="D34" s="1587">
        <f>GapCalc!D30</f>
        <v>13874668.222343745</v>
      </c>
      <c r="E34" s="1586">
        <f>D34/$D$10</f>
        <v>137372.95269647273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46637540.243172243</v>
      </c>
      <c r="E36" s="1586">
        <f>D36/$D$10</f>
        <v>461757.82418982417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35917692.28797999</v>
      </c>
      <c r="E40" s="1586">
        <f t="shared" ref="E40" si="2">D40/$D$10</f>
        <v>355620.71572257415</v>
      </c>
    </row>
    <row r="41" spans="1:5">
      <c r="A41" s="60"/>
      <c r="B41" s="4" t="s">
        <v>1051</v>
      </c>
      <c r="C41" s="4"/>
      <c r="D41" s="1591">
        <f>GapCalc!D29+GapCalc!D38</f>
        <v>2448470.8627665429</v>
      </c>
      <c r="E41" s="1586">
        <f>D41/$D$10</f>
        <v>24242.285769965772</v>
      </c>
    </row>
    <row r="42" spans="1:5">
      <c r="A42" s="60"/>
      <c r="B42" s="1557" t="s">
        <v>26</v>
      </c>
      <c r="C42" s="4"/>
      <c r="D42" s="1592">
        <f>GapCalc!D30+GapCalc!D39</f>
        <v>13874668.222343745</v>
      </c>
      <c r="E42" s="1586">
        <f>D42/$D$10</f>
        <v>137372.95269647273</v>
      </c>
    </row>
    <row r="43" spans="1:5">
      <c r="A43" s="60"/>
      <c r="B43" s="1714" t="s">
        <v>1101</v>
      </c>
      <c r="C43" s="4"/>
      <c r="D43" s="1592">
        <f>IF(D32-D40&gt;0,0,D32-D40)</f>
        <v>-5603291.1299180314</v>
      </c>
      <c r="E43" s="1586">
        <f>D43/$D$10</f>
        <v>-55478.12999918843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46637540.243172243</v>
      </c>
      <c r="E45" s="1588">
        <f>D45/$D$10</f>
        <v>461757.82418982417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5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88080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88080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1732.6732673267327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33180000</v>
      </c>
      <c r="E18" s="1531">
        <f t="shared" ref="E18:E24" si="0">D18/$D$11</f>
        <v>328514.85148514854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364475</v>
      </c>
      <c r="E20" s="1531">
        <f t="shared" si="0"/>
        <v>3608.6633663366338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2677216.8883137708</v>
      </c>
      <c r="E21" s="1531">
        <f t="shared" si="0"/>
        <v>26507.09790409674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2085787.5</v>
      </c>
      <c r="E22" s="1531">
        <f t="shared" si="0"/>
        <v>20651.361386138615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6717340.8548584729</v>
      </c>
      <c r="E23" s="1532">
        <f t="shared" si="0"/>
        <v>66508.325295628441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46637540.243172243</v>
      </c>
      <c r="E24" s="1531">
        <f t="shared" si="0"/>
        <v>461757.82418982417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30314401.158061959</v>
      </c>
      <c r="E28" s="1586">
        <f t="shared" si="1"/>
        <v>300142.58572338574</v>
      </c>
      <c r="F28" s="62"/>
      <c r="G28" s="1419" t="s">
        <v>608</v>
      </c>
      <c r="H28" s="1608">
        <f>H32/D11</f>
        <v>24242.285769965772</v>
      </c>
      <c r="I28" s="703"/>
    </row>
    <row r="29" spans="1:10" ht="15.75">
      <c r="A29" s="64"/>
      <c r="B29" s="4" t="s">
        <v>1051</v>
      </c>
      <c r="C29" s="4"/>
      <c r="D29" s="1587">
        <v>2448470.8627665429</v>
      </c>
      <c r="E29" s="1586">
        <f>D29/$D$11</f>
        <v>24242.285769965772</v>
      </c>
      <c r="F29" s="520"/>
      <c r="G29" s="1420" t="s">
        <v>971</v>
      </c>
      <c r="H29" s="1609">
        <f>H33/D11</f>
        <v>137372.95269647273</v>
      </c>
      <c r="I29" s="703"/>
    </row>
    <row r="30" spans="1:10" ht="16.5" thickBot="1">
      <c r="A30" s="65"/>
      <c r="B30" s="4" t="s">
        <v>26</v>
      </c>
      <c r="C30" s="4"/>
      <c r="D30" s="1587">
        <v>13874668.222343745</v>
      </c>
      <c r="E30" s="1586">
        <f>D30/$D$11</f>
        <v>137372.95269647273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2448470.8627665429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46637540.243172243</v>
      </c>
      <c r="E33" s="1586">
        <f>D33/$D$11</f>
        <v>461757.82418982417</v>
      </c>
      <c r="F33" s="62"/>
      <c r="G33" s="1441" t="s">
        <v>971</v>
      </c>
      <c r="H33" s="1611">
        <f>D30+D39</f>
        <v>13874668.222343745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16323139.085110288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0.35000000000000009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35917692.28797999</v>
      </c>
      <c r="E37" s="1586">
        <f t="shared" ref="E37" si="2">D37/$D$11</f>
        <v>355620.71572257415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2448470.8627665429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13874668.222343745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5603291.1299180314</v>
      </c>
      <c r="E41" s="1588">
        <f>D41/$D$11</f>
        <v>55478.12999918843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35917692.28797999</v>
      </c>
      <c r="E42" s="1586">
        <f>D42/$D$11</f>
        <v>355620.71572257415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-840493.66948770464</v>
      </c>
      <c r="I43" s="1596">
        <f>D38+H43</f>
        <v>-840493.66948770464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-4762797.4604303269</v>
      </c>
      <c r="I44" s="1596">
        <f>D39+H44</f>
        <v>-4762797.4604303269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14500822.971315533</v>
      </c>
      <c r="J46" s="1582" t="s">
        <v>1083</v>
      </c>
      <c r="K46" s="1583">
        <f>'Cash Flow'!C76</f>
        <v>0.10050869134277374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5657967.0427614274</v>
      </c>
      <c r="J47" s="1584" t="s">
        <v>1098</v>
      </c>
      <c r="K47" s="1607">
        <f>'Cash Flow'!C70</f>
        <v>23636341.443244316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626154.74897178821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2558968.759643917</v>
      </c>
      <c r="J51" s="1585" t="s">
        <v>1083</v>
      </c>
      <c r="K51" s="1618">
        <f>'Cash Flow'!H76</f>
        <v>0.10050869134277374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2448470.8627665429</v>
      </c>
      <c r="J52" s="1584" t="s">
        <v>1097</v>
      </c>
      <c r="K52" s="1607">
        <f>'Cash Flow'!H70</f>
        <v>4171119.0782195847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110497.89687737403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736652.64584916225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18924928.345507137</v>
      </c>
      <c r="J58" s="1582" t="s">
        <v>1083</v>
      </c>
      <c r="K58" s="1583">
        <f>'Cash Flow'!C103</f>
        <v>0.12233060069501087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30847633.203176633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5050260.1231633928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2791202.812076143</v>
      </c>
      <c r="J63" s="1585" t="s">
        <v>1083</v>
      </c>
      <c r="K63" s="1618">
        <f>'Cash Flow'!H103</f>
        <v>8.581640700201848E-2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2448470.8627665429</v>
      </c>
      <c r="J64" s="1584" t="s">
        <v>1097</v>
      </c>
      <c r="K64" s="1607">
        <f>'Cash Flow'!H97</f>
        <v>4549660.5836841129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342731.94930960005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5392992.0724729933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7" zoomScale="130" zoomScaleNormal="130" workbookViewId="0">
      <selection activeCell="M10" sqref="M1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0.59405940594059403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0</v>
      </c>
      <c r="O8" s="521">
        <f t="shared" si="0"/>
        <v>0</v>
      </c>
      <c r="Q8" s="283">
        <f>SUM(O10:O15)</f>
        <v>0.39603960396039606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35</v>
      </c>
      <c r="E9" s="278">
        <f>IF(D9="","",D9/D$15)</f>
        <v>0.34653465346534651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60</v>
      </c>
      <c r="O9" s="332">
        <f t="shared" si="0"/>
        <v>0.59405940594059403</v>
      </c>
    </row>
    <row r="10" spans="2:19" ht="12.75" customHeight="1">
      <c r="B10" s="268"/>
      <c r="C10" s="209" t="s">
        <v>52</v>
      </c>
      <c r="D10" s="210">
        <f>SUM(E24,E33,E42,E51,E60,E78,E69,E87,E96,E116,E106)</f>
        <v>20</v>
      </c>
      <c r="E10" s="278">
        <f>IF(D10="","",D10/D$15)</f>
        <v>0.19801980198019803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46</v>
      </c>
      <c r="E11" s="278">
        <f>IF(D11="","",D11/D$15)</f>
        <v>0.45544554455445546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40</v>
      </c>
      <c r="O13" s="332">
        <f>N13/$N$18</f>
        <v>0.39603960396039606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73400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258960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0.59405940594059403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30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12000</v>
      </c>
      <c r="K41" s="292">
        <f>E41*I41</f>
        <v>43680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15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10050</v>
      </c>
      <c r="K42" s="292">
        <f>E42*I42</f>
        <v>23400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15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15000</v>
      </c>
      <c r="K43" s="292">
        <f>E43*I43</f>
        <v>28080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60</v>
      </c>
      <c r="F46" s="203"/>
      <c r="G46" s="203"/>
      <c r="H46" s="246"/>
      <c r="I46" s="247"/>
      <c r="J46" s="296">
        <f>SUM(J41:J45)</f>
        <v>37050</v>
      </c>
      <c r="K46" s="297">
        <f>SUM(K41:K45)</f>
        <v>95160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5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2000</v>
      </c>
      <c r="K50" s="292">
        <f>E50*I50</f>
        <v>12000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5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3350</v>
      </c>
      <c r="K51" s="292">
        <f>E51*I51</f>
        <v>15600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30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30000</v>
      </c>
      <c r="K52" s="292">
        <f>E52*I52</f>
        <v>136200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40</v>
      </c>
      <c r="F55" s="247"/>
      <c r="G55" s="247"/>
      <c r="H55" s="246"/>
      <c r="I55" s="247"/>
      <c r="J55" s="296">
        <f>SUM(J50:J54)</f>
        <v>35350</v>
      </c>
      <c r="K55" s="297">
        <f>SUM(K50:K54)</f>
        <v>163800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57" zoomScaleNormal="100" workbookViewId="0">
      <selection activeCell="F95" sqref="F9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5603291.1299180314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84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6565000</v>
      </c>
      <c r="N18" s="1674"/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1732.6732673267327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26424000</v>
      </c>
      <c r="H32" s="1039"/>
      <c r="I32" s="950">
        <f t="shared" si="0"/>
        <v>261623.76237623763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29066400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26424000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2642400</v>
      </c>
      <c r="G36" s="854">
        <f>F36</f>
        <v>2642400</v>
      </c>
      <c r="H36" s="950"/>
      <c r="I36" s="950">
        <f t="shared" si="0"/>
        <v>26162.376237623761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1849680.0000000002</v>
      </c>
      <c r="H37" s="1072"/>
      <c r="I37" s="950">
        <f t="shared" si="0"/>
        <v>18313.663366336637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1849680.0000000002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1321200</v>
      </c>
      <c r="H38" s="1072"/>
      <c r="I38" s="950">
        <f t="shared" si="0"/>
        <v>13081.18811881188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1321200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396360</v>
      </c>
      <c r="H40" s="1072"/>
      <c r="I40" s="950">
        <f t="shared" si="0"/>
        <v>3924.3564356435645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396360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396360</v>
      </c>
      <c r="H41" s="1072"/>
      <c r="I41" s="950">
        <f t="shared" si="0"/>
        <v>3924.3564356435645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396360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33180000</v>
      </c>
      <c r="H44" s="1324"/>
      <c r="I44" s="1325">
        <f t="shared" si="0"/>
        <v>328514.85148514854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33180000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33180000</v>
      </c>
      <c r="H46" s="1333"/>
      <c r="I46" s="1325">
        <f t="shared" si="0"/>
        <v>328514.85148514854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33180000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3318000</v>
      </c>
      <c r="H47" s="1039"/>
      <c r="I47" s="950">
        <f t="shared" si="0"/>
        <v>32851.485148514854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3318000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1163770</v>
      </c>
      <c r="H59" s="1128"/>
      <c r="I59" s="950">
        <f t="shared" si="0"/>
        <v>11522.475247524753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82950</v>
      </c>
      <c r="H67" s="1039"/>
      <c r="I67" s="950">
        <f t="shared" si="0"/>
        <v>821.28712871287132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82950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273950</v>
      </c>
      <c r="H80" s="1101"/>
      <c r="I80" s="950">
        <f t="shared" si="0"/>
        <v>2712.3762376237623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273950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264475</v>
      </c>
      <c r="H90" s="1111"/>
      <c r="I90" s="950">
        <f t="shared" si="3"/>
        <v>2618.5643564356437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264475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/>
      <c r="G91" s="1110">
        <v>100000</v>
      </c>
      <c r="H91" s="1111"/>
      <c r="I91" s="950">
        <f t="shared" si="3"/>
        <v>990.09900990099015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1190487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364475</v>
      </c>
      <c r="H97" s="1101"/>
      <c r="I97" s="950">
        <f t="shared" si="3"/>
        <v>3608.6633663366338</v>
      </c>
      <c r="J97" s="1102"/>
      <c r="K97" s="1166">
        <f>I97/I250</f>
        <v>7.815056242237375E-3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364475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187321.16073915965</v>
      </c>
      <c r="H102" s="1111"/>
      <c r="I102" s="950">
        <f t="shared" si="3"/>
        <v>1854.6649578134618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187321.16073915965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172321.16073915965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1894383.0192168525</v>
      </c>
      <c r="N103" s="1172">
        <v>3446423.2147831926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187321.16073915965</v>
      </c>
      <c r="H114" s="1101"/>
      <c r="I114" s="950">
        <f t="shared" si="3"/>
        <v>1854.6649578134618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187321.16073915965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1600600.6709233173</v>
      </c>
      <c r="H116" s="1177"/>
      <c r="I116" s="950">
        <f t="shared" si="3"/>
        <v>15847.53139528037</v>
      </c>
      <c r="J116" s="1178"/>
      <c r="K116" s="1179" t="s">
        <v>822</v>
      </c>
      <c r="L116" s="1073"/>
      <c r="M116" s="1180">
        <f>0.5*Data!C20*Data!C17/12*Data!C19</f>
        <v>1212576.0463224784</v>
      </c>
      <c r="N116" s="1181">
        <v>1600600.6709233173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1600600.6709233173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824</v>
      </c>
      <c r="L117" s="1185"/>
      <c r="M117" s="1186">
        <f>0.01*Data!C20</f>
        <v>303144.01158061961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481043.5245</v>
      </c>
      <c r="H121" s="1117"/>
      <c r="I121" s="950">
        <f t="shared" si="3"/>
        <v>4762.807173267327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481043.5245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481043.5245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45471.60173709294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2567216.8883137708</v>
      </c>
      <c r="H148" s="1128"/>
      <c r="I148" s="950">
        <f t="shared" si="6"/>
        <v>25417.98899320565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2567216.8883137708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488490.61373267719</v>
      </c>
      <c r="H151" s="1093"/>
      <c r="I151" s="950">
        <f t="shared" ref="I151:I158" si="7">G151/$F$9</f>
        <v>4836.5407300265069</v>
      </c>
      <c r="J151" s="1094"/>
      <c r="K151" s="1244" t="s">
        <v>862</v>
      </c>
      <c r="L151" s="1245"/>
      <c r="M151" s="1558">
        <f>Data!C31*Data!C30</f>
        <v>359176.92287979991</v>
      </c>
      <c r="N151" s="1345">
        <v>488490.61373267719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2728296.1042255764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2085787.5</v>
      </c>
      <c r="H178" s="1093"/>
      <c r="I178" s="950">
        <f t="shared" si="6"/>
        <v>20651.361386138615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2085787.5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2085787.5</v>
      </c>
      <c r="H181" s="1128"/>
      <c r="I181" s="950">
        <f t="shared" si="6"/>
        <v>20651.361386138615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2085787.5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302625.02745264646</v>
      </c>
      <c r="H233" s="1111"/>
      <c r="I233" s="950">
        <f t="shared" si="8"/>
        <v>2996.287400521252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302625.02745264646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741375.02745264652</v>
      </c>
      <c r="H234" s="1282"/>
      <c r="I234" s="950">
        <f t="shared" si="8"/>
        <v>7340.3468064618464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741375.02745264652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46637540.243172243</v>
      </c>
      <c r="H250" s="1298"/>
      <c r="I250" s="1299">
        <f>G250/F9</f>
        <v>461757.82418982417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529.49069304237332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88080</v>
      </c>
      <c r="D5" t="s">
        <v>427</v>
      </c>
      <c r="G5" s="510"/>
    </row>
    <row r="6" spans="1:15">
      <c r="B6" s="1350" t="s">
        <v>12</v>
      </c>
      <c r="C6" s="700">
        <f>'Construction Calculation'!C14</f>
        <v>88080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14680</v>
      </c>
      <c r="D8" t="s">
        <v>427</v>
      </c>
      <c r="G8" s="510"/>
    </row>
    <row r="9" spans="1:15">
      <c r="B9" s="1350" t="s">
        <v>429</v>
      </c>
      <c r="C9" s="700">
        <f>'Construction Calculation'!C47</f>
        <v>50.5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30314401.158061959</v>
      </c>
      <c r="D20" s="1375">
        <f>MIN(D22,GapCalc!D24)</f>
        <v>30314401.158061959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30314401.158061959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-1934287.5000000242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1934287.5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35489340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35917692.28797999</v>
      </c>
      <c r="D30" s="1376">
        <f>-PV($C$24/12,$C$29*12,C27/12)</f>
        <v>35917692.28797999</v>
      </c>
      <c r="E30" s="1384"/>
      <c r="F30" t="s">
        <v>437</v>
      </c>
      <c r="G30" s="1381"/>
      <c r="H30" s="1376">
        <f>PV(G23,G29,-'Cash Flow'!E41*H28,)</f>
        <v>3118337.7742523393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1934287.5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37310032.194537796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31812768.571362488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3107520</v>
      </c>
      <c r="F12" s="89">
        <f>E12*(1+$D$12)</f>
        <v>3185207.9999999995</v>
      </c>
      <c r="G12" s="89">
        <f t="shared" ref="G12:AH12" si="0">F12*(1+$D$12)</f>
        <v>3264838.1999999993</v>
      </c>
      <c r="H12" s="89">
        <f t="shared" si="0"/>
        <v>3346459.1549999989</v>
      </c>
      <c r="I12" s="89">
        <f t="shared" si="0"/>
        <v>3430120.6338749984</v>
      </c>
      <c r="J12" s="89">
        <f t="shared" si="0"/>
        <v>3515873.649721873</v>
      </c>
      <c r="K12" s="89">
        <f t="shared" si="0"/>
        <v>3603770.4909649193</v>
      </c>
      <c r="L12" s="89">
        <f t="shared" si="0"/>
        <v>3693864.7532390421</v>
      </c>
      <c r="M12" s="89">
        <f t="shared" si="0"/>
        <v>3786211.3720700177</v>
      </c>
      <c r="N12" s="89">
        <f t="shared" si="0"/>
        <v>3880866.6563717676</v>
      </c>
      <c r="O12" s="89">
        <f t="shared" si="0"/>
        <v>3977888.3227810613</v>
      </c>
      <c r="P12" s="89">
        <f t="shared" si="0"/>
        <v>4077335.5308505874</v>
      </c>
      <c r="Q12" s="89">
        <f t="shared" si="0"/>
        <v>4179268.9191218517</v>
      </c>
      <c r="R12" s="89">
        <f t="shared" si="0"/>
        <v>4283750.6420998974</v>
      </c>
      <c r="S12" s="90">
        <f t="shared" si="0"/>
        <v>4390844.408152394</v>
      </c>
      <c r="T12" s="89">
        <f t="shared" si="0"/>
        <v>4500615.5183562031</v>
      </c>
      <c r="U12" s="89">
        <f t="shared" si="0"/>
        <v>4613130.9063151078</v>
      </c>
      <c r="V12" s="89">
        <f t="shared" si="0"/>
        <v>4728459.1789729847</v>
      </c>
      <c r="W12" s="89">
        <f t="shared" si="0"/>
        <v>4846670.6584473085</v>
      </c>
      <c r="X12" s="89">
        <f t="shared" si="0"/>
        <v>4967837.4249084909</v>
      </c>
      <c r="Y12" s="89">
        <f t="shared" si="0"/>
        <v>5092033.3605312025</v>
      </c>
      <c r="Z12" s="89">
        <f t="shared" si="0"/>
        <v>5219334.194544482</v>
      </c>
      <c r="AA12" s="89">
        <f t="shared" si="0"/>
        <v>5349817.549408094</v>
      </c>
      <c r="AB12" s="89">
        <f t="shared" si="0"/>
        <v>5483562.988143296</v>
      </c>
      <c r="AC12" s="89">
        <f t="shared" si="0"/>
        <v>5620652.0628468776</v>
      </c>
      <c r="AD12" s="89">
        <f t="shared" si="0"/>
        <v>5761168.3644180493</v>
      </c>
      <c r="AE12" s="89">
        <f t="shared" si="0"/>
        <v>5905197.5735285003</v>
      </c>
      <c r="AF12" s="89">
        <f t="shared" si="0"/>
        <v>6052827.5128667122</v>
      </c>
      <c r="AG12" s="89">
        <f t="shared" si="0"/>
        <v>6204148.2006883798</v>
      </c>
      <c r="AH12" s="89">
        <f t="shared" si="0"/>
        <v>6359251.9057055889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-155655</v>
      </c>
      <c r="F14" s="100">
        <f t="shared" ref="F14:AH14" si="2">-((F12+F13)*$C$14)</f>
        <v>-159546.375</v>
      </c>
      <c r="G14" s="100">
        <f t="shared" si="2"/>
        <v>-163535.03437499996</v>
      </c>
      <c r="H14" s="100">
        <f t="shared" si="2"/>
        <v>-167623.41023437495</v>
      </c>
      <c r="I14" s="100">
        <f t="shared" si="2"/>
        <v>-171813.99549023432</v>
      </c>
      <c r="J14" s="100">
        <f t="shared" si="2"/>
        <v>-176109.34537749016</v>
      </c>
      <c r="K14" s="100">
        <f t="shared" si="2"/>
        <v>-180512.07901192736</v>
      </c>
      <c r="L14" s="100">
        <f t="shared" si="2"/>
        <v>-185024.88098722557</v>
      </c>
      <c r="M14" s="100">
        <f t="shared" si="2"/>
        <v>-189650.50301190617</v>
      </c>
      <c r="N14" s="100">
        <f t="shared" si="2"/>
        <v>-194391.76558720379</v>
      </c>
      <c r="O14" s="100">
        <f t="shared" si="2"/>
        <v>-199251.55972688386</v>
      </c>
      <c r="P14" s="100">
        <f t="shared" si="2"/>
        <v>-204232.84872005595</v>
      </c>
      <c r="Q14" s="100">
        <f t="shared" si="2"/>
        <v>-209338.66993805731</v>
      </c>
      <c r="R14" s="100">
        <f t="shared" si="2"/>
        <v>-214572.13668650869</v>
      </c>
      <c r="S14" s="101">
        <f t="shared" si="2"/>
        <v>-219936.4401036714</v>
      </c>
      <c r="T14" s="100">
        <f t="shared" si="2"/>
        <v>-225434.85110626314</v>
      </c>
      <c r="U14" s="100">
        <f t="shared" si="2"/>
        <v>-231070.7223839197</v>
      </c>
      <c r="V14" s="100">
        <f t="shared" si="2"/>
        <v>-236847.49044351766</v>
      </c>
      <c r="W14" s="100">
        <f t="shared" si="2"/>
        <v>-242768.67770460556</v>
      </c>
      <c r="X14" s="100">
        <f t="shared" si="2"/>
        <v>-248837.89464722067</v>
      </c>
      <c r="Y14" s="100">
        <f t="shared" si="2"/>
        <v>-255058.84201340118</v>
      </c>
      <c r="Z14" s="100">
        <f t="shared" si="2"/>
        <v>-261435.31306373619</v>
      </c>
      <c r="AA14" s="100">
        <f t="shared" si="2"/>
        <v>-267971.19589032955</v>
      </c>
      <c r="AB14" s="100">
        <f t="shared" si="2"/>
        <v>-274670.47578758781</v>
      </c>
      <c r="AC14" s="100">
        <f t="shared" si="2"/>
        <v>-281537.23768227745</v>
      </c>
      <c r="AD14" s="100">
        <f t="shared" si="2"/>
        <v>-288575.66862433439</v>
      </c>
      <c r="AE14" s="100">
        <f t="shared" si="2"/>
        <v>-295790.06033994269</v>
      </c>
      <c r="AF14" s="100">
        <f t="shared" si="2"/>
        <v>-303184.81184844126</v>
      </c>
      <c r="AG14" s="100">
        <f t="shared" si="2"/>
        <v>-310764.4321446523</v>
      </c>
      <c r="AH14" s="100">
        <f t="shared" si="2"/>
        <v>-318533.54294826859</v>
      </c>
    </row>
    <row r="15" spans="1:34">
      <c r="A15" s="76"/>
      <c r="B15" s="102" t="s">
        <v>311</v>
      </c>
      <c r="C15" s="76"/>
      <c r="D15" s="76"/>
      <c r="E15" s="95">
        <f>SUM(E12:E14)</f>
        <v>2957445</v>
      </c>
      <c r="F15" s="95">
        <f t="shared" ref="F15:AH15" si="3">SUM(F12:F14)</f>
        <v>3031381.1249999995</v>
      </c>
      <c r="G15" s="103">
        <f t="shared" si="3"/>
        <v>3107165.6531249993</v>
      </c>
      <c r="H15" s="104">
        <f t="shared" si="3"/>
        <v>3184844.7944531241</v>
      </c>
      <c r="I15" s="104">
        <f t="shared" si="3"/>
        <v>3264465.9143144516</v>
      </c>
      <c r="J15" s="95">
        <f t="shared" si="3"/>
        <v>3346077.5621723123</v>
      </c>
      <c r="K15" s="103">
        <f t="shared" si="3"/>
        <v>3429729.5012266198</v>
      </c>
      <c r="L15" s="95">
        <f t="shared" si="3"/>
        <v>3515472.7387572853</v>
      </c>
      <c r="M15" s="95">
        <f t="shared" si="3"/>
        <v>3603359.5572262169</v>
      </c>
      <c r="N15" s="95">
        <f t="shared" si="3"/>
        <v>3693443.5461568721</v>
      </c>
      <c r="O15" s="95">
        <f t="shared" si="3"/>
        <v>3785779.6348107932</v>
      </c>
      <c r="P15" s="95">
        <f t="shared" si="3"/>
        <v>3880424.1256810627</v>
      </c>
      <c r="Q15" s="95">
        <f t="shared" si="3"/>
        <v>3977434.728823089</v>
      </c>
      <c r="R15" s="95">
        <f t="shared" si="3"/>
        <v>4076870.5970436651</v>
      </c>
      <c r="S15" s="96">
        <f t="shared" si="3"/>
        <v>4178792.361969756</v>
      </c>
      <c r="T15" s="95">
        <f t="shared" si="3"/>
        <v>4283262.171019</v>
      </c>
      <c r="U15" s="95">
        <f t="shared" si="3"/>
        <v>4390343.7252944736</v>
      </c>
      <c r="V15" s="95">
        <f t="shared" si="3"/>
        <v>4500102.3184268354</v>
      </c>
      <c r="W15" s="95">
        <f t="shared" si="3"/>
        <v>4612604.8763875058</v>
      </c>
      <c r="X15" s="95">
        <f t="shared" si="3"/>
        <v>4727919.9982971922</v>
      </c>
      <c r="Y15" s="95">
        <f t="shared" si="3"/>
        <v>4846117.9982546223</v>
      </c>
      <c r="Z15" s="95">
        <f t="shared" si="3"/>
        <v>4967270.9482109873</v>
      </c>
      <c r="AA15" s="95">
        <f t="shared" si="3"/>
        <v>5091452.7219162611</v>
      </c>
      <c r="AB15" s="95">
        <f t="shared" si="3"/>
        <v>5218739.0399641683</v>
      </c>
      <c r="AC15" s="95">
        <f t="shared" si="3"/>
        <v>5349207.5159632713</v>
      </c>
      <c r="AD15" s="95">
        <f t="shared" si="3"/>
        <v>5482937.7038623532</v>
      </c>
      <c r="AE15" s="95">
        <f t="shared" si="3"/>
        <v>5620011.1464589108</v>
      </c>
      <c r="AF15" s="95">
        <f t="shared" si="3"/>
        <v>5760511.4251203835</v>
      </c>
      <c r="AG15" s="95">
        <f t="shared" si="3"/>
        <v>5904524.2107483931</v>
      </c>
      <c r="AH15" s="95">
        <f t="shared" si="3"/>
        <v>6052137.3160171025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314</v>
      </c>
      <c r="C19" s="1713" t="s">
        <v>1103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2321145</v>
      </c>
      <c r="F21" s="95">
        <f t="shared" si="8"/>
        <v>2373871.1249999995</v>
      </c>
      <c r="G21" s="95">
        <f t="shared" si="8"/>
        <v>2427703.3031249992</v>
      </c>
      <c r="H21" s="95">
        <f t="shared" si="8"/>
        <v>2482661.7622031244</v>
      </c>
      <c r="I21" s="95">
        <f t="shared" si="8"/>
        <v>2538766.9759357017</v>
      </c>
      <c r="J21" s="95">
        <f t="shared" si="8"/>
        <v>2596039.6609503063</v>
      </c>
      <c r="K21" s="95">
        <f t="shared" si="8"/>
        <v>2654500.7734618438</v>
      </c>
      <c r="L21" s="95">
        <f t="shared" si="8"/>
        <v>2714171.5055207419</v>
      </c>
      <c r="M21" s="95">
        <f t="shared" si="8"/>
        <v>2775073.2808263944</v>
      </c>
      <c r="N21" s="95">
        <f t="shared" si="8"/>
        <v>2837227.7500830563</v>
      </c>
      <c r="O21" s="95">
        <f t="shared" si="8"/>
        <v>2900656.7858743938</v>
      </c>
      <c r="P21" s="95">
        <f t="shared" si="8"/>
        <v>2965382.4770318894</v>
      </c>
      <c r="Q21" s="95">
        <f t="shared" si="8"/>
        <v>3031427.1224711947</v>
      </c>
      <c r="R21" s="95">
        <f t="shared" si="8"/>
        <v>3098813.2244694545</v>
      </c>
      <c r="S21" s="96">
        <f t="shared" si="8"/>
        <v>3167563.4813554483</v>
      </c>
      <c r="T21" s="95">
        <f t="shared" si="8"/>
        <v>3237700.7795831915</v>
      </c>
      <c r="U21" s="95">
        <f t="shared" si="8"/>
        <v>3309248.185158412</v>
      </c>
      <c r="V21" s="95">
        <f t="shared" si="8"/>
        <v>3382228.9343860112</v>
      </c>
      <c r="W21" s="95">
        <f t="shared" si="8"/>
        <v>3456666.4239052534</v>
      </c>
      <c r="X21" s="95">
        <f t="shared" si="8"/>
        <v>3532584.199978061</v>
      </c>
      <c r="Y21" s="95">
        <f t="shared" si="8"/>
        <v>3610005.9469943214</v>
      </c>
      <c r="Z21" s="95">
        <f t="shared" si="8"/>
        <v>3688955.4751565759</v>
      </c>
      <c r="AA21" s="95">
        <f t="shared" si="8"/>
        <v>3769456.7073049452</v>
      </c>
      <c r="AB21" s="95">
        <f t="shared" si="8"/>
        <v>3851533.6648414568</v>
      </c>
      <c r="AC21" s="95">
        <f t="shared" si="8"/>
        <v>3935210.4527112646</v>
      </c>
      <c r="AD21" s="95">
        <f t="shared" si="8"/>
        <v>4020511.2433965267</v>
      </c>
      <c r="AE21" s="95">
        <f t="shared" si="8"/>
        <v>4107460.2598767802</v>
      </c>
      <c r="AF21" s="95">
        <f t="shared" si="8"/>
        <v>4196081.7575078793</v>
      </c>
      <c r="AG21" s="95">
        <f t="shared" si="8"/>
        <v>4286400.004769451</v>
      </c>
      <c r="AH21" s="95">
        <f t="shared" si="8"/>
        <v>4378439.2628288977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-1934287.5</v>
      </c>
      <c r="F22" s="95">
        <f t="shared" ref="F22:AH22" si="9">$E$22</f>
        <v>-1934287.5</v>
      </c>
      <c r="G22" s="95">
        <f t="shared" si="9"/>
        <v>-1934287.5</v>
      </c>
      <c r="H22" s="95">
        <f t="shared" si="9"/>
        <v>-1934287.5</v>
      </c>
      <c r="I22" s="95">
        <f t="shared" si="9"/>
        <v>-1934287.5</v>
      </c>
      <c r="J22" s="95">
        <f t="shared" si="9"/>
        <v>-1934287.5</v>
      </c>
      <c r="K22" s="95">
        <f t="shared" si="9"/>
        <v>-1934287.5</v>
      </c>
      <c r="L22" s="95">
        <f t="shared" si="9"/>
        <v>-1934287.5</v>
      </c>
      <c r="M22" s="95">
        <f t="shared" si="9"/>
        <v>-1934287.5</v>
      </c>
      <c r="N22" s="95">
        <f t="shared" si="9"/>
        <v>-1934287.5</v>
      </c>
      <c r="O22" s="95">
        <f t="shared" si="9"/>
        <v>-1934287.5</v>
      </c>
      <c r="P22" s="95">
        <f t="shared" si="9"/>
        <v>-1934287.5</v>
      </c>
      <c r="Q22" s="95">
        <f t="shared" si="9"/>
        <v>-1934287.5</v>
      </c>
      <c r="R22" s="95">
        <f t="shared" si="9"/>
        <v>-1934287.5</v>
      </c>
      <c r="S22" s="96">
        <f t="shared" si="9"/>
        <v>-1934287.5</v>
      </c>
      <c r="T22" s="95">
        <f t="shared" si="9"/>
        <v>-1934287.5</v>
      </c>
      <c r="U22" s="95">
        <f t="shared" si="9"/>
        <v>-1934287.5</v>
      </c>
      <c r="V22" s="95">
        <f t="shared" si="9"/>
        <v>-1934287.5</v>
      </c>
      <c r="W22" s="95">
        <f t="shared" si="9"/>
        <v>-1934287.5</v>
      </c>
      <c r="X22" s="95">
        <f t="shared" si="9"/>
        <v>-1934287.5</v>
      </c>
      <c r="Y22" s="95">
        <f t="shared" si="9"/>
        <v>-1934287.5</v>
      </c>
      <c r="Z22" s="95">
        <f t="shared" si="9"/>
        <v>-1934287.5</v>
      </c>
      <c r="AA22" s="95">
        <f t="shared" si="9"/>
        <v>-1934287.5</v>
      </c>
      <c r="AB22" s="95">
        <f t="shared" si="9"/>
        <v>-1934287.5</v>
      </c>
      <c r="AC22" s="95">
        <f t="shared" si="9"/>
        <v>-1934287.5</v>
      </c>
      <c r="AD22" s="95">
        <f t="shared" si="9"/>
        <v>-1934287.5</v>
      </c>
      <c r="AE22" s="95">
        <f t="shared" si="9"/>
        <v>-1934287.5</v>
      </c>
      <c r="AF22" s="95">
        <f t="shared" si="9"/>
        <v>-1934287.5</v>
      </c>
      <c r="AG22" s="95">
        <f t="shared" si="9"/>
        <v>-1934287.5</v>
      </c>
      <c r="AH22" s="95">
        <f t="shared" si="9"/>
        <v>-1934287.5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386857.5</v>
      </c>
      <c r="F25" s="119">
        <f t="shared" ref="F25:AH25" si="11">+F21+F22+F23</f>
        <v>439583.62499999953</v>
      </c>
      <c r="G25" s="119">
        <f t="shared" si="11"/>
        <v>493415.80312499916</v>
      </c>
      <c r="H25" s="119">
        <f t="shared" si="11"/>
        <v>548374.26220312435</v>
      </c>
      <c r="I25" s="119">
        <f t="shared" si="11"/>
        <v>604479.47593570175</v>
      </c>
      <c r="J25" s="119">
        <f t="shared" si="11"/>
        <v>661752.16095030634</v>
      </c>
      <c r="K25" s="119">
        <f t="shared" si="11"/>
        <v>720213.27346184384</v>
      </c>
      <c r="L25" s="119">
        <f t="shared" si="11"/>
        <v>779884.00552074192</v>
      </c>
      <c r="M25" s="119">
        <f t="shared" si="11"/>
        <v>840785.78082639445</v>
      </c>
      <c r="N25" s="119">
        <f t="shared" si="11"/>
        <v>902940.25008305628</v>
      </c>
      <c r="O25" s="119">
        <f t="shared" si="11"/>
        <v>966369.28587439377</v>
      </c>
      <c r="P25" s="119">
        <f t="shared" si="11"/>
        <v>1031094.9770318894</v>
      </c>
      <c r="Q25" s="119">
        <f t="shared" si="11"/>
        <v>1097139.6224711947</v>
      </c>
      <c r="R25" s="119">
        <f t="shared" si="11"/>
        <v>1164525.7244694545</v>
      </c>
      <c r="S25" s="160">
        <f t="shared" si="11"/>
        <v>1233275.9813554483</v>
      </c>
      <c r="T25" s="119">
        <f t="shared" si="11"/>
        <v>1303413.2795831915</v>
      </c>
      <c r="U25" s="119">
        <f t="shared" si="11"/>
        <v>1374960.685158412</v>
      </c>
      <c r="V25" s="119">
        <f t="shared" si="11"/>
        <v>1447941.4343860112</v>
      </c>
      <c r="W25" s="119">
        <f t="shared" si="11"/>
        <v>1522378.9239052534</v>
      </c>
      <c r="X25" s="119">
        <f t="shared" si="11"/>
        <v>1598296.699978061</v>
      </c>
      <c r="Y25" s="119">
        <f t="shared" si="11"/>
        <v>1675718.4469943214</v>
      </c>
      <c r="Z25" s="119">
        <f t="shared" si="11"/>
        <v>1754667.9751565759</v>
      </c>
      <c r="AA25" s="119">
        <f t="shared" si="11"/>
        <v>1835169.2073049452</v>
      </c>
      <c r="AB25" s="119">
        <f t="shared" si="11"/>
        <v>1917246.1648414568</v>
      </c>
      <c r="AC25" s="119">
        <f t="shared" si="11"/>
        <v>2000922.9527112646</v>
      </c>
      <c r="AD25" s="119">
        <f t="shared" si="11"/>
        <v>2086223.7433965267</v>
      </c>
      <c r="AE25" s="119">
        <f t="shared" si="11"/>
        <v>2173172.7598767802</v>
      </c>
      <c r="AF25" s="119">
        <f t="shared" si="11"/>
        <v>2261794.2575078793</v>
      </c>
      <c r="AG25" s="119">
        <f t="shared" si="11"/>
        <v>2352112.504769451</v>
      </c>
      <c r="AH25" s="119">
        <f t="shared" si="11"/>
        <v>2444151.7628288977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1.2272586805218975</v>
      </c>
      <c r="G27" s="122">
        <f t="shared" si="12"/>
        <v>1.255089175277718</v>
      </c>
      <c r="H27" s="122">
        <f t="shared" si="12"/>
        <v>1.2835019417760412</v>
      </c>
      <c r="I27" s="122">
        <f t="shared" si="12"/>
        <v>1.3125075646385047</v>
      </c>
      <c r="J27" s="122">
        <f t="shared" si="12"/>
        <v>1.3421167540762717</v>
      </c>
      <c r="K27" s="122">
        <f t="shared" si="12"/>
        <v>1.3723403441638555</v>
      </c>
      <c r="L27" s="122">
        <f t="shared" si="12"/>
        <v>1.4031892908994872</v>
      </c>
      <c r="M27" s="122">
        <f t="shared" si="12"/>
        <v>1.4346746700407227</v>
      </c>
      <c r="N27" s="122">
        <f t="shared" si="12"/>
        <v>1.4668076747035053</v>
      </c>
      <c r="O27" s="122">
        <f t="shared" si="12"/>
        <v>1.4995996127123778</v>
      </c>
      <c r="P27" s="122">
        <f t="shared" si="12"/>
        <v>1.5330619036890274</v>
      </c>
      <c r="Q27" s="122">
        <f t="shared" si="12"/>
        <v>1.5672060758657618</v>
      </c>
      <c r="R27" s="122">
        <f t="shared" si="12"/>
        <v>1.6020437626099815</v>
      </c>
      <c r="S27" s="161">
        <f t="shared" si="12"/>
        <v>1.6375866986450816</v>
      </c>
      <c r="T27" s="122">
        <f t="shared" si="12"/>
        <v>1.6738467159526138</v>
      </c>
      <c r="U27" s="122">
        <f t="shared" si="12"/>
        <v>1.7108357393398923</v>
      </c>
      <c r="V27" s="122">
        <f t="shared" si="12"/>
        <v>1.748565781656559</v>
      </c>
      <c r="W27" s="122">
        <f t="shared" si="12"/>
        <v>1.7870489386429129</v>
      </c>
      <c r="X27" s="122">
        <f t="shared" si="12"/>
        <v>1.8262973833921075</v>
      </c>
      <c r="Y27" s="122">
        <f t="shared" si="12"/>
        <v>1.8663233604075513</v>
      </c>
      <c r="Z27" s="122">
        <f t="shared" si="12"/>
        <v>1.9071391792360628</v>
      </c>
      <c r="AA27" s="122">
        <f t="shared" si="12"/>
        <v>1.9487572076565378</v>
      </c>
      <c r="AB27" s="122">
        <f t="shared" si="12"/>
        <v>1.9911898644030201</v>
      </c>
      <c r="AC27" s="122">
        <f t="shared" si="12"/>
        <v>2.0344496114002002</v>
      </c>
      <c r="AD27" s="122">
        <f t="shared" si="12"/>
        <v>2.0785489454884689</v>
      </c>
      <c r="AE27" s="122">
        <f t="shared" si="12"/>
        <v>2.1235003896146671</v>
      </c>
      <c r="AF27" s="122">
        <f t="shared" si="12"/>
        <v>2.1693164834637453</v>
      </c>
      <c r="AG27" s="122">
        <f t="shared" si="12"/>
        <v>2.2160097735054642</v>
      </c>
      <c r="AH27" s="122">
        <f t="shared" si="12"/>
        <v>2.2635928024292653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386857.5</v>
      </c>
      <c r="F41" s="129">
        <f t="shared" ref="F41:S41" si="20">F25+F37</f>
        <v>439583.62499999953</v>
      </c>
      <c r="G41" s="129">
        <f t="shared" si="20"/>
        <v>493415.80312499916</v>
      </c>
      <c r="H41" s="129">
        <f t="shared" si="20"/>
        <v>548374.26220312435</v>
      </c>
      <c r="I41" s="129">
        <f t="shared" si="20"/>
        <v>604479.47593570175</v>
      </c>
      <c r="J41" s="129">
        <f t="shared" si="20"/>
        <v>661752.16095030634</v>
      </c>
      <c r="K41" s="129">
        <f t="shared" si="20"/>
        <v>720213.27346184384</v>
      </c>
      <c r="L41" s="129">
        <f t="shared" si="20"/>
        <v>779884.00552074192</v>
      </c>
      <c r="M41" s="129">
        <f t="shared" si="20"/>
        <v>840785.78082639445</v>
      </c>
      <c r="N41" s="129">
        <f t="shared" si="20"/>
        <v>902940.25008305628</v>
      </c>
      <c r="O41" s="129">
        <f t="shared" si="20"/>
        <v>966369.28587439377</v>
      </c>
      <c r="P41" s="129">
        <f t="shared" si="20"/>
        <v>1031094.9770318894</v>
      </c>
      <c r="Q41" s="129">
        <f t="shared" si="20"/>
        <v>1097139.6224711947</v>
      </c>
      <c r="R41" s="129">
        <f t="shared" si="20"/>
        <v>1164525.7244694545</v>
      </c>
      <c r="S41" s="130">
        <f t="shared" si="20"/>
        <v>1233275.9813554483</v>
      </c>
      <c r="T41" s="130">
        <f t="shared" ref="T41:AH41" si="21">T25+T37</f>
        <v>1303413.2795831915</v>
      </c>
      <c r="U41" s="130">
        <f t="shared" si="21"/>
        <v>1374960.685158412</v>
      </c>
      <c r="V41" s="130">
        <f t="shared" si="21"/>
        <v>1447941.4343860112</v>
      </c>
      <c r="W41" s="130">
        <f t="shared" si="21"/>
        <v>1522378.9239052534</v>
      </c>
      <c r="X41" s="130">
        <f t="shared" si="21"/>
        <v>1598296.699978061</v>
      </c>
      <c r="Y41" s="130">
        <f t="shared" si="21"/>
        <v>1675718.4469943214</v>
      </c>
      <c r="Z41" s="130">
        <f t="shared" si="21"/>
        <v>1754667.9751565759</v>
      </c>
      <c r="AA41" s="130">
        <f t="shared" si="21"/>
        <v>1835169.2073049452</v>
      </c>
      <c r="AB41" s="130">
        <f t="shared" si="21"/>
        <v>1917246.1648414568</v>
      </c>
      <c r="AC41" s="130">
        <f t="shared" si="21"/>
        <v>2000922.9527112646</v>
      </c>
      <c r="AD41" s="130">
        <f t="shared" si="21"/>
        <v>2086223.7433965267</v>
      </c>
      <c r="AE41" s="130">
        <f t="shared" si="21"/>
        <v>2173172.7598767802</v>
      </c>
      <c r="AF41" s="130">
        <f t="shared" si="21"/>
        <v>2261794.2575078793</v>
      </c>
      <c r="AG41" s="130">
        <f t="shared" si="21"/>
        <v>2352112.504769451</v>
      </c>
      <c r="AH41" s="130">
        <f t="shared" si="21"/>
        <v>2444151.7628288977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328828.875</v>
      </c>
      <c r="F42" s="129">
        <f t="shared" ref="F42:S42" si="22">((F41*$C$42))</f>
        <v>373646.08124999958</v>
      </c>
      <c r="G42" s="129">
        <f t="shared" si="22"/>
        <v>419403.43265624926</v>
      </c>
      <c r="H42" s="129">
        <f t="shared" si="22"/>
        <v>466118.12287265569</v>
      </c>
      <c r="I42" s="129">
        <f t="shared" si="22"/>
        <v>513807.55454534647</v>
      </c>
      <c r="J42" s="129">
        <f t="shared" si="22"/>
        <v>562489.33680776041</v>
      </c>
      <c r="K42" s="129">
        <f t="shared" si="22"/>
        <v>612181.28244256729</v>
      </c>
      <c r="L42" s="129">
        <f t="shared" si="22"/>
        <v>662901.40469263063</v>
      </c>
      <c r="M42" s="129">
        <f t="shared" si="22"/>
        <v>714667.91370243521</v>
      </c>
      <c r="N42" s="129">
        <f t="shared" si="22"/>
        <v>767499.21257059777</v>
      </c>
      <c r="O42" s="129">
        <f t="shared" si="22"/>
        <v>821413.89299323468</v>
      </c>
      <c r="P42" s="129">
        <f t="shared" si="22"/>
        <v>876430.73047710594</v>
      </c>
      <c r="Q42" s="129">
        <f t="shared" si="22"/>
        <v>932568.67910051544</v>
      </c>
      <c r="R42" s="129">
        <f t="shared" si="22"/>
        <v>989846.86579903634</v>
      </c>
      <c r="S42" s="129">
        <f t="shared" si="22"/>
        <v>1048284.584152131</v>
      </c>
      <c r="T42" s="129">
        <f t="shared" ref="T42:AH42" si="23">((T41*$C$42))</f>
        <v>1107901.2876457127</v>
      </c>
      <c r="U42" s="129">
        <f t="shared" si="23"/>
        <v>1168716.5823846501</v>
      </c>
      <c r="V42" s="129">
        <f t="shared" si="23"/>
        <v>1230750.2192281096</v>
      </c>
      <c r="W42" s="129">
        <f t="shared" si="23"/>
        <v>1294022.0853194653</v>
      </c>
      <c r="X42" s="129">
        <f t="shared" si="23"/>
        <v>1358552.1949813517</v>
      </c>
      <c r="Y42" s="129">
        <f t="shared" si="23"/>
        <v>1424360.6799451732</v>
      </c>
      <c r="Z42" s="129">
        <f t="shared" si="23"/>
        <v>1491467.7788830895</v>
      </c>
      <c r="AA42" s="129">
        <f t="shared" si="23"/>
        <v>1559893.8262092033</v>
      </c>
      <c r="AB42" s="129">
        <f t="shared" si="23"/>
        <v>1629659.2401152384</v>
      </c>
      <c r="AC42" s="129">
        <f t="shared" si="23"/>
        <v>1700784.5098045748</v>
      </c>
      <c r="AD42" s="129">
        <f t="shared" si="23"/>
        <v>1773290.1818870476</v>
      </c>
      <c r="AE42" s="129">
        <f t="shared" si="23"/>
        <v>1847196.8458952631</v>
      </c>
      <c r="AF42" s="129">
        <f t="shared" si="23"/>
        <v>1922525.1188816973</v>
      </c>
      <c r="AG42" s="129">
        <f t="shared" si="23"/>
        <v>1999295.6290540332</v>
      </c>
      <c r="AH42" s="129">
        <f t="shared" si="23"/>
        <v>2077528.9984045629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58028.625</v>
      </c>
      <c r="F43" s="108">
        <f t="shared" ref="F43:S43" si="24">$C$43*(F41)</f>
        <v>65937.543749999924</v>
      </c>
      <c r="G43" s="108">
        <f t="shared" si="24"/>
        <v>74012.370468749868</v>
      </c>
      <c r="H43" s="108">
        <f t="shared" si="24"/>
        <v>82256.13933046865</v>
      </c>
      <c r="I43" s="108">
        <f t="shared" si="24"/>
        <v>90671.921390355259</v>
      </c>
      <c r="J43" s="108">
        <f t="shared" si="24"/>
        <v>99262.824142545942</v>
      </c>
      <c r="K43" s="108">
        <f t="shared" si="24"/>
        <v>108031.99101927657</v>
      </c>
      <c r="L43" s="108">
        <f t="shared" si="24"/>
        <v>116982.60082811129</v>
      </c>
      <c r="M43" s="108">
        <f t="shared" si="24"/>
        <v>126117.86712395916</v>
      </c>
      <c r="N43" s="108">
        <f t="shared" si="24"/>
        <v>135441.03751245842</v>
      </c>
      <c r="O43" s="108">
        <f t="shared" si="24"/>
        <v>144955.39288115906</v>
      </c>
      <c r="P43" s="108">
        <f t="shared" si="24"/>
        <v>154664.2465547834</v>
      </c>
      <c r="Q43" s="108">
        <f t="shared" si="24"/>
        <v>164570.94337067919</v>
      </c>
      <c r="R43" s="108">
        <f t="shared" si="24"/>
        <v>174678.85867041818</v>
      </c>
      <c r="S43" s="108">
        <f t="shared" si="24"/>
        <v>184991.39720331723</v>
      </c>
      <c r="T43" s="108">
        <f t="shared" ref="T43:AH43" si="25">$C$43*(T41)</f>
        <v>195511.99193747871</v>
      </c>
      <c r="U43" s="108">
        <f t="shared" si="25"/>
        <v>206244.10277376178</v>
      </c>
      <c r="V43" s="108">
        <f t="shared" si="25"/>
        <v>217191.21515790166</v>
      </c>
      <c r="W43" s="108">
        <f t="shared" si="25"/>
        <v>228356.83858578801</v>
      </c>
      <c r="X43" s="108">
        <f t="shared" si="25"/>
        <v>239744.50499670915</v>
      </c>
      <c r="Y43" s="108">
        <f t="shared" si="25"/>
        <v>251357.76704914821</v>
      </c>
      <c r="Z43" s="108">
        <f t="shared" si="25"/>
        <v>263200.19627348636</v>
      </c>
      <c r="AA43" s="108">
        <f t="shared" si="25"/>
        <v>275275.38109574176</v>
      </c>
      <c r="AB43" s="108">
        <f t="shared" si="25"/>
        <v>287586.92472621851</v>
      </c>
      <c r="AC43" s="108">
        <f t="shared" si="25"/>
        <v>300138.44290668966</v>
      </c>
      <c r="AD43" s="108">
        <f t="shared" si="25"/>
        <v>312933.56150947901</v>
      </c>
      <c r="AE43" s="108">
        <f t="shared" si="25"/>
        <v>325975.91398151702</v>
      </c>
      <c r="AF43" s="108">
        <f t="shared" si="25"/>
        <v>339269.13862618187</v>
      </c>
      <c r="AG43" s="108">
        <f t="shared" si="25"/>
        <v>352816.87571541761</v>
      </c>
      <c r="AH43" s="108">
        <f t="shared" si="25"/>
        <v>366622.76442433463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2.7882288340200113E-2</v>
      </c>
      <c r="F47" s="142">
        <f>F41/GapCalc!$H$33</f>
        <v>3.1682460290624805E-2</v>
      </c>
      <c r="G47" s="142">
        <f>G41/GapCalc!$H$33</f>
        <v>3.5562349687785912E-2</v>
      </c>
      <c r="H47" s="142">
        <f>H41/GapCalc!$H$33</f>
        <v>3.9523414428031027E-2</v>
      </c>
      <c r="I47" s="142">
        <f>I41/GapCalc!$H$33</f>
        <v>4.356713012872257E-2</v>
      </c>
      <c r="J47" s="142">
        <f>J41/GapCalc!$H$33</f>
        <v>4.7694989915839696E-2</v>
      </c>
      <c r="K47" s="142">
        <f>K41/GapCalc!$H$33</f>
        <v>5.1908504183329839E-2</v>
      </c>
      <c r="L47" s="142">
        <f>L41/GapCalc!$H$33</f>
        <v>5.6209200322701616E-2</v>
      </c>
      <c r="M47" s="142">
        <f>M41/GapCalc!$H$33</f>
        <v>6.0598622421283867E-2</v>
      </c>
      <c r="N47" s="142">
        <f>N41/GapCalc!$H$33</f>
        <v>6.5078330927507338E-2</v>
      </c>
      <c r="O47" s="142">
        <f>O41/GapCalc!$H$33</f>
        <v>6.9649902281494133E-2</v>
      </c>
      <c r="P47" s="142">
        <f>P41/GapCalc!$H$33</f>
        <v>7.4314928509167197E-2</v>
      </c>
      <c r="Q47" s="142">
        <f>Q41/GapCalc!$H$33</f>
        <v>7.9075016778012944E-2</v>
      </c>
      <c r="R47" s="142">
        <f>R41/GapCalc!$H$33</f>
        <v>8.3931788912552444E-2</v>
      </c>
      <c r="S47" s="142">
        <f>S41/GapCalc!$H$33</f>
        <v>8.8886880867492205E-2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2.3699945089170098E-2</v>
      </c>
      <c r="F48" s="142">
        <f>F43/GapCalc!$H$32</f>
        <v>2.6930091247031083E-2</v>
      </c>
      <c r="G48" s="142">
        <f>G43/GapCalc!$H$32</f>
        <v>3.0227997234618026E-2</v>
      </c>
      <c r="H48" s="142">
        <f>H43/GapCalc!$H$32</f>
        <v>3.3594902263826373E-2</v>
      </c>
      <c r="I48" s="142">
        <f>I43/GapCalc!$H$32</f>
        <v>3.7032060609414184E-2</v>
      </c>
      <c r="J48" s="142">
        <f>J43/GapCalc!$H$32</f>
        <v>4.0540741428463742E-2</v>
      </c>
      <c r="K48" s="142">
        <f>K43/GapCalc!$H$32</f>
        <v>4.412222855583036E-2</v>
      </c>
      <c r="L48" s="142">
        <f>L43/GapCalc!$H$32</f>
        <v>4.7777820274296383E-2</v>
      </c>
      <c r="M48" s="142">
        <f>M43/GapCalc!$H$32</f>
        <v>5.1508829058091295E-2</v>
      </c>
      <c r="N48" s="142">
        <f>N43/GapCalc!$H$32</f>
        <v>5.5316581288381239E-2</v>
      </c>
      <c r="O48" s="142">
        <f>O43/GapCalc!$H$32</f>
        <v>5.9202416939270017E-2</v>
      </c>
      <c r="P48" s="142">
        <f>P43/GapCalc!$H$32</f>
        <v>6.3167689232792132E-2</v>
      </c>
      <c r="Q48" s="142">
        <f>Q43/GapCalc!$H$32</f>
        <v>6.721376426131101E-2</v>
      </c>
      <c r="R48" s="142">
        <f>R43/GapCalc!$H$32</f>
        <v>7.1342020575669587E-2</v>
      </c>
      <c r="S48" s="142">
        <f>S43/GapCalc!$H$32</f>
        <v>7.5553848737368381E-2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14500822.971315533</v>
      </c>
      <c r="D66" s="1544"/>
      <c r="E66" s="1564" t="s">
        <v>284</v>
      </c>
      <c r="G66" s="1520" t="s">
        <v>1072</v>
      </c>
      <c r="H66" s="1565">
        <f>H70/1.63</f>
        <v>2558968.759643917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3276474.6855745791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578201.41510139627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4762797.4604303269</v>
      </c>
      <c r="D68" s="1545" t="s">
        <v>67</v>
      </c>
      <c r="G68" s="1521" t="s">
        <v>1078</v>
      </c>
      <c r="H68" s="1568">
        <f>IF(GapCalc!D41*C43&lt; 0,0,GapCalc!D41*C43)</f>
        <v>840493.66948770464</v>
      </c>
      <c r="I68" s="1545" t="s">
        <v>67</v>
      </c>
    </row>
    <row r="69" spans="2:10">
      <c r="B69" s="1521" t="s">
        <v>1058</v>
      </c>
      <c r="C69" s="1568">
        <f>'Debt Calc'!E60</f>
        <v>15597069.297239408</v>
      </c>
      <c r="D69" s="1546">
        <v>0.9</v>
      </c>
      <c r="G69" s="1521" t="s">
        <v>1074</v>
      </c>
      <c r="H69" s="1568">
        <f>'Debt Calc'!E59*C43</f>
        <v>2752423.9936304837</v>
      </c>
      <c r="I69" s="1546">
        <v>0.9</v>
      </c>
    </row>
    <row r="70" spans="2:10">
      <c r="B70" s="1523" t="s">
        <v>1041</v>
      </c>
      <c r="C70" s="1577">
        <f>C67+C68+C69</f>
        <v>23636341.443244316</v>
      </c>
      <c r="D70" s="1545" t="s">
        <v>67</v>
      </c>
      <c r="G70" s="1523" t="s">
        <v>1041</v>
      </c>
      <c r="H70" s="1577">
        <f>H67+H68+H69</f>
        <v>4171119.0782195847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0.62999999999999978</v>
      </c>
      <c r="D72" s="1548"/>
      <c r="G72" s="1521" t="s">
        <v>1043</v>
      </c>
      <c r="H72" s="1524">
        <f>(H70-H66)/H66</f>
        <v>0.63</v>
      </c>
      <c r="I72" s="1548"/>
    </row>
    <row r="73" spans="2:10">
      <c r="B73" s="1523" t="s">
        <v>1044</v>
      </c>
      <c r="C73" s="1566">
        <f>C72/7</f>
        <v>8.9999999999999969E-2</v>
      </c>
      <c r="D73" s="1548"/>
      <c r="G73" s="1523" t="s">
        <v>1044</v>
      </c>
      <c r="H73" s="1566">
        <f>H72/7</f>
        <v>0.09</v>
      </c>
      <c r="I73" s="1548"/>
    </row>
    <row r="74" spans="2:10" ht="13.5" thickBot="1">
      <c r="B74" s="1578" t="s">
        <v>1079</v>
      </c>
      <c r="C74" s="1581">
        <f>GapCalc!H33</f>
        <v>13874668.222343745</v>
      </c>
      <c r="D74" s="1549"/>
      <c r="F74" s="1559"/>
      <c r="G74" s="1578" t="s">
        <v>1081</v>
      </c>
      <c r="H74" s="1581">
        <f>GapCalc!H32</f>
        <v>2448470.8627665429</v>
      </c>
      <c r="I74" s="1549"/>
    </row>
    <row r="75" spans="2:10">
      <c r="B75" s="70" t="s">
        <v>1080</v>
      </c>
      <c r="C75" s="1579">
        <f>(C70-C74)/C74</f>
        <v>0.70356083939941616</v>
      </c>
      <c r="G75" s="70" t="s">
        <v>1080</v>
      </c>
      <c r="H75" s="1579">
        <f>(H70-H74)/H74</f>
        <v>0.70356083939941616</v>
      </c>
    </row>
    <row r="76" spans="2:10">
      <c r="B76" s="70" t="s">
        <v>1044</v>
      </c>
      <c r="C76" s="1579">
        <f>C75/7</f>
        <v>0.10050869134277374</v>
      </c>
      <c r="G76" s="70" t="s">
        <v>1044</v>
      </c>
      <c r="H76" s="1579">
        <f>H75/7</f>
        <v>0.10050869134277374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5657967.0427614274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5421543.2165402425</v>
      </c>
      <c r="D81" s="1545" t="s">
        <v>67</v>
      </c>
    </row>
    <row r="82" spans="2:10">
      <c r="B82" s="1521" t="s">
        <v>1058</v>
      </c>
      <c r="C82" s="1568">
        <f>C68</f>
        <v>4762797.4604303269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10184340.676970569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18924928.345507137</v>
      </c>
      <c r="D93" s="1544"/>
      <c r="E93" s="1564" t="s">
        <v>287</v>
      </c>
      <c r="G93" s="1520" t="s">
        <v>1072</v>
      </c>
      <c r="H93" s="1565">
        <f>H97/1.63</f>
        <v>2791202.812076143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5421543.2165402425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956742.92056592507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4762797.4604303269</v>
      </c>
      <c r="D95" s="1545" t="s">
        <v>67</v>
      </c>
      <c r="G95" s="1521" t="s">
        <v>1078</v>
      </c>
      <c r="H95" s="1568">
        <f>IF(GapCalc!D41*C43&lt; 0,0,GapCalc!D41*C43)</f>
        <v>840493.66948770464</v>
      </c>
      <c r="I95" s="1545" t="s">
        <v>67</v>
      </c>
    </row>
    <row r="96" spans="2:10">
      <c r="B96" s="1521" t="s">
        <v>1058</v>
      </c>
      <c r="C96" s="1568">
        <f>'Debt Calc'!H60</f>
        <v>20663292.526206061</v>
      </c>
      <c r="D96" s="1546">
        <v>0.9</v>
      </c>
      <c r="G96" s="1521" t="s">
        <v>1074</v>
      </c>
      <c r="H96" s="1568">
        <f>'Debt Calc'!E59*C43</f>
        <v>2752423.9936304837</v>
      </c>
      <c r="I96" s="1546">
        <v>0.9</v>
      </c>
    </row>
    <row r="97" spans="2:9">
      <c r="B97" s="1523" t="s">
        <v>1041</v>
      </c>
      <c r="C97" s="1577">
        <f>C94+C95+C96</f>
        <v>30847633.203176633</v>
      </c>
      <c r="D97" s="1545" t="s">
        <v>67</v>
      </c>
      <c r="G97" s="1523" t="s">
        <v>1041</v>
      </c>
      <c r="H97" s="1577">
        <f>H94+H95+H96</f>
        <v>4549660.5836841129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13874668.222343745</v>
      </c>
      <c r="D101" s="1549"/>
      <c r="G101" s="1578" t="s">
        <v>1081</v>
      </c>
      <c r="H101" s="1581">
        <f>GapCalc!H32</f>
        <v>2448470.8627665429</v>
      </c>
      <c r="I101" s="1549"/>
    </row>
    <row r="102" spans="2:9">
      <c r="B102" s="70" t="s">
        <v>1080</v>
      </c>
      <c r="C102" s="1579">
        <f>(C97-C101)/C101</f>
        <v>1.2233060069501087</v>
      </c>
      <c r="G102" s="70" t="s">
        <v>1080</v>
      </c>
      <c r="H102" s="1579">
        <f>(H97-H101)/H101</f>
        <v>0.8581640700201848</v>
      </c>
    </row>
    <row r="103" spans="2:9">
      <c r="B103" s="70" t="s">
        <v>1044</v>
      </c>
      <c r="C103" s="1579">
        <f>C102/10</f>
        <v>0.12233060069501087</v>
      </c>
      <c r="G103" s="70" t="s">
        <v>1044</v>
      </c>
      <c r="H103" s="1579">
        <f>H102/10</f>
        <v>8.581640700201848E-2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73400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14680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88080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88080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88080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50.5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50.5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1934287.5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35917692.28797999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35917600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16574774.700154398</v>
      </c>
    </row>
    <row r="15" spans="2:36">
      <c r="B15" s="556"/>
      <c r="C15" s="560" t="s">
        <v>633</v>
      </c>
      <c r="H15" s="561">
        <f>12*PMT(Data!C24/12,Data!C29*12,-'Debt Calc'!H14)</f>
        <v>1934282.5299845608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997144.83332359046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997144.83332359046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35917600</v>
      </c>
      <c r="E21" s="561">
        <f>$H$15</f>
        <v>1934282.5299845608</v>
      </c>
      <c r="F21" s="561">
        <f>E21-G21</f>
        <v>-2.7939677238464355E-9</v>
      </c>
      <c r="G21" s="561">
        <f>D21-H21</f>
        <v>1934282.5299845636</v>
      </c>
      <c r="H21" s="561">
        <f>D21-E21</f>
        <v>33983317.470015436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33983317.470015436</v>
      </c>
      <c r="E22" s="561">
        <f t="shared" ref="E22:E50" si="1">$H$15</f>
        <v>1934282.5299845608</v>
      </c>
      <c r="F22" s="561">
        <f t="shared" ref="F22:F50" si="2">E22-G22</f>
        <v>0</v>
      </c>
      <c r="G22" s="561">
        <f t="shared" ref="G22:G50" si="3">D22-H22</f>
        <v>1934282.5299845599</v>
      </c>
      <c r="H22" s="561">
        <f t="shared" ref="H22:H39" si="4">D22-E22</f>
        <v>32049034.940030877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32049034.940030877</v>
      </c>
      <c r="E23" s="561">
        <f t="shared" si="1"/>
        <v>1934282.5299845608</v>
      </c>
      <c r="F23" s="561">
        <f t="shared" si="2"/>
        <v>0</v>
      </c>
      <c r="G23" s="561">
        <f t="shared" si="3"/>
        <v>1934282.5299845599</v>
      </c>
      <c r="H23" s="561">
        <f t="shared" si="4"/>
        <v>30114752.410046317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30114752.410046317</v>
      </c>
      <c r="E24" s="561">
        <f t="shared" si="1"/>
        <v>1934282.5299845608</v>
      </c>
      <c r="F24" s="561">
        <f t="shared" si="2"/>
        <v>0</v>
      </c>
      <c r="G24" s="561">
        <f t="shared" si="3"/>
        <v>1934282.5299845599</v>
      </c>
      <c r="H24" s="561">
        <f t="shared" si="4"/>
        <v>28180469.880061757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28180469.880061757</v>
      </c>
      <c r="E25" s="561">
        <f t="shared" si="1"/>
        <v>1934282.5299845608</v>
      </c>
      <c r="F25" s="561">
        <f t="shared" si="2"/>
        <v>0</v>
      </c>
      <c r="G25" s="561">
        <f t="shared" si="3"/>
        <v>1934282.5299845599</v>
      </c>
      <c r="H25" s="561">
        <f t="shared" si="4"/>
        <v>26246187.350077197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26246187.350077197</v>
      </c>
      <c r="E26" s="561">
        <f t="shared" si="1"/>
        <v>1934282.5299845608</v>
      </c>
      <c r="F26" s="561">
        <f t="shared" si="2"/>
        <v>0</v>
      </c>
      <c r="G26" s="561">
        <f t="shared" si="3"/>
        <v>1934282.5299845599</v>
      </c>
      <c r="H26" s="561">
        <f t="shared" si="4"/>
        <v>24311904.820092637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24311904.820092637</v>
      </c>
      <c r="E27" s="561">
        <f t="shared" si="1"/>
        <v>1934282.5299845608</v>
      </c>
      <c r="F27" s="561">
        <f t="shared" si="2"/>
        <v>0</v>
      </c>
      <c r="G27" s="561">
        <f t="shared" si="3"/>
        <v>1934282.5299845599</v>
      </c>
      <c r="H27" s="561">
        <f t="shared" si="4"/>
        <v>22377622.290108077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22377622.290108077</v>
      </c>
      <c r="E28" s="561">
        <f t="shared" si="1"/>
        <v>1934282.5299845608</v>
      </c>
      <c r="F28" s="561">
        <f t="shared" si="2"/>
        <v>0</v>
      </c>
      <c r="G28" s="561">
        <f t="shared" si="3"/>
        <v>1934282.5299845599</v>
      </c>
      <c r="H28" s="561">
        <f t="shared" si="4"/>
        <v>20443339.760123517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20443339.760123517</v>
      </c>
      <c r="E29" s="561">
        <f t="shared" si="1"/>
        <v>1934282.5299845608</v>
      </c>
      <c r="F29" s="561">
        <f t="shared" si="2"/>
        <v>0</v>
      </c>
      <c r="G29" s="561">
        <f t="shared" si="3"/>
        <v>1934282.5299845599</v>
      </c>
      <c r="H29" s="561">
        <f t="shared" si="4"/>
        <v>18509057.230138958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18509057.230138958</v>
      </c>
      <c r="E30" s="561">
        <f t="shared" si="1"/>
        <v>1934282.5299845608</v>
      </c>
      <c r="F30" s="561">
        <f t="shared" si="2"/>
        <v>0</v>
      </c>
      <c r="G30" s="561">
        <f t="shared" si="3"/>
        <v>1934282.5299845599</v>
      </c>
      <c r="H30" s="561">
        <f>D30-E30</f>
        <v>16574774.700154398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16574774.700154398</v>
      </c>
      <c r="E31" s="561">
        <f t="shared" si="1"/>
        <v>1934282.5299845608</v>
      </c>
      <c r="F31" s="561">
        <f t="shared" si="2"/>
        <v>0</v>
      </c>
      <c r="G31" s="561">
        <f t="shared" si="3"/>
        <v>1934282.5299845599</v>
      </c>
      <c r="H31" s="561">
        <f t="shared" si="4"/>
        <v>14640492.170169838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14640492.170169838</v>
      </c>
      <c r="E32" s="561">
        <f t="shared" si="1"/>
        <v>1934282.5299845608</v>
      </c>
      <c r="F32" s="561">
        <f t="shared" si="2"/>
        <v>0</v>
      </c>
      <c r="G32" s="561">
        <f t="shared" si="3"/>
        <v>1934282.5299845599</v>
      </c>
      <c r="H32" s="561">
        <f t="shared" si="4"/>
        <v>12706209.640185278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12706209.640185278</v>
      </c>
      <c r="E33" s="561">
        <f t="shared" si="1"/>
        <v>1934282.5299845608</v>
      </c>
      <c r="F33" s="561">
        <f t="shared" si="2"/>
        <v>0</v>
      </c>
      <c r="G33" s="561">
        <f t="shared" si="3"/>
        <v>1934282.5299845599</v>
      </c>
      <c r="H33" s="561">
        <f t="shared" si="4"/>
        <v>10771927.110200718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10771927.110200718</v>
      </c>
      <c r="E34" s="561">
        <f t="shared" si="1"/>
        <v>1934282.5299845608</v>
      </c>
      <c r="F34" s="561">
        <f t="shared" si="2"/>
        <v>0</v>
      </c>
      <c r="G34" s="561">
        <f t="shared" si="3"/>
        <v>1934282.5299845599</v>
      </c>
      <c r="H34" s="561">
        <f t="shared" si="4"/>
        <v>8837644.5802161582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8837644.5802161582</v>
      </c>
      <c r="E35" s="561">
        <f t="shared" si="1"/>
        <v>1934282.5299845608</v>
      </c>
      <c r="F35" s="561">
        <f t="shared" si="2"/>
        <v>0</v>
      </c>
      <c r="G35" s="561">
        <f t="shared" si="3"/>
        <v>1934282.5299845608</v>
      </c>
      <c r="H35" s="561">
        <f t="shared" si="4"/>
        <v>6903362.0502315974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6903362.0502315974</v>
      </c>
      <c r="E36" s="561">
        <f t="shared" si="1"/>
        <v>1934282.5299845608</v>
      </c>
      <c r="F36" s="561">
        <f t="shared" si="2"/>
        <v>0</v>
      </c>
      <c r="G36" s="561">
        <f t="shared" si="3"/>
        <v>1934282.5299845608</v>
      </c>
      <c r="H36" s="561">
        <f t="shared" si="4"/>
        <v>4969079.5202470366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4969079.5202470366</v>
      </c>
      <c r="E37" s="561">
        <f t="shared" si="1"/>
        <v>1934282.5299845608</v>
      </c>
      <c r="F37" s="561">
        <f t="shared" si="2"/>
        <v>0</v>
      </c>
      <c r="G37" s="561">
        <f t="shared" si="3"/>
        <v>1934282.5299845608</v>
      </c>
      <c r="H37" s="561">
        <f t="shared" si="4"/>
        <v>3034796.9902624758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3034796.9902624758</v>
      </c>
      <c r="E38" s="561">
        <f t="shared" si="1"/>
        <v>1934282.5299845608</v>
      </c>
      <c r="F38" s="561">
        <f t="shared" si="2"/>
        <v>0</v>
      </c>
      <c r="G38" s="561">
        <f t="shared" si="3"/>
        <v>1934282.5299845608</v>
      </c>
      <c r="H38" s="561">
        <f>D38-E38</f>
        <v>1100514.460277915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1100514.460277915</v>
      </c>
      <c r="E39" s="561">
        <f t="shared" si="1"/>
        <v>1934282.5299845608</v>
      </c>
      <c r="F39" s="561">
        <f t="shared" si="2"/>
        <v>0</v>
      </c>
      <c r="G39" s="561">
        <f t="shared" si="3"/>
        <v>1934282.5299845608</v>
      </c>
      <c r="H39" s="561">
        <f t="shared" si="4"/>
        <v>-833768.06970664579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-833768.06970664579</v>
      </c>
      <c r="E40" s="561">
        <f t="shared" si="1"/>
        <v>1934282.5299845608</v>
      </c>
      <c r="F40" s="561">
        <f t="shared" si="2"/>
        <v>2768050.5996912066</v>
      </c>
      <c r="G40" s="561">
        <f t="shared" si="3"/>
        <v>-833768.06970664579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1934282.5299845608</v>
      </c>
      <c r="F41" s="561">
        <f t="shared" si="2"/>
        <v>1934282.5299845608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1934282.5299845608</v>
      </c>
      <c r="F42" s="561">
        <f t="shared" si="2"/>
        <v>1934282.5299845608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1934282.5299845608</v>
      </c>
      <c r="F43" s="561">
        <f t="shared" si="2"/>
        <v>1934282.5299845608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1934282.5299845608</v>
      </c>
      <c r="F44" s="561">
        <f t="shared" si="2"/>
        <v>1934282.5299845608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1934282.5299845608</v>
      </c>
      <c r="F45" s="561">
        <f t="shared" si="2"/>
        <v>1934282.5299845608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1934282.5299845608</v>
      </c>
      <c r="F46" s="561">
        <f t="shared" si="2"/>
        <v>1934282.5299845608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1934282.5299845608</v>
      </c>
      <c r="F47" s="561">
        <f t="shared" si="2"/>
        <v>1934282.5299845608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1934282.5299845608</v>
      </c>
      <c r="F48" s="561">
        <f t="shared" si="2"/>
        <v>1934282.5299845608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1934282.5299845608</v>
      </c>
      <c r="F49" s="561">
        <f t="shared" si="2"/>
        <v>1934282.5299845608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1934282.5299845608</v>
      </c>
      <c r="F50" s="561">
        <f t="shared" si="2"/>
        <v>1934282.5299845608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68594590.024532393</v>
      </c>
      <c r="F55" s="561"/>
      <c r="G55" s="1663" t="s">
        <v>1063</v>
      </c>
      <c r="H55" s="1667">
        <f>'Cash Flow'!N15/0.05</f>
        <v>73868870.923137441</v>
      </c>
    </row>
    <row r="56" spans="2:28">
      <c r="D56" s="1653" t="s">
        <v>1064</v>
      </c>
      <c r="E56" s="1665">
        <f>'Cash Flow'!K21/1.2</f>
        <v>2212083.97788487</v>
      </c>
      <c r="F56" s="561"/>
      <c r="G56" s="1661" t="s">
        <v>1064</v>
      </c>
      <c r="H56" s="1668">
        <f>'Cash Flow'!N21/1.2</f>
        <v>2364356.4584025471</v>
      </c>
    </row>
    <row r="57" spans="2:28">
      <c r="D57" s="1653" t="s">
        <v>1065</v>
      </c>
      <c r="E57" s="1665">
        <f>E55*0.6</f>
        <v>41156754.014719434</v>
      </c>
      <c r="F57" s="561"/>
      <c r="G57" s="1661" t="s">
        <v>1065</v>
      </c>
      <c r="H57" s="1668">
        <f>H55*0.6</f>
        <v>44321322.553882465</v>
      </c>
    </row>
    <row r="58" spans="2:28">
      <c r="D58" s="1653" t="s">
        <v>1066</v>
      </c>
      <c r="E58" s="1665">
        <f>-PV(4%,34,E56)</f>
        <v>40727115.580977969</v>
      </c>
      <c r="F58" s="561"/>
      <c r="G58" s="1661" t="s">
        <v>1066</v>
      </c>
      <c r="H58" s="1668">
        <f>-PV(4%,30,H56)</f>
        <v>40884530.613338001</v>
      </c>
    </row>
    <row r="59" spans="2:28">
      <c r="D59" s="1652" t="s">
        <v>1067</v>
      </c>
      <c r="E59" s="1665">
        <f>E58-H27</f>
        <v>18349493.290869892</v>
      </c>
      <c r="F59" s="561"/>
      <c r="G59" s="1660" t="s">
        <v>1067</v>
      </c>
      <c r="H59" s="1668">
        <f>H58-H30</f>
        <v>24309755.913183603</v>
      </c>
    </row>
    <row r="60" spans="2:28" ht="13.5" thickBot="1">
      <c r="D60" s="1654" t="s">
        <v>1068</v>
      </c>
      <c r="E60" s="1666">
        <f>E59*GapCalc!I33</f>
        <v>15597069.297239408</v>
      </c>
      <c r="F60" s="561"/>
      <c r="G60" s="1662" t="s">
        <v>1068</v>
      </c>
      <c r="H60" s="1669">
        <f>H59*GapCalc!I33</f>
        <v>20663292.526206061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26424000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0</v>
      </c>
      <c r="C7" s="1417">
        <f>C4*E4</f>
        <v>316928.92751999997</v>
      </c>
      <c r="D7" s="1409">
        <f>(1-'Rental Income'!O19)</f>
        <v>0.40594059405940597</v>
      </c>
    </row>
    <row r="8" spans="1:5">
      <c r="A8" s="1410" t="s">
        <v>979</v>
      </c>
      <c r="B8" s="1417">
        <f>B7*D7</f>
        <v>0</v>
      </c>
      <c r="C8" s="1417">
        <f>C7*D7</f>
        <v>128654.31711207921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128654.31711207921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0</v>
      </c>
    </row>
    <row r="14" spans="1:5">
      <c r="A14" t="s">
        <v>991</v>
      </c>
      <c r="B14">
        <v>24</v>
      </c>
      <c r="C14" s="1425">
        <f>C3*(E3/12)*B14</f>
        <v>0</v>
      </c>
    </row>
    <row r="15" spans="1:5">
      <c r="A15" s="40" t="s">
        <v>993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3107520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-155655</v>
      </c>
      <c r="E18" s="50"/>
      <c r="F18" s="55">
        <v>0.05</v>
      </c>
    </row>
    <row r="19" spans="1:25">
      <c r="A19" s="40" t="s">
        <v>164</v>
      </c>
      <c r="D19" s="57">
        <f>SUM(D15:D18)</f>
        <v>2957445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52686.5</v>
      </c>
      <c r="E22" s="48">
        <v>1043</v>
      </c>
      <c r="F22" s="453" t="s">
        <v>171</v>
      </c>
      <c r="N22" s="428">
        <f>D22*0.8</f>
        <v>42149.200000000004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173</v>
      </c>
      <c r="D23" s="48">
        <f>(E23*$D$10-20)/2</f>
        <v>67357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9423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59429.279999999999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182</v>
      </c>
      <c r="D26" s="51">
        <f>SUM(D22:D25)</f>
        <v>188895.78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18786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10100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191</v>
      </c>
      <c r="D31" s="48">
        <f>E31*$D$10</f>
        <v>16564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193</v>
      </c>
      <c r="C32" s="43"/>
      <c r="D32" s="50">
        <f>E32*$D$10</f>
        <v>3030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48480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53530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201</v>
      </c>
      <c r="D37" s="48">
        <f>E37*$D$10</f>
        <v>79790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42521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175841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37269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26816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39996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13736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85850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5555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174177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128654.31711207921</v>
      </c>
      <c r="Y56" s="1309">
        <f>X56/'Rental Income'!D15</f>
        <v>1273.8051199215763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1088.5369710891089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84840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396.03960396039605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201238.45044541254</v>
      </c>
    </row>
    <row r="65" spans="1:25">
      <c r="B65" t="s">
        <v>249</v>
      </c>
      <c r="D65" s="48">
        <f>E65*$D$10</f>
        <v>15150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151990</v>
      </c>
      <c r="E67" s="48">
        <f>SUM(E62:E66)</f>
        <v>1571.0396039603961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30300</v>
      </c>
      <c r="E69" s="426">
        <v>300</v>
      </c>
    </row>
    <row r="70" spans="1:25">
      <c r="V70" s="40" t="s">
        <v>255</v>
      </c>
      <c r="X70" s="1307">
        <f>SUM(X68,X64,X54,X39,X31)</f>
        <v>512640.82377874583</v>
      </c>
      <c r="Y70" s="1307">
        <f>X70/D10</f>
        <v>5075.6517205816417</v>
      </c>
    </row>
    <row r="71" spans="1:25">
      <c r="A71" s="40" t="s">
        <v>256</v>
      </c>
      <c r="D71" s="48">
        <f>E71*$D$10</f>
        <v>50500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-924.34827941835829</v>
      </c>
    </row>
    <row r="75" spans="1:25">
      <c r="A75" s="44" t="s">
        <v>259</v>
      </c>
      <c r="B75" s="45"/>
      <c r="C75" s="45"/>
      <c r="D75" s="52">
        <f>D19-D73</f>
        <v>1963233.9859199999</v>
      </c>
      <c r="E75" s="52">
        <f>D75/D10</f>
        <v>19437.960256633662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88080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33180000</v>
      </c>
      <c r="C7" s="465">
        <f>'Dev Summary_5-20'!B8</f>
        <v>3190331</v>
      </c>
      <c r="D7" s="465">
        <f t="shared" ref="D7:D14" si="0">B7-C7</f>
        <v>29989669</v>
      </c>
      <c r="E7" s="477">
        <f t="shared" ref="E7:E15" si="1">D7/B7</f>
        <v>0.90384776974080772</v>
      </c>
      <c r="F7" s="477"/>
      <c r="G7" s="472" t="e">
        <f t="shared" ref="G7:G14" si="2">B7/$B$15</f>
        <v>#REF!</v>
      </c>
      <c r="I7" s="147">
        <f>B7/$H$4</f>
        <v>301636.36363636365</v>
      </c>
      <c r="J7" s="53">
        <f>B7/$H$5</f>
        <v>376.70299727520438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187321.16073915965</v>
      </c>
      <c r="C9" s="446">
        <f>'Dev Summary_5-20'!B10</f>
        <v>50000</v>
      </c>
      <c r="D9" s="446">
        <f t="shared" si="0"/>
        <v>137321.16073915965</v>
      </c>
      <c r="E9" s="477">
        <f t="shared" si="1"/>
        <v>0.73307874133011686</v>
      </c>
      <c r="F9" s="477"/>
      <c r="G9" s="473" t="e">
        <f t="shared" si="2"/>
        <v>#REF!</v>
      </c>
      <c r="I9" s="53">
        <f t="shared" si="3"/>
        <v>1702.9196430832694</v>
      </c>
      <c r="J9" s="53">
        <f t="shared" si="4"/>
        <v>2.1267161755127115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0.36330608537693004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264475</v>
      </c>
      <c r="C14" s="467">
        <f>'Dev Summary_5-20'!B14</f>
        <v>282276.62941911275</v>
      </c>
      <c r="D14" s="467">
        <f t="shared" si="0"/>
        <v>-17801.629419112753</v>
      </c>
      <c r="E14" s="478">
        <f t="shared" si="1"/>
        <v>-6.7309308702572082E-2</v>
      </c>
      <c r="F14" s="478"/>
      <c r="G14" s="474" t="e">
        <f t="shared" si="2"/>
        <v>#REF!</v>
      </c>
      <c r="I14" s="53">
        <f t="shared" si="3"/>
        <v>2404.318181818182</v>
      </c>
      <c r="J14" s="53">
        <f t="shared" si="4"/>
        <v>3.0026680290644867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35917692.28797999</v>
      </c>
      <c r="C21" s="48">
        <v>18731659</v>
      </c>
      <c r="D21" s="48">
        <f>B21-C21</f>
        <v>17186033.28797999</v>
      </c>
      <c r="E21" s="55">
        <f>D21/B21</f>
        <v>0.47848378315027135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5603291.1299180314</v>
      </c>
      <c r="C28" s="50"/>
      <c r="D28" s="50">
        <f t="shared" si="5"/>
        <v>5603291.1299180314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36498000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33348.200000000004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30013.380000000005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284572.41666666663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36498000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8394.5400000000009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356328.53666666662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29198400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41173.783880000003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29198400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48261.283880000003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455</v>
      </c>
      <c r="B5" s="1763"/>
      <c r="C5" s="1763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469</v>
      </c>
      <c r="B5" s="1763"/>
      <c r="C5" s="1763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396360</v>
      </c>
      <c r="E10" s="748">
        <f>'PreDev Flow of Funds'!Y10+'PreDev Flow of Funds'!Y12</f>
        <v>1395966</v>
      </c>
      <c r="F10" s="748">
        <f>(D10-E10)/18</f>
        <v>-55533.666666666664</v>
      </c>
      <c r="G10" s="748">
        <f>$F$10</f>
        <v>-55533.666666666664</v>
      </c>
      <c r="H10" s="748">
        <f t="shared" ref="H10:W10" si="2">$F$10</f>
        <v>-55533.666666666664</v>
      </c>
      <c r="I10" s="748">
        <f t="shared" si="2"/>
        <v>-55533.666666666664</v>
      </c>
      <c r="J10" s="748">
        <f t="shared" si="2"/>
        <v>-55533.666666666664</v>
      </c>
      <c r="K10" s="748">
        <f t="shared" si="2"/>
        <v>-55533.666666666664</v>
      </c>
      <c r="L10" s="748">
        <f t="shared" si="2"/>
        <v>-55533.666666666664</v>
      </c>
      <c r="M10" s="748">
        <f t="shared" si="2"/>
        <v>-55533.666666666664</v>
      </c>
      <c r="N10" s="748">
        <f t="shared" si="2"/>
        <v>-55533.666666666664</v>
      </c>
      <c r="O10" s="748">
        <f t="shared" si="2"/>
        <v>-55533.666666666664</v>
      </c>
      <c r="P10" s="748">
        <f t="shared" si="2"/>
        <v>-55533.666666666664</v>
      </c>
      <c r="Q10" s="748">
        <f t="shared" si="2"/>
        <v>-55533.666666666664</v>
      </c>
      <c r="R10" s="748">
        <f t="shared" si="2"/>
        <v>-55533.666666666664</v>
      </c>
      <c r="S10" s="748">
        <f t="shared" si="2"/>
        <v>-55533.666666666664</v>
      </c>
      <c r="T10" s="748">
        <f t="shared" si="2"/>
        <v>-55533.666666666664</v>
      </c>
      <c r="U10" s="748">
        <f t="shared" si="2"/>
        <v>-55533.666666666664</v>
      </c>
      <c r="V10" s="748">
        <f t="shared" si="2"/>
        <v>-55533.666666666664</v>
      </c>
      <c r="W10" s="748">
        <f t="shared" si="2"/>
        <v>-55533.666666666664</v>
      </c>
      <c r="X10" s="748"/>
      <c r="Y10" s="748">
        <f>SUM(E10:W10)</f>
        <v>396359.99999999983</v>
      </c>
    </row>
    <row r="11" spans="1:25" ht="15">
      <c r="A11" s="402"/>
      <c r="B11" s="403" t="s">
        <v>387</v>
      </c>
      <c r="C11" s="748"/>
      <c r="D11" s="748">
        <f>'Development Budget'!G41</f>
        <v>396360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33180000</v>
      </c>
      <c r="E13" s="748">
        <f>'PreDev Flow of Funds'!Y14</f>
        <v>69798.3</v>
      </c>
      <c r="F13" s="748">
        <f>(D13-E13)/18</f>
        <v>1839455.65</v>
      </c>
      <c r="G13" s="748">
        <f>$F$13</f>
        <v>1839455.65</v>
      </c>
      <c r="H13" s="748">
        <f t="shared" ref="H13:W13" si="5">$F$13</f>
        <v>1839455.65</v>
      </c>
      <c r="I13" s="748">
        <f t="shared" si="5"/>
        <v>1839455.65</v>
      </c>
      <c r="J13" s="748">
        <f t="shared" si="5"/>
        <v>1839455.65</v>
      </c>
      <c r="K13" s="748">
        <f t="shared" si="5"/>
        <v>1839455.65</v>
      </c>
      <c r="L13" s="748">
        <f t="shared" si="5"/>
        <v>1839455.65</v>
      </c>
      <c r="M13" s="748">
        <f t="shared" si="5"/>
        <v>1839455.65</v>
      </c>
      <c r="N13" s="748">
        <f t="shared" si="5"/>
        <v>1839455.65</v>
      </c>
      <c r="O13" s="748">
        <f t="shared" si="5"/>
        <v>1839455.65</v>
      </c>
      <c r="P13" s="748">
        <f t="shared" si="5"/>
        <v>1839455.65</v>
      </c>
      <c r="Q13" s="748">
        <f t="shared" si="5"/>
        <v>1839455.65</v>
      </c>
      <c r="R13" s="748">
        <f t="shared" si="5"/>
        <v>1839455.65</v>
      </c>
      <c r="S13" s="748">
        <f t="shared" si="5"/>
        <v>1839455.65</v>
      </c>
      <c r="T13" s="748">
        <f t="shared" si="5"/>
        <v>1839455.65</v>
      </c>
      <c r="U13" s="748">
        <f t="shared" si="5"/>
        <v>1839455.65</v>
      </c>
      <c r="V13" s="748">
        <f t="shared" si="5"/>
        <v>1839455.65</v>
      </c>
      <c r="W13" s="748">
        <f t="shared" si="5"/>
        <v>1839455.65</v>
      </c>
      <c r="X13" s="748"/>
      <c r="Y13" s="748">
        <f t="shared" si="3"/>
        <v>33179999.999999989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33180000</v>
      </c>
      <c r="E15" s="748">
        <f>'PreDev Flow of Funds'!Y16+'PreDev Flow of Funds'!Y17+'PreDev Flow of Funds'!Y19</f>
        <v>72500</v>
      </c>
      <c r="F15" s="748">
        <f>(D15-E15)/18</f>
        <v>1839305.5555555555</v>
      </c>
      <c r="G15" s="748">
        <f>$F$15</f>
        <v>1839305.5555555555</v>
      </c>
      <c r="H15" s="748">
        <f t="shared" ref="H15:W15" si="7">$F$15</f>
        <v>1839305.5555555555</v>
      </c>
      <c r="I15" s="748">
        <f t="shared" si="7"/>
        <v>1839305.5555555555</v>
      </c>
      <c r="J15" s="748">
        <f t="shared" si="7"/>
        <v>1839305.5555555555</v>
      </c>
      <c r="K15" s="748">
        <f t="shared" si="7"/>
        <v>1839305.5555555555</v>
      </c>
      <c r="L15" s="748">
        <f t="shared" si="7"/>
        <v>1839305.5555555555</v>
      </c>
      <c r="M15" s="748">
        <f t="shared" si="7"/>
        <v>1839305.5555555555</v>
      </c>
      <c r="N15" s="748">
        <f t="shared" si="7"/>
        <v>1839305.5555555555</v>
      </c>
      <c r="O15" s="748">
        <f t="shared" si="7"/>
        <v>1839305.5555555555</v>
      </c>
      <c r="P15" s="748">
        <f t="shared" si="7"/>
        <v>1839305.5555555555</v>
      </c>
      <c r="Q15" s="748">
        <f t="shared" si="7"/>
        <v>1839305.5555555555</v>
      </c>
      <c r="R15" s="748">
        <f t="shared" si="7"/>
        <v>1839305.5555555555</v>
      </c>
      <c r="S15" s="748">
        <f t="shared" si="7"/>
        <v>1839305.5555555555</v>
      </c>
      <c r="T15" s="748">
        <f t="shared" si="7"/>
        <v>1839305.5555555555</v>
      </c>
      <c r="U15" s="748">
        <f t="shared" si="7"/>
        <v>1839305.5555555555</v>
      </c>
      <c r="V15" s="748">
        <f t="shared" si="7"/>
        <v>1839305.5555555555</v>
      </c>
      <c r="W15" s="748">
        <f t="shared" si="7"/>
        <v>1839305.5555555555</v>
      </c>
      <c r="X15" s="748"/>
      <c r="Y15" s="748">
        <f t="shared" si="3"/>
        <v>33180000.000000004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26424000</v>
      </c>
      <c r="E33" s="748">
        <v>0</v>
      </c>
      <c r="F33" s="748">
        <f>D33</f>
        <v>26424000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26424000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82950</v>
      </c>
      <c r="E43" s="748">
        <f>D43</f>
        <v>82950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82950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273950</v>
      </c>
      <c r="E52" s="748">
        <f>D52</f>
        <v>273950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273950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264475</v>
      </c>
      <c r="E58" s="748">
        <f>'PreDev Flow of Funds'!Y46</f>
        <v>96238.814999999988</v>
      </c>
      <c r="F58" s="748">
        <f>(D58-E58)/18</f>
        <v>9346.4547222222227</v>
      </c>
      <c r="G58" s="748">
        <f>$F$58</f>
        <v>9346.4547222222227</v>
      </c>
      <c r="H58" s="748">
        <f t="shared" ref="H58:W58" si="18">$F$58</f>
        <v>9346.4547222222227</v>
      </c>
      <c r="I58" s="748">
        <f t="shared" si="18"/>
        <v>9346.4547222222227</v>
      </c>
      <c r="J58" s="748">
        <f t="shared" si="18"/>
        <v>9346.4547222222227</v>
      </c>
      <c r="K58" s="748">
        <f t="shared" si="18"/>
        <v>9346.4547222222227</v>
      </c>
      <c r="L58" s="748">
        <f t="shared" si="18"/>
        <v>9346.4547222222227</v>
      </c>
      <c r="M58" s="748">
        <f t="shared" si="18"/>
        <v>9346.4547222222227</v>
      </c>
      <c r="N58" s="748">
        <f t="shared" si="18"/>
        <v>9346.4547222222227</v>
      </c>
      <c r="O58" s="748">
        <f t="shared" si="18"/>
        <v>9346.4547222222227</v>
      </c>
      <c r="P58" s="748">
        <f t="shared" si="18"/>
        <v>9346.4547222222227</v>
      </c>
      <c r="Q58" s="748">
        <f t="shared" si="18"/>
        <v>9346.4547222222227</v>
      </c>
      <c r="R58" s="748">
        <f t="shared" si="18"/>
        <v>9346.4547222222227</v>
      </c>
      <c r="S58" s="748">
        <f t="shared" si="18"/>
        <v>9346.4547222222227</v>
      </c>
      <c r="T58" s="748">
        <f t="shared" si="18"/>
        <v>9346.4547222222227</v>
      </c>
      <c r="U58" s="748">
        <f t="shared" si="18"/>
        <v>9346.4547222222227</v>
      </c>
      <c r="V58" s="748">
        <f t="shared" si="18"/>
        <v>9346.4547222222227</v>
      </c>
      <c r="W58" s="748">
        <f t="shared" si="18"/>
        <v>9346.4547222222227</v>
      </c>
      <c r="X58" s="748"/>
      <c r="Y58" s="748">
        <f t="shared" si="3"/>
        <v>264475.00000000012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187321.16073915965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15202053.074999997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30314401.158061959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-13208871.647233456</v>
      </c>
      <c r="E87" s="749">
        <f>E80-E84-E85-E86-E88-E89-E90-E91</f>
        <v>360899.99999999627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15202053.074999997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2"/>
      <c r="B5" s="1763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4"/>
      <c r="B6" s="1766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4"/>
      <c r="B40" s="1766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4"/>
      <c r="B73" s="1765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7" t="s">
        <v>589</v>
      </c>
      <c r="D74" s="1768"/>
      <c r="E74" s="1768"/>
      <c r="F74" s="1768"/>
      <c r="G74" s="1768"/>
      <c r="H74" s="1768"/>
      <c r="I74" s="1769"/>
      <c r="J74" s="1770" t="s">
        <v>582</v>
      </c>
      <c r="K74" s="1771"/>
      <c r="L74" s="1771"/>
      <c r="M74" s="1771"/>
      <c r="N74" s="1771"/>
      <c r="O74" s="1772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-1355942.0774999999</v>
      </c>
      <c r="K103" s="162">
        <f>J103+(C116*0.25)/2</f>
        <v>-2711884.1549999998</v>
      </c>
      <c r="L103" s="162">
        <f>K103+((C116-K103)/4)</f>
        <v>-4745797.2712500002</v>
      </c>
      <c r="M103" s="162">
        <f>L103+((C116-K103)/4)</f>
        <v>-6779710.3875000002</v>
      </c>
      <c r="N103" s="162">
        <f>M103+((C116-K103)/4)</f>
        <v>-8813623.5037500001</v>
      </c>
      <c r="O103" s="162">
        <f>N103+((C116-K103)/4)</f>
        <v>-10847536.620000001</v>
      </c>
      <c r="P103" s="162">
        <f>O103</f>
        <v>-10847536.620000001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10003946.740833333</v>
      </c>
      <c r="K104" s="371">
        <f>((C117-1033493)/6)+J104</f>
        <v>20007893.481666666</v>
      </c>
      <c r="L104" s="371">
        <f>((C117-1033493)/6)+K104</f>
        <v>30011840.222499996</v>
      </c>
      <c r="M104" s="371">
        <f>((C117-1033493)/6)+L104</f>
        <v>40015786.963333331</v>
      </c>
      <c r="N104" s="371">
        <f>((C117-1033493)/6)+M104</f>
        <v>50019733.704166666</v>
      </c>
      <c r="O104" s="371">
        <f>((C117-1033493)/6)+N104</f>
        <v>60023680.445</v>
      </c>
      <c r="P104" s="371">
        <f>(286645+100000+646848)+O104</f>
        <v>61057173.445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8648004.6633333322</v>
      </c>
      <c r="K110" s="371">
        <f t="shared" ref="K110:P110" si="9">SUM(K103:K104)</f>
        <v>17296009.326666664</v>
      </c>
      <c r="L110" s="371">
        <f t="shared" si="9"/>
        <v>25266042.951249994</v>
      </c>
      <c r="M110" s="371">
        <f t="shared" si="9"/>
        <v>33236076.575833332</v>
      </c>
      <c r="N110" s="371">
        <f t="shared" si="9"/>
        <v>41206110.200416669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5">
        <f>'PreDev Flow of Funds'!D47</f>
        <v>14824249.954999998</v>
      </c>
      <c r="D114" s="1774"/>
    </row>
    <row r="115" spans="2:19">
      <c r="B115" s="397" t="s">
        <v>600</v>
      </c>
      <c r="C115" s="1776">
        <f>M102</f>
        <v>1323400.22</v>
      </c>
      <c r="D115" s="1774"/>
    </row>
    <row r="116" spans="2:19">
      <c r="B116" s="397" t="s">
        <v>582</v>
      </c>
      <c r="C116" s="1776">
        <f>'Development Budget'!G37-Predevelopment!D27-Predevelopment!D28-Predevelopment!D29-Timeline!M102-Predevelopment!D17</f>
        <v>-10847536.619999999</v>
      </c>
      <c r="D116" s="1774"/>
    </row>
    <row r="117" spans="2:19" ht="16.5" thickBot="1">
      <c r="B117" s="398" t="s">
        <v>601</v>
      </c>
      <c r="C117" s="1777">
        <f>C118-C114-C116-C115</f>
        <v>61057173.445</v>
      </c>
      <c r="D117" s="1778"/>
    </row>
    <row r="118" spans="2:19" ht="16.5" thickTop="1">
      <c r="B118" s="368" t="s">
        <v>585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