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All Policy Inputs\"/>
    </mc:Choice>
  </mc:AlternateContent>
  <xr:revisionPtr revIDLastSave="0" documentId="13_ncr:1_{00456A02-F65B-4D85-A9E1-EFADED4B8B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1" i="1" l="1"/>
  <c r="M116" i="1"/>
  <c r="M117" i="1"/>
  <c r="D24" i="6"/>
  <c r="M163" i="1"/>
  <c r="E35" i="1"/>
  <c r="D37" i="2" l="1"/>
  <c r="D40" i="28" s="1"/>
  <c r="I59" i="2" l="1"/>
  <c r="D50" i="10"/>
  <c r="D42" i="28" l="1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C27" i="6" s="1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D30" i="6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<sst xmlns="http://schemas.openxmlformats.org/spreadsheetml/2006/main" count="1995" uniqueCount="1105">
  <si>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</si>
  <si>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</si>
  <si>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</si>
  <si>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</si>
  <si>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</si>
  <si>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</si>
  <si>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</si>
  <si>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</si>
  <si>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</si>
  <si>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</si>
  <si>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</si>
  <si>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</si>
  <si>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</si>
  <si>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</si>
  <si>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</si>
  <si>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</si>
  <si>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</si>
  <si>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</si>
  <si>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</si>
  <si>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</si>
  <si>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</si>
  <si>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</si>
  <si>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</si>
  <si>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</si>
  <si>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</si>
  <si>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</si>
  <si>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</si>
  <si>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</si>
  <si>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</si>
  <si>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</si>
  <si>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</si>
  <si>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</si>
  <si>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</si>
  <si>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</si>
  <si>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</si>
  <si>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</si>
  <si>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</si>
  <si>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</si>
  <si>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</si>
  <si>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</si>
  <si>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</si>
  <si>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</si>
  <si>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</si>
  <si>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</si>
  <si>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</si>
  <si>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</si>
  <si>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</si>
  <si>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</si>
  <si>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</si>
  <si>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</si>
  <si>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</si>
  <si>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</si>
  <si>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</si>
  <si>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</si>
  <si>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</si>
  <si>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</si>
  <si>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</si>
  <si>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</si>
  <si>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</si>
  <si>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</si>
  <si>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</si>
  <si>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</si>
  <si>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</si>
  <si>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</si>
  <si>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</si>
  <si>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</si>
  <si>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</si>
  <si>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</si>
  <si>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</si>
  <si>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</si>
  <si>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</si>
  <si>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</si>
  <si>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</si>
  <si>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</si>
  <si>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</si>
  <si>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</si>
  <si>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</si>
  <si>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</si>
  <si>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</si>
  <si>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</si>
  <si>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</si>
  <si>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</si>
  <si>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</si>
  <si>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</si>
  <si>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</si>
  <si>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</si>
  <si>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</si>
  <si>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</si>
  <si>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</si>
  <si>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</si>
  <si>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</si>
  <si>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</si>
  <si>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</si>
  <si>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</si>
  <si>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</si>
  <si>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</si>
  <si>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</si>
  <si>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</si>
  <si>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</si>
  <si>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</si>
  <si>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</si>
  <si>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</si>
  <si>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</si>
  <si>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</si>
  <si>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</si>
  <si>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</si>
  <si>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</si>
  <si>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</si>
  <si>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</si>
  <si>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</si>
  <si>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</si>
  <si>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</si>
  <si>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</si>
  <si>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</si>
  <si>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</si>
  <si>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</si>
  <si>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</si>
  <si>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</si>
  <si>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</si>
  <si>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</si>
  <si>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</si>
  <si>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</si>
  <si>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</si>
  <si>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</si>
  <si>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</si>
  <si>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</si>
  <si>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</si>
  <si>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</si>
  <si>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</si>
  <si>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</si>
  <si>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</si>
  <si>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</si>
  <si>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</si>
  <si>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</si>
  <si>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</si>
  <si>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</si>
  <si>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</si>
  <si>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</si>
  <si>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</si>
  <si>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</si>
  <si>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</si>
  <si>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</si>
  <si>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</si>
  <si>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</si>
  <si>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</si>
  <si>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</si>
  <si>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</si>
  <si>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</si>
  <si>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</si>
  <si>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</si>
  <si>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</si>
  <si>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</si>
  <si>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</si>
  <si>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</si>
  <si>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</si>
  <si>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</si>
  <si>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</si>
  <si>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</si>
  <si>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</si>
  <si>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</si>
  <si>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</si>
  <si>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</si>
  <si>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</si>
  <si>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</si>
  <si>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</si>
  <si>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</si>
  <si>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</si>
  <si>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</si>
  <si>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</si>
  <si>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</si>
  <si>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</si>
  <si>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</si>
  <si>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</si>
  <si>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</si>
  <si>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</si>
  <si>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</si>
  <si>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</si>
  <si>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</si>
  <si>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</si>
  <si>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</si>
  <si>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</si>
  <si>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</si>
  <si>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</si>
  <si>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</si>
  <si>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</si>
  <si>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</si>
  <si>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</si>
  <si>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</si>
  <si>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</si>
  <si>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</si>
  <si>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</si>
  <si>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</si>
  <si>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</si>
  <si>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</si>
  <si>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</si>
  <si>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</si>
  <si>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</si>
  <si>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</si>
  <si>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</si>
  <si>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</si>
  <si>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</si>
  <si>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</si>
  <si>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</si>
  <si>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</si>
  <si>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</si>
  <si>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</si>
  <si>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</si>
  <si>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</si>
  <si>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</si>
  <si>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</si>
  <si>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</si>
  <si>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</si>
  <si>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</si>
  <si>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</si>
  <si>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</si>
  <si>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</si>
  <si>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</si>
  <si>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</si>
  <si>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</si>
  <si>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</si>
  <si>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</si>
  <si>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</si>
  <si>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</si>
  <si>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</si>
  <si>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</si>
  <si>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</si>
  <si>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</si>
  <si>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</si>
  <si>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</si>
  <si>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</si>
  <si>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</si>
  <si>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</si>
  <si>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</si>
  <si>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</si>
  <si>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</si>
  <si>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</si>
  <si>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</si>
  <si>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</si>
  <si>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</si>
  <si>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</si>
  <si>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</si>
  <si>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</si>
  <si>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</si>
  <si>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</si>
  <si>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</si>
  <si>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</si>
  <si>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</si>
  <si>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</si>
  <si>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</si>
  <si>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</si>
  <si>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</si>
  <si>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</si>
  <si>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</si>
  <si>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</si>
  <si>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</si>
  <si>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</si>
  <si>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</si>
  <si>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</si>
  <si>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</si>
  <si>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</si>
  <si>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</si>
  <si>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</si>
  <si>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</si>
  <si>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</si>
  <si>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</si>
  <si>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</si>
  <si>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</si>
  <si>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</si>
  <si>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</si>
  <si>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</si>
  <si>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</si>
  <si>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</si>
  <si>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</si>
  <si>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</si>
  <si>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</si>
  <si>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</si>
  <si>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</si>
  <si>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</si>
  <si>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</si>
  <si>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</si>
  <si>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</si>
  <si>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</si>
  <si>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</si>
  <si>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</si>
  <si>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</si>
  <si>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</si>
  <si>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</si>
  <si>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</si>
  <si>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</si>
  <si>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</si>
  <si>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</si>
  <si>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</si>
  <si>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</si>
  <si>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</si>
  <si>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</si>
  <si>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</si>
  <si>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</si>
  <si>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</si>
  <si>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</si>
  <si>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</si>
  <si>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</si>
  <si>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</si>
  <si>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</si>
  <si>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</si>
  <si>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</si>
  <si>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</si>
  <si>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</si>
  <si>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</si>
  <si>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</si>
  <si>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</si>
  <si>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</si>
  <si>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</si>
  <si>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</si>
  <si>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</si>
  <si>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</si>
  <si>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</si>
  <si>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</si>
  <si>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</si>
  <si>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</si>
  <si>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</si>
  <si>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</si>
  <si>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</si>
  <si>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</si>
  <si>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</si>
  <si>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</si>
  <si>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</si>
  <si>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</si>
  <si>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</si>
  <si>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</si>
  <si>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</si>
  <si>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</si>
  <si>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</si>
  <si>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</si>
  <si>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</si>
  <si>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</si>
  <si>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</si>
  <si>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</si>
  <si>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</si>
  <si>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</si>
  <si>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</si>
  <si>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</si>
  <si>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</si>
  <si>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</si>
  <si>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</si>
  <si>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</si>
  <si>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</si>
  <si>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</si>
  <si>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</si>
  <si>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</si>
  <si>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</si>
  <si>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</si>
  <si>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</si>
  <si>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</si>
  <si>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</si>
  <si>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</si>
  <si>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</si>
  <si>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</si>
  <si>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</si>
  <si>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</si>
  <si>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</si>
  <si>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</si>
  <si>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</si>
  <si>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</si>
  <si>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</si>
  <si>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</si>
  <si>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</si>
  <si>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</si>
  <si>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</si>
  <si>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</si>
  <si>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</si>
  <si>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</si>
  <si>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</si>
  <si>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</si>
  <si>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</si>
  <si>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</si>
  <si>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</si>
  <si>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</si>
  <si>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</si>
  <si>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</si>
  <si>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</si>
  <si>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</si>
  <si>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</si>
  <si>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</si>
  <si>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</si>
  <si>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</si>
  <si>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</si>
  <si>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</si>
  <si>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</si>
  <si>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</si>
  <si>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</si>
  <si>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</si>
  <si>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</si>
  <si>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</si>
  <si>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</si>
  <si>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</si>
  <si>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</si>
  <si>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</si>
  <si>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</si>
  <si>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</si>
  <si>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</si>
  <si>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</si>
  <si>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</si>
  <si>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</si>
  <si>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</si>
  <si>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</si>
  <si>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</si>
  <si>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</si>
  <si>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</si>
  <si>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</si>
  <si>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</si>
  <si>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</si>
  <si>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</si>
  <si>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</si>
  <si>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</si>
  <si>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</si>
  <si>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</si>
  <si>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</si>
  <si>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</si>
  <si>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</si>
  <si>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</si>
  <si>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</si>
  <si>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</si>
  <si>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</si>
  <si>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</si>
  <si>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</si>
  <si>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</si>
  <si>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</si>
  <si>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</si>
  <si>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</si>
  <si>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</si>
  <si>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</si>
  <si>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</si>
  <si>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</si>
  <si>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</si>
  <si>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</si>
  <si>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</si>
  <si>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</si>
  <si>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</si>
  <si>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</si>
  <si>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</si>
  <si>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</si>
  <si>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</si>
  <si>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</si>
  <si>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</si>
  <si>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</si>
  <si>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</si>
  <si>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</si>
  <si>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</si>
  <si>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</si>
  <si>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</si>
  <si>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</si>
  <si>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</si>
  <si>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</si>
  <si>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</si>
  <si>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</si>
  <si>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</si>
  <si>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</si>
  <si>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</si>
  <si>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</si>
  <si>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</si>
  <si>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</si>
  <si>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</si>
  <si>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</si>
  <si>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</si>
  <si>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</si>
  <si>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</si>
  <si>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</si>
  <si>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</si>
  <si>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</si>
  <si>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</si>
  <si>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</si>
  <si>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</si>
  <si>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</si>
  <si>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</si>
  <si>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</si>
  <si>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</si>
  <si>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</si>
  <si>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</si>
  <si>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</si>
  <si>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</si>
  <si>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</si>
  <si>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</si>
  <si>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</si>
  <si>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</si>
  <si>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</si>
  <si>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</si>
  <si>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</si>
  <si>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</si>
  <si>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</si>
  <si>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</si>
  <si>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</si>
  <si>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</si>
  <si>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</si>
  <si>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</si>
  <si>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</si>
  <si>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</si>
  <si>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</si>
  <si>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</si>
  <si>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</si>
  <si>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</si>
  <si>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</si>
  <si>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</si>
  <si>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</si>
  <si>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</si>
  <si>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</si>
  <si>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</si>
  <si>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</si>
  <si>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</si>
  <si>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</si>
  <si>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</si>
  <si>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</si>
  <si>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</si>
  <si>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</si>
  <si>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</si>
  <si>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</si>
  <si>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</si>
  <si>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</si>
  <si>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</si>
  <si>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</si>
  <si>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</si>
  <si>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</si>
  <si>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</si>
  <si>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</si>
  <si>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</si>
  <si>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</si>
  <si>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</si>
  <si>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</si>
  <si>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</si>
  <si>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</si>
  <si>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</si>
  <si>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</si>
  <si>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</si>
  <si>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</si>
  <si>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</si>
  <si>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</si>
  <si>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</si>
  <si>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</si>
  <si>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</si>
  <si>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</si>
  <si>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</si>
  <si>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</si>
  <si>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</si>
  <si>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</si>
  <si>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</si>
  <si>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</si>
  <si>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</si>
  <si>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</si>
  <si>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</si>
  <si>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</si>
  <si>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</si>
  <si>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</si>
  <si>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</si>
  <si>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</si>
  <si>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</si>
  <si>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</si>
  <si>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</si>
  <si>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</si>
  <si>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</si>
  <si>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</si>
  <si>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</si>
  <si>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</si>
  <si>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</si>
  <si>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</si>
  <si>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</si>
  <si>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</si>
  <si>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</si>
  <si>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</si>
  <si>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</si>
  <si>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</si>
  <si>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</si>
  <si>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</si>
  <si>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</si>
  <si>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</si>
  <si>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</si>
  <si>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</si>
  <si>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</si>
  <si>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</si>
  <si>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</si>
  <si>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</si>
  <si>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</si>
  <si>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</si>
  <si>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</si>
  <si>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</si>
  <si>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</si>
  <si>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</si>
  <si>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</si>
  <si>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</si>
  <si>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</si>
  <si>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</si>
  <si>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</si>
  <si>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</si>
  <si>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</si>
  <si>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</si>
  <si>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</si>
  <si>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</si>
  <si>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</si>
  <si>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</si>
  <si>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</si>
  <si>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</si>
  <si>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</si>
  <si>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</si>
  <si>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</si>
  <si>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</si>
  <si>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</si>
  <si>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</si>
  <si>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</si>
  <si>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</si>
  <si>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</si>
  <si>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</si>
  <si>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</si>
  <si>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</si>
  <si>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</si>
  <si>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</si>
  <si>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</si>
  <si>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</si>
  <si>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</si>
  <si>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</si>
  <si>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</si>
  <si>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</si>
  <si>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</si>
  <si>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</si>
  <si>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</si>
  <si>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</si>
  <si>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</si>
  <si>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</si>
  <si>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</si>
  <si>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</si>
  <si>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</si>
  <si>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</si>
  <si>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</si>
  <si>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</si>
  <si>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</si>
  <si>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</si>
  <si>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</si>
  <si>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</si>
  <si>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</si>
  <si>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</si>
  <si>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</si>
  <si>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</si>
  <si>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</si>
  <si>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</si>
  <si>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</si>
  <si>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</si>
  <si>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</si>
  <si>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</si>
  <si>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</si>
  <si>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</si>
  <si>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</si>
  <si>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</si>
  <si>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</si>
  <si>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</si>
  <si>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</si>
  <si>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</si>
  <si>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</si>
  <si>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</si>
  <si>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</si>
  <si>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</si>
  <si>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</si>
  <si>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</si>
  <si>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</si>
  <si>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</si>
  <si>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</si>
  <si>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</si>
  <si>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</si>
  <si>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</si>
  <si>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</si>
  <si>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</si>
  <si>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</si>
  <si>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</si>
  <si>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</si>
  <si>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</si>
  <si>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</si>
  <si>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</si>
  <si>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</si>
  <si>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</si>
  <si>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</si>
  <si>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</si>
  <si>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</si>
  <si>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</si>
  <si>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</si>
  <si>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</si>
  <si>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</si>
  <si>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</si>
  <si>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</si>
  <si>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</si>
  <si>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</si>
  <si>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</si>
  <si>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</si>
  <si>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</si>
  <si>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</si>
  <si>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</si>
  <si>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</si>
  <si>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</si>
  <si>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</si>
  <si>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</si>
  <si>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</si>
  <si>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</si>
  <si>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</si>
  <si>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</si>
  <si>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</si>
  <si>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</si>
  <si>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</si>
  <si>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</si>
  <si>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</si>
  <si>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</si>
  <si>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</si>
  <si>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</si>
  <si>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</si>
  <si>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</si>
  <si>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</si>
  <si>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</si>
  <si>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</si>
  <si>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</si>
  <si>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</si>
  <si>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</si>
  <si>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</si>
  <si>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</si>
  <si>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</si>
  <si>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</si>
  <si>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</si>
  <si>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</si>
  <si>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</si>
  <si>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</si>
  <si>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</si>
  <si>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</si>
  <si>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</si>
  <si>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</si>
  <si>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</si>
  <si>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</si>
  <si>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</si>
  <si>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</si>
  <si>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</si>
  <si>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</si>
  <si>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</si>
  <si>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</si>
  <si>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</si>
  <si>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</si>
  <si>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</si>
  <si>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</si>
  <si>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</si>
  <si>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</si>
  <si>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</si>
  <si>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</si>
  <si>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</si>
  <si>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</si>
  <si>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</si>
  <si>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</si>
  <si>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</si>
  <si>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</si>
  <si>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</si>
  <si>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</si>
  <si>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</si>
  <si>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</si>
  <si>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</si>
  <si>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</si>
  <si>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</si>
  <si>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</si>
  <si>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</si>
  <si>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</si>
  <si>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</si>
  <si>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</si>
  <si>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</si>
  <si>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</si>
  <si>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</si>
  <si>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</si>
  <si>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</si>
  <si>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</si>
  <si>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</si>
  <si>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</si>
  <si>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</si>
  <si>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</si>
  <si>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</si>
  <si>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</si>
  <si>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</si>
  <si>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</si>
  <si>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</si>
  <si>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</si>
  <si>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</si>
  <si>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</si>
  <si>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</si>
  <si>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</si>
  <si>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</si>
  <si>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</si>
  <si>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</si>
  <si>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</si>
  <si>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</si>
  <si>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</si>
  <si>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</si>
  <si>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</si>
  <si>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</si>
  <si>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</si>
  <si>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</si>
  <si>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</si>
  <si>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</si>
  <si>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</si>
  <si>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</si>
  <si>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</si>
  <si>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</si>
  <si>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</si>
  <si>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</si>
  <si>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</si>
  <si>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</si>
  <si>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</si>
  <si>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</si>
  <si>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</si>
  <si>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</si>
  <si>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</si>
  <si>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</si>
  <si>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</si>
  <si>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</si>
  <si>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</si>
  <si>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</si>
  <si>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</si>
  <si>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</si>
  <si>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</si>
  <si>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</si>
  <si>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</si>
  <si>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</si>
  <si>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</si>
  <si>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</si>
  <si>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</si>
  <si>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</si>
  <si>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</si>
  <si>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</si>
  <si>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</si>
  <si>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</si>
  <si>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</si>
  <si>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</si>
  <si>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</si>
  <si>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</si>
  <si>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</si>
  <si>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</si>
  <si>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</si>
  <si>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</si>
  <si>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</si>
  <si>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</si>
  <si>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</si>
  <si>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</si>
  <si>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</si>
  <si>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</si>
  <si>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</si>
  <si>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</si>
  <si>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</si>
  <si>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</si>
  <si>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</si>
  <si>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</si>
  <si>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</si>
  <si>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</si>
  <si>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</si>
  <si>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</si>
  <si>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</si>
  <si>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</si>
  <si>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</si>
  <si>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</si>
  <si>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</si>
  <si>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</si>
  <si>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</si>
  <si>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</si>
  <si>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</si>
  <si>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</si>
  <si>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</si>
  <si>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</si>
  <si>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</si>
  <si>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</si>
  <si>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</si>
  <si>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</si>
  <si>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</si>
  <si>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</si>
  <si>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</si>
  <si>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</si>
  <si>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</si>
  <si>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</si>
  <si>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</si>
  <si>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</si>
  <si>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</si>
  <si>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</si>
  <si>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</si>
  <si>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</si>
  <si>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</si>
  <si>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</si>
  <si>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</si>
  <si>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</si>
  <si>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</si>
  <si>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</si>
  <si>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</si>
  <si>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</si>
  <si>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</si>
  <si>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</si>
  <si>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</si>
  <si>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</si>
  <si>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</si>
  <si>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</si>
  <si>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</si>
  <si>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</si>
  <si>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</si>
  <si>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</si>
  <si>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</si>
  <si>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</si>
  <si>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</si>
  <si>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</si>
  <si>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</si>
  <si>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</si>
  <si>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</si>
  <si>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</si>
  <si>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</si>
  <si>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</si>
  <si>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</si>
  <si>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</si>
  <si>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</si>
  <si>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</si>
  <si>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</si>
  <si>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</si>
  <si>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</si>
  <si>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</si>
  <si>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</si>
  <si>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</si>
  <si>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</si>
  <si>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</si>
  <si>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</si>
  <si>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</si>
  <si>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</si>
  <si>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</si>
  <si>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</si>
  <si>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</si>
  <si>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</si>
  <si>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</si>
  <si>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</si>
  <si>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</si>
  <si>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</si>
  <si>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</si>
  <si>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</si>
  <si>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</si>
  <si>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</si>
  <si>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</si>
  <si>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</si>
  <si>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</si>
  <si>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</si>
  <si>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</si>
  <si>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</si>
  <si>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</si>
  <si>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</si>
  <si>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</si>
  <si>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</si>
  <si>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</si>
  <si>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</si>
  <si>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</si>
  <si>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</si>
  <si>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</si>
  <si>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</si>
  <si>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</si>
  <si>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</si>
  <si>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</si>
  <si>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</si>
  <si>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</si>
  <si>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</si>
  <si>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</si>
  <si>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</si>
  <si>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</si>
  <si>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</si>
  <si>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</si>
  <si>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</si>
  <si>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</si>
  <si>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</si>
  <si>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</si>
  <si>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</si>
  <si>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</si>
  <si>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</si>
  <si>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</si>
  <si>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</si>
  <si>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</si>
  <si>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</si>
  <si>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</si>
  <si>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</si>
  <si>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</si>
  <si>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</si>
  <si>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</si>
  <si>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</si>
  <si>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</si>
  <si>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</si>
  <si>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</si>
  <si>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</si>
  <si>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</si>
  <si>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</si>
  <si>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</si>
  <si>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</si>
  <si>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</si>
  <si>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</si>
  <si>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</si>
  <si>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</si>
  <si>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</si>
  <si>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</si>
  <si>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</si>
  <si>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</si>
  <si>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</si>
  <si>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</si>
  <si>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</si>
  <si>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</si>
  <si>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</si>
  <si>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</si>
  <si>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</si>
  <si>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</si>
  <si>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</si>
  <si>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</si>
  <si>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</si>
  <si>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</si>
  <si>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</si>
  <si>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</si>
  <si>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</si>
  <si>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</si>
  <si>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</si>
  <si>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</si>
  <si>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</si>
  <si>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</si>
  <si>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</si>
  <si>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</si>
  <si>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</si>
  <si>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</si>
  <si>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</si>
  <si>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</si>
  <si>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</si>
  <si>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</si>
  <si>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</si>
  <si>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</si>
  <si>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</si>
  <si>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</si>
  <si>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</si>
  <si>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</si>
  <si>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</si>
  <si>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</si>
  <si>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</si>
  <si>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</si>
  <si>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</si>
  <si>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</si>
  <si>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</si>
  <si>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</si>
  <si>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</si>
  <si>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</si>
  <si>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</si>
  <si>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</si>
  <si>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</si>
  <si>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</si>
  <si>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</si>
  <si>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</si>
  <si>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</si>
  <si>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</si>
  <si>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</si>
  <si>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</si>
  <si>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</si>
  <si>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</si>
  <si>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</si>
  <si>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</si>
  <si>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</si>
  <si>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</si>
  <si>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</si>
  <si>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</si>
  <si>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</si>
  <si>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</si>
  <si>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</si>
  <si>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</si>
  <si>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</si>
  <si>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</si>
  <si>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</si>
  <si>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</si>
  <si>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</si>
  <si>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</si>
  <si>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</si>
  <si>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</si>
  <si>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</si>
  <si>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</si>
  <si>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</si>
  <si>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</si>
  <si>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</si>
  <si>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</si>
  <si>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</si>
  <si>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</si>
  <si>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</si>
  <si>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</si>
  <si>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</si>
  <si>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</si>
  <si>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</si>
  <si>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</si>
  <si>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</si>
  <si>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</si>
  <si>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</si>
  <si>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</si>
  <si>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</si>
  <si>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</si>
  <si>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</si>
  <si>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</si>
  <si>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</si>
  <si>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</si>
  <si>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</si>
  <si>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</si>
  <si>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</si>
  <si>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</si>
  <si>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</si>
  <si>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</si>
  <si>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</si>
  <si>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</si>
  <si>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</si>
  <si>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</si>
  <si>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</si>
  <si>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</si>
  <si>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</si>
  <si>
    <t>70%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</si>
</sst>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4" workbookViewId="0">
      <selection activeCell="E28" activeCellId="1" sqref="D28 E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175368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175368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1102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8.9974768270774524E-2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8.9974768270774524E-2</v>
      </c>
      <c r="E16" s="700"/>
    </row>
    <row r="17" spans="1:6">
      <c r="A17" s="1686"/>
      <c r="B17" s="702"/>
      <c r="D17" s="1682"/>
      <c r="E17" s="1753" t="s">
        <v>961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-3645.9680491900072</v>
      </c>
      <c r="E18" s="1754">
        <f ca="1">-D18/D28</f>
        <v>3.7924991780617848E-5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866.33663366336634</v>
      </c>
    </row>
    <row r="22" spans="1:6">
      <c r="A22" s="64"/>
      <c r="B22" s="4" t="s">
        <v>16</v>
      </c>
      <c r="C22" s="4"/>
      <c r="D22" s="1531">
        <f>'Development Budget'!G44</f>
        <v>73086935.312499985</v>
      </c>
      <c r="E22" s="1531">
        <f t="shared" ref="E22:E28" si="0">D22/$D$10</f>
        <v>361816.51144801971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2298240</v>
      </c>
      <c r="E23" s="1531">
        <f t="shared" si="0"/>
        <v>11377.425742574258</v>
      </c>
    </row>
    <row r="24" spans="1:6">
      <c r="A24" s="64"/>
      <c r="B24" s="4" t="s">
        <v>18</v>
      </c>
      <c r="C24" s="4"/>
      <c r="D24" s="1531">
        <f>'Development Budget'!G97</f>
        <v>627075</v>
      </c>
      <c r="E24" s="1531">
        <f t="shared" si="0"/>
        <v>3104.3316831683169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4756308.8008309435</v>
      </c>
      <c r="E25" s="1531">
        <f t="shared" si="0"/>
        <v>23546.083172430412</v>
      </c>
    </row>
    <row r="26" spans="1:6">
      <c r="A26" s="64"/>
      <c r="B26" s="4" t="s">
        <v>20</v>
      </c>
      <c r="C26" s="4"/>
      <c r="D26" s="1531">
        <f>'Development Budget'!G181</f>
        <v>4207247.5</v>
      </c>
      <c r="E26" s="1531">
        <f t="shared" si="0"/>
        <v>20827.95792079208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10985484.470938608</v>
      </c>
      <c r="E27" s="1532">
        <f t="shared" si="0"/>
        <v>54383.586489795089</v>
      </c>
    </row>
    <row r="28" spans="1:6" ht="16.5" thickTop="1">
      <c r="A28" s="4"/>
      <c r="B28" s="4"/>
      <c r="C28" s="150" t="s">
        <v>14</v>
      </c>
      <c r="D28" s="1533">
        <f>SUM(D21:D27)</f>
        <v>96136291.084269539</v>
      </c>
      <c r="E28" s="1531">
        <f t="shared" si="0"/>
        <v>475922.23309044325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62488589.204775199</v>
      </c>
      <c r="E32" s="1586">
        <f t="shared" si="1"/>
        <v>309349.4515087881</v>
      </c>
    </row>
    <row r="33" spans="1:5">
      <c r="A33" s="64"/>
      <c r="B33" s="4" t="s">
        <v>1051</v>
      </c>
      <c r="C33" s="4"/>
      <c r="D33" s="1587">
        <f>GapCalc!D29</f>
        <v>5047155.2819241527</v>
      </c>
      <c r="E33" s="1586">
        <f>D33/$D$10</f>
        <v>24985.917237248283</v>
      </c>
    </row>
    <row r="34" spans="1:5">
      <c r="A34" s="65"/>
      <c r="B34" s="4" t="s">
        <v>26</v>
      </c>
      <c r="C34" s="4"/>
      <c r="D34" s="1587">
        <f>GapCalc!D30</f>
        <v>28600546.597570196</v>
      </c>
      <c r="E34" s="1586">
        <f>D34/$D$10</f>
        <v>141586.8643444069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96136291.084269553</v>
      </c>
      <c r="E36" s="1586">
        <f>D36/$D$10</f>
        <v>475922.23309044336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72497785.526254579</v>
      </c>
      <c r="E40" s="1586">
        <f t="shared" ref="E40" si="2">D40/$D$10</f>
        <v>358899.92834779492</v>
      </c>
    </row>
    <row r="41" spans="1:5">
      <c r="A41" s="60"/>
      <c r="B41" s="4" t="s">
        <v>1051</v>
      </c>
      <c r="C41" s="4"/>
      <c r="D41" s="1591">
        <f>GapCalc!D29+GapCalc!D38</f>
        <v>5047155.2819241527</v>
      </c>
      <c r="E41" s="1586">
        <f>D41/$D$10</f>
        <v>24985.917237248283</v>
      </c>
    </row>
    <row r="42" spans="1:5">
      <c r="A42" s="60"/>
      <c r="B42" s="1557" t="s">
        <v>26</v>
      </c>
      <c r="C42" s="4"/>
      <c r="D42" s="1592">
        <f>GapCalc!D30+GapCalc!D39</f>
        <v>28600546.597570196</v>
      </c>
      <c r="E42" s="1586">
        <f>D42/$D$10</f>
        <v>141586.8643444069</v>
      </c>
    </row>
    <row r="43" spans="1:5">
      <c r="A43" s="60"/>
      <c r="B43" s="1714" t="s">
        <v>1101</v>
      </c>
      <c r="C43" s="4"/>
      <c r="D43" s="1592">
        <f>IF(D32-D40&gt;0,0,D32-D40)</f>
        <v>-10009196.32147938</v>
      </c>
      <c r="E43" s="1586">
        <f>D43/$D$10</f>
        <v>-49550.476839006835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96136291.084269553</v>
      </c>
      <c r="E45" s="1588">
        <f>D45/$D$10</f>
        <v>475922.23309044336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8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175368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175368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866.33663366336634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73086935.312499985</v>
      </c>
      <c r="E18" s="1531">
        <f t="shared" ref="E18:E24" si="0">D18/$D$11</f>
        <v>361816.51144801971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2298240</v>
      </c>
      <c r="E19" s="1531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627075</v>
      </c>
      <c r="E20" s="1531">
        <f t="shared" si="0"/>
        <v>3104.3316831683169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4756308.8008309435</v>
      </c>
      <c r="E21" s="1531">
        <f t="shared" si="0"/>
        <v>23546.083172430412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4207247.5</v>
      </c>
      <c r="E22" s="1531">
        <f t="shared" si="0"/>
        <v>20827.95792079208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10985484.470938608</v>
      </c>
      <c r="E23" s="1532">
        <f t="shared" si="0"/>
        <v>54383.586489795089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96136291.084269539</v>
      </c>
      <c r="E24" s="1531">
        <f t="shared" si="0"/>
        <v>475922.23309044325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62488589.204775199</v>
      </c>
      <c r="E28" s="1586">
        <f t="shared" si="1"/>
        <v>309349.4515087881</v>
      </c>
      <c r="F28" s="62"/>
      <c r="G28" s="1419" t="s">
        <v>608</v>
      </c>
      <c r="H28" s="1608">
        <f>H32/D11</f>
        <v>24985.917237248283</v>
      </c>
      <c r="I28" s="703"/>
    </row>
    <row r="29" spans="1:10" ht="15.75">
      <c r="A29" s="64"/>
      <c r="B29" s="4" t="s">
        <v>1051</v>
      </c>
      <c r="C29" s="4"/>
      <c r="D29" s="1587">
        <v>5047155.2819241527</v>
      </c>
      <c r="E29" s="1586">
        <f>D29/$D$11</f>
        <v>24985.917237248283</v>
      </c>
      <c r="F29" s="520"/>
      <c r="G29" s="1420" t="s">
        <v>971</v>
      </c>
      <c r="H29" s="1609">
        <f>H33/D11</f>
        <v>141586.8643444069</v>
      </c>
      <c r="I29" s="703"/>
    </row>
    <row r="30" spans="1:10" ht="16.5" thickBot="1">
      <c r="A30" s="65"/>
      <c r="B30" s="4" t="s">
        <v>26</v>
      </c>
      <c r="C30" s="4"/>
      <c r="D30" s="1587">
        <v>28600546.597570196</v>
      </c>
      <c r="E30" s="1586">
        <f>D30/$D$11</f>
        <v>141586.8643444069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5047155.2819241527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96136291.084269553</v>
      </c>
      <c r="E33" s="1586">
        <f>D33/$D$11</f>
        <v>475922.23309044336</v>
      </c>
      <c r="F33" s="62"/>
      <c r="G33" s="1441" t="s">
        <v>971</v>
      </c>
      <c r="H33" s="1611">
        <f>D30+D39</f>
        <v>28600546.597570196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33647701.879494347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0.35000000000000009</v>
      </c>
      <c r="J36" s="704"/>
    </row>
    <row r="37" spans="1:12" ht="16.5" thickBot="1">
      <c r="A37" s="60"/>
      <c r="B37" s="4" t="s">
        <v>995</v>
      </c>
      <c r="C37" s="4"/>
      <c r="D37" s="1586">
        <f>Data!C30</f>
        <v>72497785.526254579</v>
      </c>
      <c r="E37" s="1586">
        <f t="shared" ref="E37" si="2">D37/$D$11</f>
        <v>358899.92834779492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0</v>
      </c>
      <c r="E38" s="1586">
        <f>D38/$D$11</f>
        <v>0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608</v>
      </c>
      <c r="H39" s="1616">
        <f>-D32*0.15</f>
        <v>0</v>
      </c>
      <c r="I39" s="1596">
        <f>D29+H39</f>
        <v>5047155.2819241527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28600546.597570196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10009196.32147938</v>
      </c>
      <c r="E41" s="1588">
        <f>D41/$D$11</f>
        <v>49550.476839006835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72497785.526254579</v>
      </c>
      <c r="E42" s="1586">
        <f>D42/$D$11</f>
        <v>358899.92834779492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-1501379.448221907</v>
      </c>
      <c r="I43" s="1596">
        <f>D38+H43</f>
        <v>-1501379.448221907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-8507816.8732574731</v>
      </c>
      <c r="I44" s="1596">
        <f>D39+H44</f>
        <v>-8507816.8732574731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28597447.524728384</v>
      </c>
      <c r="J46" s="1582" t="s">
        <v>1083</v>
      </c>
      <c r="K46" s="1583">
        <f>'Cash Flow'!C76</f>
        <v>8.9974768270774524E-2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10808518.191763345</v>
      </c>
      <c r="J47" s="1584" t="s">
        <v>1098</v>
      </c>
      <c r="K47" s="1607">
        <f>'Cash Flow'!C70</f>
        <v>46613839.465307266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-3099.0728418119252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5046608.3867167747</v>
      </c>
      <c r="J51" s="1585" t="s">
        <v>1083</v>
      </c>
      <c r="K51" s="1618">
        <f>'Cash Flow'!H76</f>
        <v>8.9974768270774524E-2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5047155.2819241527</v>
      </c>
      <c r="J52" s="1584" t="s">
        <v>1097</v>
      </c>
      <c r="K52" s="1607">
        <f>'Cash Flow'!H70</f>
        <v>8225971.6703483416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-546.89520737808198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-3645.9680491900072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37531816.81224677</v>
      </c>
      <c r="J58" s="1582" t="s">
        <v>1083</v>
      </c>
      <c r="K58" s="1583">
        <f>'Cash Flow'!C103</f>
        <v>0.11390102176984132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61176861.403962232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8931270.2146765739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5515630.1254197732</v>
      </c>
      <c r="J63" s="1585" t="s">
        <v>1083</v>
      </c>
      <c r="K63" s="1618">
        <f>'Cash Flow'!H103</f>
        <v>7.812959186400828E-2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5047155.2819241527</v>
      </c>
      <c r="J64" s="1584" t="s">
        <v>1097</v>
      </c>
      <c r="K64" s="1607">
        <f>'Cash Flow'!H97</f>
        <v>8990477.1044342294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468474.84349562041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9399745.0581721943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37" zoomScale="130" zoomScaleNormal="130" workbookViewId="0">
      <selection activeCell="M9" sqref="M9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0.56930693069306926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0</v>
      </c>
      <c r="O8" s="521">
        <f t="shared" si="0"/>
        <v>0</v>
      </c>
      <c r="Q8" s="283">
        <f>SUM(O10:O15)</f>
        <v>0.42079207920792078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70</v>
      </c>
      <c r="E9" s="278">
        <f>IF(D9="","",D9/D$15)</f>
        <v>0.34653465346534651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50</v>
      </c>
      <c r="N9" s="298">
        <f>E46+E183</f>
        <v>115</v>
      </c>
      <c r="O9" s="332">
        <f t="shared" si="0"/>
        <v>0.56930693069306926</v>
      </c>
    </row>
    <row r="10" spans="2:19" ht="12.75" customHeight="1">
      <c r="B10" s="268"/>
      <c r="C10" s="209" t="s">
        <v>53</v>
      </c>
      <c r="D10" s="210">
        <f>SUM(E24,E33,E42,E51,E60,E78,E69,E87,E96,E116,E106)</f>
        <v>42</v>
      </c>
      <c r="E10" s="278">
        <f>IF(D10="","",D10/D$15)</f>
        <v>0.20792079207920791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1104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90</v>
      </c>
      <c r="E11" s="278">
        <f>IF(D11="","",D11/D$15)</f>
        <v>0.44554455445544555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85</v>
      </c>
      <c r="O13" s="332">
        <f>N13/$N$18</f>
        <v>0.42079207920792078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61</v>
      </c>
      <c r="E17" s="284">
        <f>SUM(J28+J37,J46,J55,J64,J82,J91,J73,J100,J120,J110)</f>
        <v>146140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522140</v>
      </c>
      <c r="F18" s="285"/>
      <c r="H18" s="286"/>
      <c r="I18" s="287"/>
      <c r="K18" s="226"/>
      <c r="M18" s="328" t="s">
        <v>10</v>
      </c>
      <c r="N18" s="1423">
        <f>N17+N16</f>
        <v>202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0.56930693069306926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79"/>
      <c r="N28" s="284"/>
      <c r="O28" s="201"/>
      <c r="P28" s="201"/>
      <c r="Q28" s="201"/>
      <c r="R28" s="201"/>
      <c r="S28" s="201"/>
      <c r="T28" s="201"/>
      <c r="U28" s="332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R31" s="210"/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O33" s="332"/>
      <c r="P33" s="325"/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  <c r="U36" s="332"/>
    </row>
    <row r="37" spans="2:21" ht="13.5" customHeight="1" outlineLevel="1">
      <c r="B37" s="289"/>
      <c r="C37" s="313" t="s">
        <v>59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0.6</v>
      </c>
      <c r="D38" s="316" t="s">
        <v>64</v>
      </c>
      <c r="E38" s="317"/>
      <c r="F38" s="301"/>
      <c r="G38" s="315"/>
      <c r="H38" s="264"/>
      <c r="I38" s="301"/>
      <c r="J38" s="302"/>
      <c r="K38" s="303"/>
      <c r="O38" s="427"/>
      <c r="U38" s="283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L40" s="1636"/>
      <c r="M40" s="1636"/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57</v>
      </c>
      <c r="F41" s="223"/>
      <c r="G41" s="308">
        <f>H9*$C$38</f>
        <v>1455.6</v>
      </c>
      <c r="H41" s="308">
        <f>$K$9</f>
        <v>0</v>
      </c>
      <c r="I41" s="228">
        <f>ROUND(G41-H41,0)</f>
        <v>1456</v>
      </c>
      <c r="J41" s="284">
        <f>D41*E41</f>
        <v>22800</v>
      </c>
      <c r="K41" s="292">
        <f>E41*I41</f>
        <v>82992</v>
      </c>
      <c r="L41" s="1636"/>
      <c r="M41" s="1636"/>
      <c r="O41" s="1631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29</v>
      </c>
      <c r="F42" s="223"/>
      <c r="G42" s="308">
        <f>H10*C38</f>
        <v>1560</v>
      </c>
      <c r="H42" s="308">
        <f>$K$10</f>
        <v>0</v>
      </c>
      <c r="I42" s="228">
        <f>ROUND(G42-H42,0)</f>
        <v>1560</v>
      </c>
      <c r="J42" s="284">
        <f>D42*E42</f>
        <v>19430</v>
      </c>
      <c r="K42" s="292">
        <f>E42*I42</f>
        <v>45240</v>
      </c>
      <c r="L42" s="1636"/>
      <c r="M42" s="1636"/>
      <c r="O42" s="1632"/>
      <c r="P42" s="1633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29</v>
      </c>
      <c r="F43" s="223"/>
      <c r="G43" s="308">
        <f>H11*C38</f>
        <v>1872</v>
      </c>
      <c r="H43" s="228">
        <f>$K$11</f>
        <v>0</v>
      </c>
      <c r="I43" s="228">
        <f>ROUND(G43-H43,0)</f>
        <v>1872</v>
      </c>
      <c r="J43" s="284">
        <f>D43*E43</f>
        <v>29000</v>
      </c>
      <c r="K43" s="292">
        <f>E43*I43</f>
        <v>54288</v>
      </c>
      <c r="L43" s="1636"/>
      <c r="O43" s="1635"/>
      <c r="P43" s="1633"/>
      <c r="Q43" s="1634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2163.6</v>
      </c>
      <c r="H44" s="228">
        <v>0</v>
      </c>
      <c r="I44" s="228">
        <f>ROUND(G44-H44,0)</f>
        <v>2164</v>
      </c>
      <c r="J44" s="284">
        <f>D44*E44</f>
        <v>0</v>
      </c>
      <c r="K44" s="292">
        <f>E44*I44</f>
        <v>0</v>
      </c>
      <c r="O44" s="1632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115</v>
      </c>
      <c r="F46" s="203"/>
      <c r="G46" s="203"/>
      <c r="H46" s="246"/>
      <c r="I46" s="247"/>
      <c r="J46" s="296">
        <f>SUM(J41:J45)</f>
        <v>71230</v>
      </c>
      <c r="K46" s="297">
        <f>SUM(K41:K45)</f>
        <v>182520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298"/>
      <c r="P47" s="298"/>
      <c r="Q47" s="283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L49" s="1692"/>
      <c r="M49" s="1636"/>
      <c r="N49" s="1636"/>
      <c r="O49" s="1693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13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5200</v>
      </c>
      <c r="K50" s="292">
        <f>E50*I50</f>
        <v>31200</v>
      </c>
      <c r="L50" s="1692"/>
      <c r="M50" s="1636"/>
      <c r="N50" s="1636"/>
      <c r="O50" s="1693"/>
      <c r="Q50" s="1694"/>
      <c r="R50" s="299"/>
      <c r="S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13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8710</v>
      </c>
      <c r="K51" s="292">
        <f>E51*I51</f>
        <v>40560</v>
      </c>
      <c r="L51" s="1692"/>
      <c r="M51" s="1636"/>
      <c r="N51" s="1636"/>
      <c r="O51" s="1693"/>
      <c r="Q51" s="1694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59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59000</v>
      </c>
      <c r="K52" s="292">
        <f>E52*I52</f>
        <v>267860</v>
      </c>
      <c r="L52" s="1692"/>
      <c r="O52" s="1693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569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N54" s="59"/>
      <c r="O54" s="1694"/>
    </row>
    <row r="55" spans="2:22" ht="12.75" customHeight="1" outlineLevel="1">
      <c r="B55" s="269"/>
      <c r="C55" s="252" t="s">
        <v>59</v>
      </c>
      <c r="D55" s="247"/>
      <c r="E55" s="253">
        <f>SUM(E50:E54)</f>
        <v>85</v>
      </c>
      <c r="F55" s="247"/>
      <c r="G55" s="247"/>
      <c r="H55" s="246"/>
      <c r="I55" s="247"/>
      <c r="J55" s="296">
        <f>SUM(J50:J54)</f>
        <v>72910</v>
      </c>
      <c r="K55" s="297">
        <f>SUM(K50:K54)</f>
        <v>339620</v>
      </c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  <c r="Q57" s="288"/>
      <c r="R57" s="288"/>
      <c r="S57" s="288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1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10009196.32147938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13130000</v>
      </c>
      <c r="N18" s="1674">
        <v>0</v>
      </c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123.76237623762377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742.57425742574253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866.33663366336634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58349548.25</v>
      </c>
      <c r="H32" s="1039"/>
      <c r="I32" s="950">
        <f t="shared" si="0"/>
        <v>288859.14975247526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64184503.075000003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52610400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5739148.2500000009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5834954.8250000002</v>
      </c>
      <c r="G36" s="854">
        <f>F36</f>
        <v>5834954.8250000002</v>
      </c>
      <c r="H36" s="950"/>
      <c r="I36" s="950">
        <f t="shared" si="0"/>
        <v>28885.914975247524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4084468.3775000004</v>
      </c>
      <c r="H37" s="1072"/>
      <c r="I37" s="950">
        <f t="shared" si="0"/>
        <v>20220.140482673269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4084468.3775000004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2917477.4125000001</v>
      </c>
      <c r="H38" s="1072"/>
      <c r="I38" s="950">
        <f t="shared" si="0"/>
        <v>14442.957487623762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2917477.4125000001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875243.22375</v>
      </c>
      <c r="H40" s="1072"/>
      <c r="I40" s="950">
        <f t="shared" si="0"/>
        <v>4332.8872462871286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875243.22375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875243.22375</v>
      </c>
      <c r="H41" s="1072"/>
      <c r="I41" s="950">
        <f t="shared" si="0"/>
        <v>4332.8872462871286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875243.22375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73086935.312499985</v>
      </c>
      <c r="H44" s="1324"/>
      <c r="I44" s="1325">
        <f t="shared" si="0"/>
        <v>361816.51144801971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73086935.312499985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73086935.312499985</v>
      </c>
      <c r="H46" s="1333"/>
      <c r="I46" s="1325">
        <f t="shared" si="0"/>
        <v>361816.51144801971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73086935.312499985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7308693.5312499991</v>
      </c>
      <c r="H47" s="1039"/>
      <c r="I47" s="950">
        <f t="shared" si="0"/>
        <v>36181.651144801974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7308693.5312499991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67670</v>
      </c>
      <c r="G49" s="1092">
        <f>F49</f>
        <v>67670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74336</v>
      </c>
      <c r="G50" s="1092">
        <f>F50</f>
        <v>74336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6.064356435643564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143231</v>
      </c>
      <c r="H52" s="1101"/>
      <c r="I52" s="950">
        <f t="shared" si="0"/>
        <v>709.06435643564362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143231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2139800</v>
      </c>
      <c r="H54" s="1039"/>
      <c r="I54" s="950">
        <f t="shared" si="0"/>
        <v>10593.069306930693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2139800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1976000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1976000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128440</v>
      </c>
      <c r="H57" s="1117"/>
      <c r="I57" s="950">
        <f t="shared" si="0"/>
        <v>635.8415841584158</v>
      </c>
      <c r="J57" s="1015"/>
      <c r="K57" s="1118"/>
      <c r="L57" s="1119"/>
      <c r="M57" s="1120">
        <f>(5000*F9)*1.6</f>
        <v>1616000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128440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148.51485148514851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1924522.6617187499</v>
      </c>
      <c r="H59" s="1128"/>
      <c r="I59" s="950">
        <f t="shared" si="0"/>
        <v>9527.3399094987617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2298240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182717.33828124998</v>
      </c>
      <c r="H67" s="1039"/>
      <c r="I67" s="950">
        <f t="shared" si="0"/>
        <v>904.54127862004941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182717.33828124998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34.653465346534652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470.29702970297029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123.76237623762377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148.51485148514851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168.31683168316832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373717.33828124998</v>
      </c>
      <c r="H80" s="1101"/>
      <c r="I80" s="950">
        <f t="shared" si="0"/>
        <v>1850.085833075495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373717.33828124998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527075</v>
      </c>
      <c r="H90" s="1111"/>
      <c r="I90" s="950">
        <f t="shared" si="3"/>
        <v>2609.2821782178216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527075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>
        <v>0</v>
      </c>
      <c r="G91" s="1110">
        <v>100000</v>
      </c>
      <c r="H91" s="1111"/>
      <c r="I91" s="950">
        <f t="shared" si="3"/>
        <v>495.04950495049508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>
        <v>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>
        <v>0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v>0</v>
      </c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2380974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525200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627075</v>
      </c>
      <c r="H97" s="1101"/>
      <c r="I97" s="950">
        <f t="shared" si="3"/>
        <v>3104.3316831683169</v>
      </c>
      <c r="J97" s="1102"/>
      <c r="K97" s="1166">
        <f>I97/I250</f>
        <v>6.5227708800449681E-3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627075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166655.56292031202</v>
      </c>
      <c r="H102" s="1111"/>
      <c r="I102" s="950">
        <f t="shared" si="3"/>
        <v>825.02753920946543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166655.56292031202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151655.56292031202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2974379.2926180125</v>
      </c>
      <c r="N103" s="1172">
        <v>3033111.2584062405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166655.56292031202</v>
      </c>
      <c r="H114" s="1101"/>
      <c r="I114" s="950">
        <f t="shared" si="3"/>
        <v>825.02753920946543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166655.56292031202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2807769.5355810844</v>
      </c>
      <c r="H116" s="1177"/>
      <c r="I116" s="950">
        <f t="shared" si="3"/>
        <v>13899.849186044972</v>
      </c>
      <c r="J116" s="1178"/>
      <c r="K116" s="1179" t="s">
        <v>822</v>
      </c>
      <c r="L116" s="1073"/>
      <c r="M116" s="1180">
        <f>0.5*Data!C20*Data!C17/12*Data!C19</f>
        <v>2499543.5681910082</v>
      </c>
      <c r="N116" s="1181">
        <v>2807769.5355810844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2807769.5355810844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701942.38389527111</v>
      </c>
      <c r="H117" s="1094"/>
      <c r="I117" s="950">
        <f t="shared" si="3"/>
        <v>3474.962296511243</v>
      </c>
      <c r="J117" s="1015"/>
      <c r="K117" s="1184" t="s">
        <v>824</v>
      </c>
      <c r="L117" s="1185"/>
      <c r="M117" s="1186">
        <f>0.01*Data!C20</f>
        <v>624885.89204775204</v>
      </c>
      <c r="N117" s="1172">
        <v>701942.38389527111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701942.38389527111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1005905.5237702967</v>
      </c>
      <c r="H121" s="1117"/>
      <c r="I121" s="950">
        <f t="shared" si="3"/>
        <v>4979.7303156945381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1005905.5237702967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1005905.5237702967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115291.35758429067</v>
      </c>
      <c r="H125" s="1111"/>
      <c r="I125" s="950">
        <f t="shared" si="3"/>
        <v>570.74929497173605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115291.35758429067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105291.35758429067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93732.883807162798</v>
      </c>
      <c r="N126" s="1172">
        <v>105291.35758429067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76.237623762376231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4646308.8008309435</v>
      </c>
      <c r="H148" s="1128"/>
      <c r="I148" s="950">
        <f t="shared" si="6"/>
        <v>23001.528716984867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4646308.8008309435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963828.50399999996</v>
      </c>
      <c r="H151" s="1093"/>
      <c r="I151" s="950">
        <f t="shared" ref="I151:I158" si="7">G151/$F$9</f>
        <v>4771.4282376237625</v>
      </c>
      <c r="J151" s="1094"/>
      <c r="K151" s="1244" t="s">
        <v>862</v>
      </c>
      <c r="L151" s="1245"/>
      <c r="M151" s="1558">
        <f>Data!C31*Data!C30</f>
        <v>724977.85526254575</v>
      </c>
      <c r="N151" s="1345">
        <v>963828.50399999996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82997.811895490886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862</v>
      </c>
      <c r="L162" s="1245"/>
      <c r="M162" s="1343">
        <f>Data!C38*Data!C39</f>
        <v>909956.23790981772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2729868.7137294528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5623973.0284297671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297.02970297029702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247.52475247524754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544.55445544554459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4207247.5</v>
      </c>
      <c r="H178" s="1093"/>
      <c r="I178" s="950">
        <f t="shared" si="6"/>
        <v>20827.95792079208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4207247.5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4207247.5</v>
      </c>
      <c r="H181" s="1128"/>
      <c r="I181" s="950">
        <f t="shared" si="6"/>
        <v>20827.95792079208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4207247.5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64.356435643564353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59.405940594059409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123.76237623762377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71.78217821782178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461.63366336633663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247.52475247524754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1391.0891089108911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529737.7101016253</v>
      </c>
      <c r="H233" s="1111"/>
      <c r="I233" s="950">
        <f t="shared" si="8"/>
        <v>2622.4639113941848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529737.7101016253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968487.7101016253</v>
      </c>
      <c r="H234" s="1282"/>
      <c r="I234" s="950">
        <f t="shared" si="8"/>
        <v>4794.4936143644818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968487.7101016253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12376.237623762376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102.72277227722772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12478.960396039603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3.3003300330033003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9.9009900990099009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13.201320132013201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96136291.084269539</v>
      </c>
      <c r="H250" s="1298"/>
      <c r="I250" s="1299">
        <f>G250/F9</f>
        <v>475922.23309044325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548.19745383575992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202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175368</v>
      </c>
      <c r="D5" t="s">
        <v>427</v>
      </c>
      <c r="G5" s="510"/>
    </row>
    <row r="6" spans="1:15">
      <c r="B6" s="1350" t="s">
        <v>12</v>
      </c>
      <c r="C6" s="700">
        <f>'Construction Calculation'!C14</f>
        <v>175368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29228</v>
      </c>
      <c r="D8" t="s">
        <v>427</v>
      </c>
      <c r="G8" s="510"/>
    </row>
    <row r="9" spans="1:15">
      <c r="B9" s="1350" t="s">
        <v>429</v>
      </c>
      <c r="C9" s="700">
        <f>'Construction Calculation'!C47</f>
        <v>101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1099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62488589.204775199</v>
      </c>
      <c r="D20" s="1375">
        <f>MIN(D22,GapCalc!D24)</f>
        <v>62488589.204775199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62488589.204775199</v>
      </c>
      <c r="G22" s="147"/>
    </row>
    <row r="23" spans="1:13">
      <c r="A23" s="1430" t="s">
        <v>438</v>
      </c>
      <c r="B23" s="1370"/>
      <c r="C23" s="1370" t="s">
        <v>67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0.04</v>
      </c>
      <c r="D24" s="1425">
        <f>PMT(C24/12,C25*12,C30)*12</f>
        <v>-3904247.5000000494</v>
      </c>
      <c r="E24" s="1384"/>
      <c r="G24" s="1377"/>
      <c r="H24" s="1385"/>
      <c r="K24" s="1425"/>
    </row>
    <row r="25" spans="1:13">
      <c r="A25" s="1371"/>
      <c r="B25" t="s">
        <v>1100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3904247.5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71492364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72497785.526254579</v>
      </c>
      <c r="D30" s="1376">
        <f>-PV($C$24/12,$C$29*12,C27/12)</f>
        <v>72497785.526254579</v>
      </c>
      <c r="E30" s="1384"/>
      <c r="F30" t="s">
        <v>437</v>
      </c>
      <c r="G30" s="1381"/>
      <c r="H30" s="1376">
        <f>PV(G23,G29,-'Cash Flow'!E41*H28,)</f>
        <v>6294184.530107474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1100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3904247.5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90995623.79098177</v>
      </c>
      <c r="D38" s="516" t="s">
        <v>1038</v>
      </c>
      <c r="E38" s="1391">
        <f>C37*GapCalc!D24</f>
        <v>76909032.867415637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64212234.304786935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6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6265680</v>
      </c>
      <c r="F12" s="89">
        <f>E12*(1+$D$12)</f>
        <v>6422321.9999999991</v>
      </c>
      <c r="G12" s="89">
        <f t="shared" ref="G12:AH12" si="0">F12*(1+$D$12)</f>
        <v>6582880.0499999989</v>
      </c>
      <c r="H12" s="89">
        <f t="shared" si="0"/>
        <v>6747452.0512499986</v>
      </c>
      <c r="I12" s="89">
        <f t="shared" si="0"/>
        <v>6916138.3525312478</v>
      </c>
      <c r="J12" s="89">
        <f t="shared" si="0"/>
        <v>7089041.8113445286</v>
      </c>
      <c r="K12" s="89">
        <f t="shared" si="0"/>
        <v>7266267.8566281414</v>
      </c>
      <c r="L12" s="89">
        <f t="shared" si="0"/>
        <v>7447924.5530438442</v>
      </c>
      <c r="M12" s="89">
        <f t="shared" si="0"/>
        <v>7634122.6668699393</v>
      </c>
      <c r="N12" s="89">
        <f t="shared" si="0"/>
        <v>7824975.733541687</v>
      </c>
      <c r="O12" s="89">
        <f t="shared" si="0"/>
        <v>8020600.1268802285</v>
      </c>
      <c r="P12" s="89">
        <f t="shared" si="0"/>
        <v>8221115.1300522331</v>
      </c>
      <c r="Q12" s="89">
        <f t="shared" si="0"/>
        <v>8426643.008303538</v>
      </c>
      <c r="R12" s="89">
        <f t="shared" si="0"/>
        <v>8637309.0835111253</v>
      </c>
      <c r="S12" s="90">
        <f t="shared" si="0"/>
        <v>8853241.8105989024</v>
      </c>
      <c r="T12" s="89">
        <f t="shared" si="0"/>
        <v>9074572.8558638748</v>
      </c>
      <c r="U12" s="89">
        <f t="shared" si="0"/>
        <v>9301437.1772604715</v>
      </c>
      <c r="V12" s="89">
        <f t="shared" si="0"/>
        <v>9533973.1066919826</v>
      </c>
      <c r="W12" s="89">
        <f t="shared" si="0"/>
        <v>9772322.4343592804</v>
      </c>
      <c r="X12" s="89">
        <f t="shared" si="0"/>
        <v>10016630.495218262</v>
      </c>
      <c r="Y12" s="89">
        <f t="shared" si="0"/>
        <v>10267046.257598719</v>
      </c>
      <c r="Z12" s="89">
        <f t="shared" si="0"/>
        <v>10523722.414038686</v>
      </c>
      <c r="AA12" s="89">
        <f t="shared" si="0"/>
        <v>10786815.474389652</v>
      </c>
      <c r="AB12" s="89">
        <f t="shared" si="0"/>
        <v>11056485.861249393</v>
      </c>
      <c r="AC12" s="89">
        <f t="shared" si="0"/>
        <v>11332898.007780626</v>
      </c>
      <c r="AD12" s="89">
        <f t="shared" si="0"/>
        <v>11616220.457975142</v>
      </c>
      <c r="AE12" s="89">
        <f t="shared" si="0"/>
        <v>11906625.96942452</v>
      </c>
      <c r="AF12" s="89">
        <f t="shared" si="0"/>
        <v>12204291.618660131</v>
      </c>
      <c r="AG12" s="89">
        <f t="shared" si="0"/>
        <v>12509398.909126634</v>
      </c>
      <c r="AH12" s="89">
        <f t="shared" si="0"/>
        <v>12822133.881854799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-313563</v>
      </c>
      <c r="F14" s="100">
        <f t="shared" ref="F14:AH14" si="2">-((F12+F13)*$C$14)</f>
        <v>-321402.07499999995</v>
      </c>
      <c r="G14" s="100">
        <f t="shared" si="2"/>
        <v>-329437.12687499996</v>
      </c>
      <c r="H14" s="100">
        <f t="shared" si="2"/>
        <v>-337673.05504687497</v>
      </c>
      <c r="I14" s="100">
        <f t="shared" si="2"/>
        <v>-346114.88142304681</v>
      </c>
      <c r="J14" s="100">
        <f t="shared" si="2"/>
        <v>-354767.7534586229</v>
      </c>
      <c r="K14" s="100">
        <f t="shared" si="2"/>
        <v>-363636.9472950885</v>
      </c>
      <c r="L14" s="100">
        <f t="shared" si="2"/>
        <v>-372727.87097746565</v>
      </c>
      <c r="M14" s="100">
        <f t="shared" si="2"/>
        <v>-382046.06775190227</v>
      </c>
      <c r="N14" s="100">
        <f t="shared" si="2"/>
        <v>-391597.21944569977</v>
      </c>
      <c r="O14" s="100">
        <f t="shared" si="2"/>
        <v>-401387.14993184223</v>
      </c>
      <c r="P14" s="100">
        <f t="shared" si="2"/>
        <v>-411421.82868013822</v>
      </c>
      <c r="Q14" s="100">
        <f t="shared" si="2"/>
        <v>-421707.37439714163</v>
      </c>
      <c r="R14" s="100">
        <f t="shared" si="2"/>
        <v>-432250.0587570701</v>
      </c>
      <c r="S14" s="101">
        <f t="shared" si="2"/>
        <v>-443056.31022599689</v>
      </c>
      <c r="T14" s="100">
        <f t="shared" si="2"/>
        <v>-454132.71798164671</v>
      </c>
      <c r="U14" s="100">
        <f t="shared" si="2"/>
        <v>-465486.03593118791</v>
      </c>
      <c r="V14" s="100">
        <f t="shared" si="2"/>
        <v>-477123.18682946754</v>
      </c>
      <c r="W14" s="100">
        <f t="shared" si="2"/>
        <v>-489051.26650020416</v>
      </c>
      <c r="X14" s="100">
        <f t="shared" si="2"/>
        <v>-501277.54816270922</v>
      </c>
      <c r="Y14" s="100">
        <f t="shared" si="2"/>
        <v>-513809.48686677695</v>
      </c>
      <c r="Z14" s="100">
        <f t="shared" si="2"/>
        <v>-526654.72403844632</v>
      </c>
      <c r="AA14" s="100">
        <f t="shared" si="2"/>
        <v>-539821.09213940741</v>
      </c>
      <c r="AB14" s="100">
        <f t="shared" si="2"/>
        <v>-553316.61944289261</v>
      </c>
      <c r="AC14" s="100">
        <f t="shared" si="2"/>
        <v>-567149.5349289648</v>
      </c>
      <c r="AD14" s="100">
        <f t="shared" si="2"/>
        <v>-581328.27330218896</v>
      </c>
      <c r="AE14" s="100">
        <f t="shared" si="2"/>
        <v>-595861.48013474362</v>
      </c>
      <c r="AF14" s="100">
        <f t="shared" si="2"/>
        <v>-610758.01713811222</v>
      </c>
      <c r="AG14" s="100">
        <f t="shared" si="2"/>
        <v>-626026.96756656503</v>
      </c>
      <c r="AH14" s="100">
        <f t="shared" si="2"/>
        <v>-641677.64175572898</v>
      </c>
    </row>
    <row r="15" spans="1:34">
      <c r="A15" s="76"/>
      <c r="B15" s="102" t="s">
        <v>311</v>
      </c>
      <c r="C15" s="76"/>
      <c r="D15" s="76"/>
      <c r="E15" s="95">
        <f>SUM(E12:E14)</f>
        <v>5957697</v>
      </c>
      <c r="F15" s="95">
        <f t="shared" ref="F15:AH15" si="3">SUM(F12:F14)</f>
        <v>6106639.4249999989</v>
      </c>
      <c r="G15" s="103">
        <f t="shared" si="3"/>
        <v>6259305.4106249986</v>
      </c>
      <c r="H15" s="104">
        <f t="shared" si="3"/>
        <v>6415788.0458906237</v>
      </c>
      <c r="I15" s="104">
        <f t="shared" si="3"/>
        <v>6576182.7470378885</v>
      </c>
      <c r="J15" s="95">
        <f t="shared" si="3"/>
        <v>6740587.3157138349</v>
      </c>
      <c r="K15" s="103">
        <f t="shared" si="3"/>
        <v>6909101.9986066809</v>
      </c>
      <c r="L15" s="95">
        <f t="shared" si="3"/>
        <v>7081829.5485718464</v>
      </c>
      <c r="M15" s="95">
        <f t="shared" si="3"/>
        <v>7258875.2872861428</v>
      </c>
      <c r="N15" s="95">
        <f t="shared" si="3"/>
        <v>7440347.1694682948</v>
      </c>
      <c r="O15" s="95">
        <f t="shared" si="3"/>
        <v>7626355.8487050021</v>
      </c>
      <c r="P15" s="95">
        <f t="shared" si="3"/>
        <v>7817014.7449226258</v>
      </c>
      <c r="Q15" s="95">
        <f t="shared" si="3"/>
        <v>8012440.1135456897</v>
      </c>
      <c r="R15" s="95">
        <f t="shared" si="3"/>
        <v>8212751.1163843311</v>
      </c>
      <c r="S15" s="96">
        <f t="shared" si="3"/>
        <v>8418069.8942939397</v>
      </c>
      <c r="T15" s="95">
        <f t="shared" si="3"/>
        <v>8628521.6416512877</v>
      </c>
      <c r="U15" s="95">
        <f t="shared" si="3"/>
        <v>8844234.6826925687</v>
      </c>
      <c r="V15" s="95">
        <f t="shared" si="3"/>
        <v>9065340.5497598816</v>
      </c>
      <c r="W15" s="95">
        <f t="shared" si="3"/>
        <v>9291974.0635038782</v>
      </c>
      <c r="X15" s="95">
        <f t="shared" si="3"/>
        <v>9524273.4150914736</v>
      </c>
      <c r="Y15" s="95">
        <f t="shared" si="3"/>
        <v>9762380.2504687607</v>
      </c>
      <c r="Z15" s="95">
        <f t="shared" si="3"/>
        <v>10006439.75673048</v>
      </c>
      <c r="AA15" s="95">
        <f t="shared" si="3"/>
        <v>10256600.750648741</v>
      </c>
      <c r="AB15" s="95">
        <f t="shared" si="3"/>
        <v>10513015.769414959</v>
      </c>
      <c r="AC15" s="95">
        <f t="shared" si="3"/>
        <v>10775841.163650332</v>
      </c>
      <c r="AD15" s="95">
        <f t="shared" si="3"/>
        <v>11045237.192741591</v>
      </c>
      <c r="AE15" s="95">
        <f t="shared" si="3"/>
        <v>11321368.122560129</v>
      </c>
      <c r="AF15" s="95">
        <f t="shared" si="3"/>
        <v>11604402.325624131</v>
      </c>
      <c r="AG15" s="95">
        <f t="shared" si="3"/>
        <v>11894512.383764734</v>
      </c>
      <c r="AH15" s="95">
        <f t="shared" si="3"/>
        <v>12191875.19335885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314</v>
      </c>
      <c r="C19" s="1713" t="s">
        <v>1103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4685097</v>
      </c>
      <c r="F21" s="95">
        <f t="shared" si="8"/>
        <v>4791619.4249999989</v>
      </c>
      <c r="G21" s="95">
        <f t="shared" si="8"/>
        <v>4900380.7106249984</v>
      </c>
      <c r="H21" s="95">
        <f t="shared" si="8"/>
        <v>5011421.9813906234</v>
      </c>
      <c r="I21" s="95">
        <f t="shared" si="8"/>
        <v>5124784.8702803887</v>
      </c>
      <c r="J21" s="95">
        <f t="shared" si="8"/>
        <v>5240511.513269823</v>
      </c>
      <c r="K21" s="95">
        <f t="shared" si="8"/>
        <v>5358644.543077128</v>
      </c>
      <c r="L21" s="95">
        <f t="shared" si="8"/>
        <v>5479227.0820987597</v>
      </c>
      <c r="M21" s="95">
        <f t="shared" si="8"/>
        <v>5602302.7344864979</v>
      </c>
      <c r="N21" s="95">
        <f t="shared" si="8"/>
        <v>5727915.5773206633</v>
      </c>
      <c r="O21" s="95">
        <f t="shared" si="8"/>
        <v>5856110.1508322032</v>
      </c>
      <c r="P21" s="95">
        <f t="shared" si="8"/>
        <v>5986931.4476242792</v>
      </c>
      <c r="Q21" s="95">
        <f t="shared" si="8"/>
        <v>6120424.9008419011</v>
      </c>
      <c r="R21" s="95">
        <f t="shared" si="8"/>
        <v>6256636.3712359099</v>
      </c>
      <c r="S21" s="96">
        <f t="shared" si="8"/>
        <v>6395612.1330653243</v>
      </c>
      <c r="T21" s="95">
        <f t="shared" si="8"/>
        <v>6537398.8587796707</v>
      </c>
      <c r="U21" s="95">
        <f t="shared" si="8"/>
        <v>6682043.6024204455</v>
      </c>
      <c r="V21" s="95">
        <f t="shared" si="8"/>
        <v>6829593.7816782333</v>
      </c>
      <c r="W21" s="95">
        <f t="shared" si="8"/>
        <v>6980097.1585393734</v>
      </c>
      <c r="X21" s="95">
        <f t="shared" si="8"/>
        <v>7133601.8184532113</v>
      </c>
      <c r="Y21" s="95">
        <f t="shared" si="8"/>
        <v>7290156.1479481589</v>
      </c>
      <c r="Z21" s="95">
        <f t="shared" si="8"/>
        <v>7449808.8106216574</v>
      </c>
      <c r="AA21" s="95">
        <f t="shared" si="8"/>
        <v>7612608.7214261089</v>
      </c>
      <c r="AB21" s="95">
        <f t="shared" si="8"/>
        <v>7778605.0191695364</v>
      </c>
      <c r="AC21" s="95">
        <f t="shared" si="8"/>
        <v>7947847.0371463187</v>
      </c>
      <c r="AD21" s="95">
        <f t="shared" si="8"/>
        <v>8120384.2718099384</v>
      </c>
      <c r="AE21" s="95">
        <f t="shared" si="8"/>
        <v>8296266.3493958674</v>
      </c>
      <c r="AF21" s="95">
        <f t="shared" si="8"/>
        <v>8475542.9903991222</v>
      </c>
      <c r="AG21" s="95">
        <f t="shared" si="8"/>
        <v>8658263.9718068503</v>
      </c>
      <c r="AH21" s="95">
        <f t="shared" si="8"/>
        <v>8844479.0869824402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-3904247.5</v>
      </c>
      <c r="F22" s="95">
        <f t="shared" ref="F22:AH22" si="9">$E$22</f>
        <v>-3904247.5</v>
      </c>
      <c r="G22" s="95">
        <f t="shared" si="9"/>
        <v>-3904247.5</v>
      </c>
      <c r="H22" s="95">
        <f t="shared" si="9"/>
        <v>-3904247.5</v>
      </c>
      <c r="I22" s="95">
        <f t="shared" si="9"/>
        <v>-3904247.5</v>
      </c>
      <c r="J22" s="95">
        <f t="shared" si="9"/>
        <v>-3904247.5</v>
      </c>
      <c r="K22" s="95">
        <f t="shared" si="9"/>
        <v>-3904247.5</v>
      </c>
      <c r="L22" s="95">
        <f t="shared" si="9"/>
        <v>-3904247.5</v>
      </c>
      <c r="M22" s="95">
        <f t="shared" si="9"/>
        <v>-3904247.5</v>
      </c>
      <c r="N22" s="95">
        <f t="shared" si="9"/>
        <v>-3904247.5</v>
      </c>
      <c r="O22" s="95">
        <f t="shared" si="9"/>
        <v>-3904247.5</v>
      </c>
      <c r="P22" s="95">
        <f t="shared" si="9"/>
        <v>-3904247.5</v>
      </c>
      <c r="Q22" s="95">
        <f t="shared" si="9"/>
        <v>-3904247.5</v>
      </c>
      <c r="R22" s="95">
        <f t="shared" si="9"/>
        <v>-3904247.5</v>
      </c>
      <c r="S22" s="96">
        <f t="shared" si="9"/>
        <v>-3904247.5</v>
      </c>
      <c r="T22" s="95">
        <f t="shared" si="9"/>
        <v>-3904247.5</v>
      </c>
      <c r="U22" s="95">
        <f t="shared" si="9"/>
        <v>-3904247.5</v>
      </c>
      <c r="V22" s="95">
        <f t="shared" si="9"/>
        <v>-3904247.5</v>
      </c>
      <c r="W22" s="95">
        <f t="shared" si="9"/>
        <v>-3904247.5</v>
      </c>
      <c r="X22" s="95">
        <f t="shared" si="9"/>
        <v>-3904247.5</v>
      </c>
      <c r="Y22" s="95">
        <f t="shared" si="9"/>
        <v>-3904247.5</v>
      </c>
      <c r="Z22" s="95">
        <f t="shared" si="9"/>
        <v>-3904247.5</v>
      </c>
      <c r="AA22" s="95">
        <f t="shared" si="9"/>
        <v>-3904247.5</v>
      </c>
      <c r="AB22" s="95">
        <f t="shared" si="9"/>
        <v>-3904247.5</v>
      </c>
      <c r="AC22" s="95">
        <f t="shared" si="9"/>
        <v>-3904247.5</v>
      </c>
      <c r="AD22" s="95">
        <f t="shared" si="9"/>
        <v>-3904247.5</v>
      </c>
      <c r="AE22" s="95">
        <f t="shared" si="9"/>
        <v>-3904247.5</v>
      </c>
      <c r="AF22" s="95">
        <f t="shared" si="9"/>
        <v>-3904247.5</v>
      </c>
      <c r="AG22" s="95">
        <f t="shared" si="9"/>
        <v>-3904247.5</v>
      </c>
      <c r="AH22" s="95">
        <f t="shared" si="9"/>
        <v>-3904247.5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780849.5</v>
      </c>
      <c r="F25" s="119">
        <f t="shared" ref="F25:AH25" si="11">+F21+F22+F23</f>
        <v>887371.92499999888</v>
      </c>
      <c r="G25" s="119">
        <f t="shared" si="11"/>
        <v>996133.21062499844</v>
      </c>
      <c r="H25" s="119">
        <f t="shared" si="11"/>
        <v>1107174.4813906234</v>
      </c>
      <c r="I25" s="119">
        <f t="shared" si="11"/>
        <v>1220537.3702803887</v>
      </c>
      <c r="J25" s="119">
        <f t="shared" si="11"/>
        <v>1336264.013269823</v>
      </c>
      <c r="K25" s="119">
        <f t="shared" si="11"/>
        <v>1454397.043077128</v>
      </c>
      <c r="L25" s="119">
        <f t="shared" si="11"/>
        <v>1574979.5820987597</v>
      </c>
      <c r="M25" s="119">
        <f t="shared" si="11"/>
        <v>1698055.2344864979</v>
      </c>
      <c r="N25" s="119">
        <f t="shared" si="11"/>
        <v>1823668.0773206633</v>
      </c>
      <c r="O25" s="119">
        <f t="shared" si="11"/>
        <v>1951862.6508322032</v>
      </c>
      <c r="P25" s="119">
        <f t="shared" si="11"/>
        <v>2082683.9476242792</v>
      </c>
      <c r="Q25" s="119">
        <f t="shared" si="11"/>
        <v>2216177.4008419011</v>
      </c>
      <c r="R25" s="119">
        <f t="shared" si="11"/>
        <v>2352388.8712359099</v>
      </c>
      <c r="S25" s="160">
        <f t="shared" si="11"/>
        <v>2491364.6330653243</v>
      </c>
      <c r="T25" s="119">
        <f t="shared" si="11"/>
        <v>2633151.3587796707</v>
      </c>
      <c r="U25" s="119">
        <f t="shared" si="11"/>
        <v>2777796.1024204455</v>
      </c>
      <c r="V25" s="119">
        <f t="shared" si="11"/>
        <v>2925346.2816782333</v>
      </c>
      <c r="W25" s="119">
        <f t="shared" si="11"/>
        <v>3075849.6585393734</v>
      </c>
      <c r="X25" s="119">
        <f t="shared" si="11"/>
        <v>3229354.3184532113</v>
      </c>
      <c r="Y25" s="119">
        <f t="shared" si="11"/>
        <v>3385908.6479481589</v>
      </c>
      <c r="Z25" s="119">
        <f t="shared" si="11"/>
        <v>3545561.3106216574</v>
      </c>
      <c r="AA25" s="119">
        <f t="shared" si="11"/>
        <v>3708361.2214261089</v>
      </c>
      <c r="AB25" s="119">
        <f t="shared" si="11"/>
        <v>3874357.5191695364</v>
      </c>
      <c r="AC25" s="119">
        <f t="shared" si="11"/>
        <v>4043599.5371463187</v>
      </c>
      <c r="AD25" s="119">
        <f t="shared" si="11"/>
        <v>4216136.7718099384</v>
      </c>
      <c r="AE25" s="119">
        <f t="shared" si="11"/>
        <v>4392018.8493958674</v>
      </c>
      <c r="AF25" s="119">
        <f t="shared" si="11"/>
        <v>4571295.4903991222</v>
      </c>
      <c r="AG25" s="119">
        <f t="shared" si="11"/>
        <v>4754016.4718068503</v>
      </c>
      <c r="AH25" s="119">
        <f t="shared" si="11"/>
        <v>4940231.5869824402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1.2272837275300807</v>
      </c>
      <c r="G27" s="122">
        <f t="shared" si="12"/>
        <v>1.255140897349617</v>
      </c>
      <c r="H27" s="122">
        <f t="shared" si="12"/>
        <v>1.2835820427343869</v>
      </c>
      <c r="I27" s="122">
        <f t="shared" si="12"/>
        <v>1.3126178271947126</v>
      </c>
      <c r="J27" s="122">
        <f t="shared" si="12"/>
        <v>1.3422590430729155</v>
      </c>
      <c r="K27" s="122">
        <f t="shared" si="12"/>
        <v>1.3725166099426658</v>
      </c>
      <c r="L27" s="122">
        <f t="shared" si="12"/>
        <v>1.4034015727995623</v>
      </c>
      <c r="M27" s="122">
        <f t="shared" si="12"/>
        <v>1.4349251000318237</v>
      </c>
      <c r="N27" s="122">
        <f t="shared" si="12"/>
        <v>1.4670984811594714</v>
      </c>
      <c r="O27" s="122">
        <f t="shared" si="12"/>
        <v>1.4999331243299006</v>
      </c>
      <c r="P27" s="122">
        <f t="shared" si="12"/>
        <v>1.5334405535571911</v>
      </c>
      <c r="Q27" s="122">
        <f t="shared" si="12"/>
        <v>1.5676324056919806</v>
      </c>
      <c r="R27" s="122">
        <f t="shared" si="12"/>
        <v>1.6025204271081457</v>
      </c>
      <c r="S27" s="161">
        <f t="shared" si="12"/>
        <v>1.638116470091951</v>
      </c>
      <c r="T27" s="122">
        <f t="shared" si="12"/>
        <v>1.674432488918715</v>
      </c>
      <c r="U27" s="122">
        <f t="shared" si="12"/>
        <v>1.7114805356014047</v>
      </c>
      <c r="V27" s="122">
        <f t="shared" si="12"/>
        <v>1.7492727552949021</v>
      </c>
      <c r="W27" s="122">
        <f t="shared" si="12"/>
        <v>1.7878213813390091</v>
      </c>
      <c r="X27" s="122">
        <f t="shared" si="12"/>
        <v>1.8271387299225297</v>
      </c>
      <c r="Y27" s="122">
        <f t="shared" si="12"/>
        <v>1.8672371943500403</v>
      </c>
      <c r="Z27" s="122">
        <f t="shared" si="12"/>
        <v>1.90812923889217</v>
      </c>
      <c r="AA27" s="122">
        <f t="shared" si="12"/>
        <v>1.9498273921994209</v>
      </c>
      <c r="AB27" s="122">
        <f t="shared" si="12"/>
        <v>1.9923442402587275</v>
      </c>
      <c r="AC27" s="122">
        <f t="shared" si="12"/>
        <v>2.0356924188710677</v>
      </c>
      <c r="AD27" s="122">
        <f t="shared" si="12"/>
        <v>2.0798846056275733</v>
      </c>
      <c r="AE27" s="122">
        <f t="shared" si="12"/>
        <v>2.1249335113606058</v>
      </c>
      <c r="AF27" s="122">
        <f t="shared" si="12"/>
        <v>2.1708518710453482</v>
      </c>
      <c r="AG27" s="122">
        <f t="shared" si="12"/>
        <v>2.2176524341263844</v>
      </c>
      <c r="AH27" s="122">
        <f t="shared" si="12"/>
        <v>2.2653479542427677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780849.5</v>
      </c>
      <c r="F41" s="129">
        <f t="shared" ref="F41:S41" si="20">F25+F37</f>
        <v>887371.92499999888</v>
      </c>
      <c r="G41" s="129">
        <f t="shared" si="20"/>
        <v>996133.21062499844</v>
      </c>
      <c r="H41" s="129">
        <f t="shared" si="20"/>
        <v>1107174.4813906234</v>
      </c>
      <c r="I41" s="129">
        <f t="shared" si="20"/>
        <v>1220537.3702803887</v>
      </c>
      <c r="J41" s="129">
        <f t="shared" si="20"/>
        <v>1336264.013269823</v>
      </c>
      <c r="K41" s="129">
        <f t="shared" si="20"/>
        <v>1454397.043077128</v>
      </c>
      <c r="L41" s="129">
        <f t="shared" si="20"/>
        <v>1574979.5820987597</v>
      </c>
      <c r="M41" s="129">
        <f t="shared" si="20"/>
        <v>1698055.2344864979</v>
      </c>
      <c r="N41" s="129">
        <f t="shared" si="20"/>
        <v>1823668.0773206633</v>
      </c>
      <c r="O41" s="129">
        <f t="shared" si="20"/>
        <v>1951862.6508322032</v>
      </c>
      <c r="P41" s="129">
        <f t="shared" si="20"/>
        <v>2082683.9476242792</v>
      </c>
      <c r="Q41" s="129">
        <f t="shared" si="20"/>
        <v>2216177.4008419011</v>
      </c>
      <c r="R41" s="129">
        <f t="shared" si="20"/>
        <v>2352388.8712359099</v>
      </c>
      <c r="S41" s="130">
        <f t="shared" si="20"/>
        <v>2491364.6330653243</v>
      </c>
      <c r="T41" s="130">
        <f t="shared" ref="T41:AH41" si="21">T25+T37</f>
        <v>2633151.3587796707</v>
      </c>
      <c r="U41" s="130">
        <f t="shared" si="21"/>
        <v>2777796.1024204455</v>
      </c>
      <c r="V41" s="130">
        <f t="shared" si="21"/>
        <v>2925346.2816782333</v>
      </c>
      <c r="W41" s="130">
        <f t="shared" si="21"/>
        <v>3075849.6585393734</v>
      </c>
      <c r="X41" s="130">
        <f t="shared" si="21"/>
        <v>3229354.3184532113</v>
      </c>
      <c r="Y41" s="130">
        <f t="shared" si="21"/>
        <v>3385908.6479481589</v>
      </c>
      <c r="Z41" s="130">
        <f t="shared" si="21"/>
        <v>3545561.3106216574</v>
      </c>
      <c r="AA41" s="130">
        <f t="shared" si="21"/>
        <v>3708361.2214261089</v>
      </c>
      <c r="AB41" s="130">
        <f t="shared" si="21"/>
        <v>3874357.5191695364</v>
      </c>
      <c r="AC41" s="130">
        <f t="shared" si="21"/>
        <v>4043599.5371463187</v>
      </c>
      <c r="AD41" s="130">
        <f t="shared" si="21"/>
        <v>4216136.7718099384</v>
      </c>
      <c r="AE41" s="130">
        <f t="shared" si="21"/>
        <v>4392018.8493958674</v>
      </c>
      <c r="AF41" s="130">
        <f t="shared" si="21"/>
        <v>4571295.4903991222</v>
      </c>
      <c r="AG41" s="130">
        <f t="shared" si="21"/>
        <v>4754016.4718068503</v>
      </c>
      <c r="AH41" s="130">
        <f t="shared" si="21"/>
        <v>4940231.5869824402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663722.07499999995</v>
      </c>
      <c r="F42" s="129">
        <f t="shared" ref="F42:S42" si="22">((F41*$C$42))</f>
        <v>754266.13624999905</v>
      </c>
      <c r="G42" s="129">
        <f t="shared" si="22"/>
        <v>846713.2290312486</v>
      </c>
      <c r="H42" s="129">
        <f t="shared" si="22"/>
        <v>941098.3091820298</v>
      </c>
      <c r="I42" s="129">
        <f t="shared" si="22"/>
        <v>1037456.7647383304</v>
      </c>
      <c r="J42" s="129">
        <f t="shared" si="22"/>
        <v>1135824.4112793496</v>
      </c>
      <c r="K42" s="129">
        <f t="shared" si="22"/>
        <v>1236237.4866155589</v>
      </c>
      <c r="L42" s="129">
        <f t="shared" si="22"/>
        <v>1338732.6447839458</v>
      </c>
      <c r="M42" s="129">
        <f t="shared" si="22"/>
        <v>1443346.9493135232</v>
      </c>
      <c r="N42" s="129">
        <f t="shared" si="22"/>
        <v>1550117.8657225638</v>
      </c>
      <c r="O42" s="129">
        <f t="shared" si="22"/>
        <v>1659083.2532073727</v>
      </c>
      <c r="P42" s="129">
        <f t="shared" si="22"/>
        <v>1770281.3554806372</v>
      </c>
      <c r="Q42" s="129">
        <f t="shared" si="22"/>
        <v>1883750.790715616</v>
      </c>
      <c r="R42" s="129">
        <f t="shared" si="22"/>
        <v>1999530.5405505234</v>
      </c>
      <c r="S42" s="129">
        <f t="shared" si="22"/>
        <v>2117659.9381055254</v>
      </c>
      <c r="T42" s="129">
        <f t="shared" ref="T42:AH42" si="23">((T41*$C$42))</f>
        <v>2238178.6549627199</v>
      </c>
      <c r="U42" s="129">
        <f t="shared" si="23"/>
        <v>2361126.6870573787</v>
      </c>
      <c r="V42" s="129">
        <f t="shared" si="23"/>
        <v>2486544.3394264984</v>
      </c>
      <c r="W42" s="129">
        <f t="shared" si="23"/>
        <v>2614472.2097584675</v>
      </c>
      <c r="X42" s="129">
        <f t="shared" si="23"/>
        <v>2744951.1706852294</v>
      </c>
      <c r="Y42" s="129">
        <f t="shared" si="23"/>
        <v>2878022.3507559351</v>
      </c>
      <c r="Z42" s="129">
        <f t="shared" si="23"/>
        <v>3013727.1140284087</v>
      </c>
      <c r="AA42" s="129">
        <f t="shared" si="23"/>
        <v>3152107.0382121922</v>
      </c>
      <c r="AB42" s="129">
        <f t="shared" si="23"/>
        <v>3293203.8912941059</v>
      </c>
      <c r="AC42" s="129">
        <f t="shared" si="23"/>
        <v>3437059.606574371</v>
      </c>
      <c r="AD42" s="129">
        <f t="shared" si="23"/>
        <v>3583716.2560384474</v>
      </c>
      <c r="AE42" s="129">
        <f t="shared" si="23"/>
        <v>3733216.0219864873</v>
      </c>
      <c r="AF42" s="129">
        <f t="shared" si="23"/>
        <v>3885601.1668392536</v>
      </c>
      <c r="AG42" s="129">
        <f t="shared" si="23"/>
        <v>4040914.0010358226</v>
      </c>
      <c r="AH42" s="129">
        <f t="shared" si="23"/>
        <v>4199196.8489350742</v>
      </c>
    </row>
    <row r="43" spans="1:34">
      <c r="A43" s="86"/>
      <c r="B43" s="132" t="s">
        <v>330</v>
      </c>
      <c r="C43" s="324">
        <f>GapCalc!I32</f>
        <v>0.15000000000000002</v>
      </c>
      <c r="D43" s="133" t="s">
        <v>1048</v>
      </c>
      <c r="E43" s="108">
        <f>$C$43*(E41)</f>
        <v>117127.42500000002</v>
      </c>
      <c r="F43" s="108">
        <f t="shared" ref="F43:S43" si="24">$C$43*(F41)</f>
        <v>133105.78874999986</v>
      </c>
      <c r="G43" s="108">
        <f t="shared" si="24"/>
        <v>149419.98159374978</v>
      </c>
      <c r="H43" s="108">
        <f t="shared" si="24"/>
        <v>166076.17220859352</v>
      </c>
      <c r="I43" s="108">
        <f t="shared" si="24"/>
        <v>183080.60554205833</v>
      </c>
      <c r="J43" s="108">
        <f t="shared" si="24"/>
        <v>200439.60199047349</v>
      </c>
      <c r="K43" s="108">
        <f t="shared" si="24"/>
        <v>218159.55646156924</v>
      </c>
      <c r="L43" s="108">
        <f t="shared" si="24"/>
        <v>236246.93731481399</v>
      </c>
      <c r="M43" s="108">
        <f t="shared" si="24"/>
        <v>254708.28517297472</v>
      </c>
      <c r="N43" s="108">
        <f t="shared" si="24"/>
        <v>273550.2115980995</v>
      </c>
      <c r="O43" s="108">
        <f t="shared" si="24"/>
        <v>292779.39762483054</v>
      </c>
      <c r="P43" s="108">
        <f t="shared" si="24"/>
        <v>312402.5921436419</v>
      </c>
      <c r="Q43" s="108">
        <f t="shared" si="24"/>
        <v>332426.61012628523</v>
      </c>
      <c r="R43" s="108">
        <f t="shared" si="24"/>
        <v>352858.33068538655</v>
      </c>
      <c r="S43" s="108">
        <f t="shared" si="24"/>
        <v>373704.69495979871</v>
      </c>
      <c r="T43" s="108">
        <f t="shared" ref="T43:AH43" si="25">$C$43*(T41)</f>
        <v>394972.70381695067</v>
      </c>
      <c r="U43" s="108">
        <f t="shared" si="25"/>
        <v>416669.41536306689</v>
      </c>
      <c r="V43" s="108">
        <f t="shared" si="25"/>
        <v>438801.94225173508</v>
      </c>
      <c r="W43" s="108">
        <f t="shared" si="25"/>
        <v>461377.4487809061</v>
      </c>
      <c r="X43" s="108">
        <f t="shared" si="25"/>
        <v>484403.14776798175</v>
      </c>
      <c r="Y43" s="108">
        <f t="shared" si="25"/>
        <v>507886.29719222389</v>
      </c>
      <c r="Z43" s="108">
        <f t="shared" si="25"/>
        <v>531834.19659324863</v>
      </c>
      <c r="AA43" s="108">
        <f t="shared" si="25"/>
        <v>556254.18321391637</v>
      </c>
      <c r="AB43" s="108">
        <f t="shared" si="25"/>
        <v>581153.62787543051</v>
      </c>
      <c r="AC43" s="108">
        <f t="shared" si="25"/>
        <v>606539.93057194795</v>
      </c>
      <c r="AD43" s="108">
        <f t="shared" si="25"/>
        <v>632420.51577149087</v>
      </c>
      <c r="AE43" s="108">
        <f t="shared" si="25"/>
        <v>658802.82740938023</v>
      </c>
      <c r="AF43" s="108">
        <f t="shared" si="25"/>
        <v>685694.32355986838</v>
      </c>
      <c r="AG43" s="108">
        <f t="shared" si="25"/>
        <v>713102.47077102761</v>
      </c>
      <c r="AH43" s="108">
        <f t="shared" si="25"/>
        <v>741034.73804736615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>
        <f>E21/Data!$C$38</f>
        <v>5.1487058440983204E-2</v>
      </c>
      <c r="F46" s="1529">
        <f>F21/Data!$C$38</f>
        <v>5.2657690835840813E-2</v>
      </c>
      <c r="G46" s="1529">
        <f>G21/Data!$C$38</f>
        <v>5.3852927277923186E-2</v>
      </c>
      <c r="H46" s="1529">
        <f>H21/Data!$C$38</f>
        <v>5.5073219706718315E-2</v>
      </c>
      <c r="I46" s="1529">
        <f>I21/Data!$C$38</f>
        <v>5.6319025649542137E-2</v>
      </c>
      <c r="J46" s="1529">
        <f>J21/Data!$C$38</f>
        <v>5.7590808161361168E-2</v>
      </c>
      <c r="K46" s="1529">
        <f>K21/Data!$C$38</f>
        <v>5.8889035756115149E-2</v>
      </c>
      <c r="L46" s="1529">
        <f>L21/Data!$C$38</f>
        <v>6.021418232908235E-2</v>
      </c>
      <c r="M46" s="1529">
        <f>M21/Data!$C$38</f>
        <v>6.1566727069810152E-2</v>
      </c>
      <c r="N46" s="1529">
        <f>N21/Data!$C$38</f>
        <v>6.2947154365112834E-2</v>
      </c>
      <c r="O46" s="1529">
        <f>O21/Data!$C$38</f>
        <v>6.4355953691616757E-2</v>
      </c>
      <c r="P46" s="1529">
        <f>P21/Data!$C$38</f>
        <v>6.5793619497310607E-2</v>
      </c>
      <c r="Q46" s="1529">
        <f>Q21/Data!$C$38</f>
        <v>6.7260651071535088E-2</v>
      </c>
      <c r="R46" s="1529">
        <f>R21/Data!$C$38</f>
        <v>6.8757552402822053E-2</v>
      </c>
      <c r="S46" s="1529">
        <f>S21/Data!$C$38</f>
        <v>7.0284832023967833E-2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2.7301908281233279E-2</v>
      </c>
      <c r="F47" s="142">
        <f>F41/GapCalc!$H$33</f>
        <v>3.1026397414215395E-2</v>
      </c>
      <c r="G47" s="142">
        <f>G41/GapCalc!$H$33</f>
        <v>3.4829166891153979E-2</v>
      </c>
      <c r="H47" s="142">
        <f>H41/GapCalc!$H$33</f>
        <v>3.8711654604695042E-2</v>
      </c>
      <c r="I47" s="142">
        <f>I41/GapCalc!$H$33</f>
        <v>4.2675316225742395E-2</v>
      </c>
      <c r="J47" s="142">
        <f>J41/GapCalc!$H$33</f>
        <v>4.6721625011997059E-2</v>
      </c>
      <c r="K47" s="142">
        <f>K41/GapCalc!$H$33</f>
        <v>5.0852071589453068E-2</v>
      </c>
      <c r="L47" s="142">
        <f>L41/GapCalc!$H$33</f>
        <v>5.5068163705394517E-2</v>
      </c>
      <c r="M47" s="142">
        <f>M41/GapCalc!$H$33</f>
        <v>5.937142595137531E-2</v>
      </c>
      <c r="N47" s="142">
        <f>N41/GapCalc!$H$33</f>
        <v>6.376339945459629E-2</v>
      </c>
      <c r="O47" s="142">
        <f>O41/GapCalc!$H$33</f>
        <v>6.8245641536026691E-2</v>
      </c>
      <c r="P47" s="142">
        <f>P41/GapCalc!$H$33</f>
        <v>7.2819725333543694E-2</v>
      </c>
      <c r="Q47" s="142">
        <f>Q41/GapCalc!$H$33</f>
        <v>7.7487239388291274E-2</v>
      </c>
      <c r="R47" s="142">
        <f>R41/GapCalc!$H$33</f>
        <v>8.2249787192380464E-2</v>
      </c>
      <c r="S47" s="142">
        <f>S41/GapCalc!$H$33</f>
        <v>8.7108986695973917E-2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2.3206622039048289E-2</v>
      </c>
      <c r="F48" s="142">
        <f>F43/GapCalc!$H$32</f>
        <v>2.6372437802083089E-2</v>
      </c>
      <c r="G48" s="142">
        <f>G43/GapCalc!$H$32</f>
        <v>2.960479185748088E-2</v>
      </c>
      <c r="H48" s="142">
        <f>H43/GapCalc!$H$32</f>
        <v>3.2904906413990784E-2</v>
      </c>
      <c r="I48" s="142">
        <f>I43/GapCalc!$H$32</f>
        <v>3.6274018791881031E-2</v>
      </c>
      <c r="J48" s="142">
        <f>J43/GapCalc!$H$32</f>
        <v>3.9713381260197501E-2</v>
      </c>
      <c r="K48" s="142">
        <f>K43/GapCalc!$H$32</f>
        <v>4.3224260851035111E-2</v>
      </c>
      <c r="L48" s="142">
        <f>L43/GapCalc!$H$32</f>
        <v>4.6807939149585344E-2</v>
      </c>
      <c r="M48" s="142">
        <f>M43/GapCalc!$H$32</f>
        <v>5.0465712058669017E-2</v>
      </c>
      <c r="N48" s="142">
        <f>N43/GapCalc!$H$32</f>
        <v>5.4198889536406843E-2</v>
      </c>
      <c r="O48" s="142">
        <f>O43/GapCalc!$H$32</f>
        <v>5.8008795305622689E-2</v>
      </c>
      <c r="P48" s="142">
        <f>P43/GapCalc!$H$32</f>
        <v>6.1896766533512136E-2</v>
      </c>
      <c r="Q48" s="142">
        <f>Q43/GapCalc!$H$32</f>
        <v>6.586415348004758E-2</v>
      </c>
      <c r="R48" s="142">
        <f>R43/GapCalc!$H$32</f>
        <v>6.99123191135234E-2</v>
      </c>
      <c r="S48" s="142">
        <f>S43/GapCalc!$H$32</f>
        <v>7.4042638691577831E-2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28597447.524728384</v>
      </c>
      <c r="D66" s="1544"/>
      <c r="E66" s="1564" t="s">
        <v>284</v>
      </c>
      <c r="G66" s="1520" t="s">
        <v>1072</v>
      </c>
      <c r="H66" s="1565">
        <f>H70/1.63</f>
        <v>5046608.3867167747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6615318.4120965162</v>
      </c>
      <c r="D67" s="1545" t="s">
        <v>67</v>
      </c>
      <c r="G67" s="1521" t="s">
        <v>1073</v>
      </c>
      <c r="H67" s="1560">
        <f>SUMIFS(E43:AH43, E50:AH50, "&lt;=" &amp; VALUE(RIGHT(E66, LEN(E66)-FIND(" ", E66))))</f>
        <v>1167409.1315464443</v>
      </c>
      <c r="I67" s="1545" t="s">
        <v>67</v>
      </c>
    </row>
    <row r="68" spans="2:10">
      <c r="B68" s="1521" t="s">
        <v>1077</v>
      </c>
      <c r="C68" s="1568">
        <f>IF(GapCalc!D41*C42&lt; 0,0,GapCalc!D41*C42)</f>
        <v>8507816.8732574731</v>
      </c>
      <c r="D68" s="1545" t="s">
        <v>67</v>
      </c>
      <c r="G68" s="1521" t="s">
        <v>1078</v>
      </c>
      <c r="H68" s="1568">
        <f>IF(GapCalc!D41*C43&lt; 0,0,GapCalc!D41*C43)</f>
        <v>1501379.4482219073</v>
      </c>
      <c r="I68" s="1545" t="s">
        <v>67</v>
      </c>
    </row>
    <row r="69" spans="2:10">
      <c r="B69" s="1521" t="s">
        <v>1058</v>
      </c>
      <c r="C69" s="1568">
        <f>'Debt Calc'!E60</f>
        <v>31490704.179953273</v>
      </c>
      <c r="D69" s="1546">
        <v>0.9</v>
      </c>
      <c r="G69" s="1521" t="s">
        <v>1074</v>
      </c>
      <c r="H69" s="1568">
        <f>'Debt Calc'!E59*C43</f>
        <v>5557183.0905799903</v>
      </c>
      <c r="I69" s="1546">
        <v>0.9</v>
      </c>
    </row>
    <row r="70" spans="2:10">
      <c r="B70" s="1523" t="s">
        <v>1041</v>
      </c>
      <c r="C70" s="1577">
        <f>C67+C68+C69</f>
        <v>46613839.465307266</v>
      </c>
      <c r="D70" s="1545" t="s">
        <v>67</v>
      </c>
      <c r="G70" s="1523" t="s">
        <v>1041</v>
      </c>
      <c r="H70" s="1577">
        <f>H67+H68+H69</f>
        <v>8225971.6703483416</v>
      </c>
      <c r="I70" s="1545" t="s">
        <v>67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1.6299999999999997</v>
      </c>
      <c r="I71" s="1547"/>
    </row>
    <row r="72" spans="2:10">
      <c r="B72" s="1521" t="s">
        <v>1043</v>
      </c>
      <c r="C72" s="1524">
        <f>(C70-C66)/C66</f>
        <v>0.63</v>
      </c>
      <c r="D72" s="1548"/>
      <c r="G72" s="1521" t="s">
        <v>1043</v>
      </c>
      <c r="H72" s="1524">
        <f>(H70-H66)/H66</f>
        <v>0.62999999999999978</v>
      </c>
      <c r="I72" s="1548"/>
    </row>
    <row r="73" spans="2:10">
      <c r="B73" s="1523" t="s">
        <v>1044</v>
      </c>
      <c r="C73" s="1566">
        <f>C72/7</f>
        <v>0.09</v>
      </c>
      <c r="D73" s="1548"/>
      <c r="G73" s="1523" t="s">
        <v>1044</v>
      </c>
      <c r="H73" s="1566">
        <f>H72/7</f>
        <v>8.9999999999999969E-2</v>
      </c>
      <c r="I73" s="1548"/>
    </row>
    <row r="74" spans="2:10" ht="13.5" thickBot="1">
      <c r="B74" s="1578" t="s">
        <v>1079</v>
      </c>
      <c r="C74" s="1581">
        <f>GapCalc!H33</f>
        <v>28600546.597570196</v>
      </c>
      <c r="D74" s="1549"/>
      <c r="F74" s="1559"/>
      <c r="G74" s="1578" t="s">
        <v>1081</v>
      </c>
      <c r="H74" s="1581">
        <f>GapCalc!H32</f>
        <v>5047155.2819241527</v>
      </c>
      <c r="I74" s="1549"/>
    </row>
    <row r="75" spans="2:10">
      <c r="B75" s="70" t="s">
        <v>1080</v>
      </c>
      <c r="C75" s="1579">
        <f>(C70-C74)/C74</f>
        <v>0.62982337789542164</v>
      </c>
      <c r="G75" s="70" t="s">
        <v>1080</v>
      </c>
      <c r="H75" s="1579">
        <f>(H70-H74)/H74</f>
        <v>0.62982337789542164</v>
      </c>
    </row>
    <row r="76" spans="2:10">
      <c r="B76" s="70" t="s">
        <v>1044</v>
      </c>
      <c r="C76" s="1579">
        <f>C75/7</f>
        <v>8.9974768270774524E-2</v>
      </c>
      <c r="G76" s="70" t="s">
        <v>1044</v>
      </c>
      <c r="H76" s="1579">
        <f>H75/7</f>
        <v>8.9974768270774524E-2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10808518.191763345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10947515.871916547</v>
      </c>
      <c r="D81" s="1545" t="s">
        <v>67</v>
      </c>
    </row>
    <row r="82" spans="2:10">
      <c r="B82" s="1521" t="s">
        <v>1058</v>
      </c>
      <c r="C82" s="1568">
        <f>C68</f>
        <v>8507816.8732574731</v>
      </c>
      <c r="D82" s="1545" t="s">
        <v>67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19455332.745174021</v>
      </c>
      <c r="D84" s="1545" t="s">
        <v>67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0.79999999999999993</v>
      </c>
      <c r="D86" s="1548"/>
    </row>
    <row r="87" spans="2:10">
      <c r="B87" s="1523" t="s">
        <v>1044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37531816.81224677</v>
      </c>
      <c r="D93" s="1544"/>
      <c r="E93" s="1564" t="s">
        <v>287</v>
      </c>
      <c r="G93" s="1520" t="s">
        <v>1072</v>
      </c>
      <c r="H93" s="1565">
        <f>H97/1.63</f>
        <v>5515630.1254197732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10947515.871916547</v>
      </c>
      <c r="D94" s="1545" t="s">
        <v>67</v>
      </c>
      <c r="G94" s="1521" t="s">
        <v>1073</v>
      </c>
      <c r="H94" s="1560">
        <f>SUMIFS(E43:AH43, E50:AH50, "&lt;=" &amp; VALUE(RIGHT(J93, LEN(J93)-FIND(" ", J93))))</f>
        <v>1931914.5656323323</v>
      </c>
      <c r="I94" s="1545" t="s">
        <v>67</v>
      </c>
    </row>
    <row r="95" spans="2:10">
      <c r="B95" s="1521" t="s">
        <v>1077</v>
      </c>
      <c r="C95" s="1568">
        <f>IF(GapCalc!D41*C42&lt; 0,0,GapCalc!D41*C42)</f>
        <v>8507816.8732574731</v>
      </c>
      <c r="D95" s="1545" t="s">
        <v>67</v>
      </c>
      <c r="G95" s="1521" t="s">
        <v>1078</v>
      </c>
      <c r="H95" s="1568">
        <f>IF(GapCalc!D41*C43&lt; 0,0,GapCalc!D41*C43)</f>
        <v>1501379.4482219073</v>
      </c>
      <c r="I95" s="1545" t="s">
        <v>67</v>
      </c>
    </row>
    <row r="96" spans="2:10">
      <c r="B96" s="1521" t="s">
        <v>1058</v>
      </c>
      <c r="C96" s="1568">
        <f>'Debt Calc'!H60</f>
        <v>41721528.658788212</v>
      </c>
      <c r="D96" s="1546">
        <v>0.9</v>
      </c>
      <c r="G96" s="1521" t="s">
        <v>1074</v>
      </c>
      <c r="H96" s="1568">
        <f>'Debt Calc'!E59*C43</f>
        <v>5557183.0905799903</v>
      </c>
      <c r="I96" s="1546">
        <v>0.9</v>
      </c>
    </row>
    <row r="97" spans="2:9">
      <c r="B97" s="1523" t="s">
        <v>1041</v>
      </c>
      <c r="C97" s="1577">
        <f>C94+C95+C96</f>
        <v>61176861.403962232</v>
      </c>
      <c r="D97" s="1545" t="s">
        <v>67</v>
      </c>
      <c r="G97" s="1523" t="s">
        <v>1041</v>
      </c>
      <c r="H97" s="1577">
        <f>H94+H95+H96</f>
        <v>8990477.1044342294</v>
      </c>
      <c r="I97" s="1545" t="s">
        <v>67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0.62999999999999989</v>
      </c>
      <c r="D99" s="1548"/>
      <c r="G99" s="1521" t="s">
        <v>1043</v>
      </c>
      <c r="H99" s="1524">
        <f>(H97-H93)/H93</f>
        <v>0.62999999999999989</v>
      </c>
      <c r="I99" s="1548"/>
    </row>
    <row r="100" spans="2:9">
      <c r="B100" s="1523" t="s">
        <v>1044</v>
      </c>
      <c r="C100" s="1566">
        <f>C99/7</f>
        <v>8.9999999999999983E-2</v>
      </c>
      <c r="D100" s="1548"/>
      <c r="G100" s="1523" t="s">
        <v>1044</v>
      </c>
      <c r="H100" s="1566">
        <f>H99/7</f>
        <v>8.9999999999999983E-2</v>
      </c>
      <c r="I100" s="1548"/>
    </row>
    <row r="101" spans="2:9" ht="13.5" thickBot="1">
      <c r="B101" s="1578" t="s">
        <v>1079</v>
      </c>
      <c r="C101" s="1581">
        <f>GapCalc!H33</f>
        <v>28600546.597570196</v>
      </c>
      <c r="D101" s="1549"/>
      <c r="G101" s="1578" t="s">
        <v>1081</v>
      </c>
      <c r="H101" s="1581">
        <f>GapCalc!H32</f>
        <v>5047155.2819241527</v>
      </c>
      <c r="I101" s="1549"/>
    </row>
    <row r="102" spans="2:9">
      <c r="B102" s="70" t="s">
        <v>1080</v>
      </c>
      <c r="C102" s="1579">
        <f>(C97-C101)/C101</f>
        <v>1.1390102176984132</v>
      </c>
      <c r="G102" s="70" t="s">
        <v>1080</v>
      </c>
      <c r="H102" s="1579">
        <f>(H97-H101)/H101</f>
        <v>0.78129591864008274</v>
      </c>
    </row>
    <row r="103" spans="2:9">
      <c r="B103" s="70" t="s">
        <v>1044</v>
      </c>
      <c r="C103" s="1579">
        <f>C102/10</f>
        <v>0.11390102176984132</v>
      </c>
      <c r="G103" s="70" t="s">
        <v>1044</v>
      </c>
      <c r="H103" s="1579">
        <f>H102/10</f>
        <v>7.812959186400828E-2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146140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29228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175368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175368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175368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202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101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101</v>
      </c>
      <c r="D49" s="876"/>
      <c r="E49" s="855" t="s">
        <v>576</v>
      </c>
      <c r="F49" s="855"/>
      <c r="G49" s="923">
        <v>143</v>
      </c>
      <c r="H49" s="884">
        <f>C53*D53</f>
        <v>40133.903846153851</v>
      </c>
      <c r="I49" s="884">
        <f>G49*H49</f>
        <v>5739148.2500000009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59</v>
      </c>
      <c r="F51" s="929"/>
      <c r="G51" s="929"/>
      <c r="H51" s="930">
        <f>SUM(H48:H50)</f>
        <v>40133.903846153851</v>
      </c>
      <c r="I51" s="930">
        <f>SUM(I48:I50)</f>
        <v>5739148.2500000009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101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5739148.2500000009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101</v>
      </c>
      <c r="D55" s="855"/>
      <c r="E55" s="855"/>
      <c r="F55" s="937"/>
      <c r="G55" s="855"/>
      <c r="H55" s="872" t="s">
        <v>684</v>
      </c>
      <c r="I55" s="939">
        <f>SUM(I53:I54)</f>
        <v>5739148.2500000009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3904247.5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72497785.526254579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72497700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33455271.058739569</v>
      </c>
    </row>
    <row r="15" spans="2:36">
      <c r="B15" s="556"/>
      <c r="C15" s="560" t="s">
        <v>633</v>
      </c>
      <c r="H15" s="561">
        <f>12*PMT(Data!C24/12,Data!C29*12,-'Debt Calc'!H14)</f>
        <v>3904242.8941260464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-15883351.525261581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-15883351.525261581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72497700</v>
      </c>
      <c r="E21" s="561">
        <f>$H$15</f>
        <v>3904242.8941260464</v>
      </c>
      <c r="F21" s="561">
        <f>E21-G21</f>
        <v>3.7252902984619141E-9</v>
      </c>
      <c r="G21" s="561">
        <f>D21-H21</f>
        <v>3904242.8941260427</v>
      </c>
      <c r="H21" s="561">
        <f>D21-E21</f>
        <v>68593457.105873957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68593457.105873957</v>
      </c>
      <c r="E22" s="561">
        <f t="shared" ref="E22:E50" si="1">$H$15</f>
        <v>3904242.8941260464</v>
      </c>
      <c r="F22" s="561">
        <f t="shared" ref="F22:F50" si="2">E22-G22</f>
        <v>3.7252902984619141E-9</v>
      </c>
      <c r="G22" s="561">
        <f t="shared" ref="G22:G50" si="3">D22-H22</f>
        <v>3904242.8941260427</v>
      </c>
      <c r="H22" s="561">
        <f t="shared" ref="H22:H39" si="4">D22-E22</f>
        <v>64689214.211747915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64689214.211747915</v>
      </c>
      <c r="E23" s="561">
        <f t="shared" si="1"/>
        <v>3904242.8941260464</v>
      </c>
      <c r="F23" s="561">
        <f t="shared" si="2"/>
        <v>3.7252902984619141E-9</v>
      </c>
      <c r="G23" s="561">
        <f t="shared" si="3"/>
        <v>3904242.8941260427</v>
      </c>
      <c r="H23" s="561">
        <f t="shared" si="4"/>
        <v>60784971.317621872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60784971.317621872</v>
      </c>
      <c r="E24" s="561">
        <f t="shared" si="1"/>
        <v>3904242.8941260464</v>
      </c>
      <c r="F24" s="561">
        <f t="shared" si="2"/>
        <v>3.7252902984619141E-9</v>
      </c>
      <c r="G24" s="561">
        <f t="shared" si="3"/>
        <v>3904242.8941260427</v>
      </c>
      <c r="H24" s="561">
        <f t="shared" si="4"/>
        <v>56880728.423495829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56880728.423495829</v>
      </c>
      <c r="E25" s="561">
        <f t="shared" si="1"/>
        <v>3904242.8941260464</v>
      </c>
      <c r="F25" s="561">
        <f t="shared" si="2"/>
        <v>3.7252902984619141E-9</v>
      </c>
      <c r="G25" s="561">
        <f t="shared" si="3"/>
        <v>3904242.8941260427</v>
      </c>
      <c r="H25" s="561">
        <f t="shared" si="4"/>
        <v>52976485.529369786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52976485.529369786</v>
      </c>
      <c r="E26" s="561">
        <f t="shared" si="1"/>
        <v>3904242.8941260464</v>
      </c>
      <c r="F26" s="561">
        <f t="shared" si="2"/>
        <v>3.7252902984619141E-9</v>
      </c>
      <c r="G26" s="561">
        <f t="shared" si="3"/>
        <v>3904242.8941260427</v>
      </c>
      <c r="H26" s="561">
        <f t="shared" si="4"/>
        <v>49072242.635243744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49072242.635243744</v>
      </c>
      <c r="E27" s="561">
        <f t="shared" si="1"/>
        <v>3904242.8941260464</v>
      </c>
      <c r="F27" s="561">
        <f t="shared" si="2"/>
        <v>3.7252902984619141E-9</v>
      </c>
      <c r="G27" s="561">
        <f t="shared" si="3"/>
        <v>3904242.8941260427</v>
      </c>
      <c r="H27" s="561">
        <f t="shared" si="4"/>
        <v>45167999.741117701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45167999.741117701</v>
      </c>
      <c r="E28" s="561">
        <f t="shared" si="1"/>
        <v>3904242.8941260464</v>
      </c>
      <c r="F28" s="561">
        <f t="shared" si="2"/>
        <v>3.7252902984619141E-9</v>
      </c>
      <c r="G28" s="561">
        <f t="shared" si="3"/>
        <v>3904242.8941260427</v>
      </c>
      <c r="H28" s="561">
        <f t="shared" si="4"/>
        <v>41263756.846991658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41263756.846991658</v>
      </c>
      <c r="E29" s="561">
        <f t="shared" si="1"/>
        <v>3904242.8941260464</v>
      </c>
      <c r="F29" s="561">
        <f t="shared" si="2"/>
        <v>3.7252902984619141E-9</v>
      </c>
      <c r="G29" s="561">
        <f t="shared" si="3"/>
        <v>3904242.8941260427</v>
      </c>
      <c r="H29" s="561">
        <f t="shared" si="4"/>
        <v>37359513.952865615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37359513.952865615</v>
      </c>
      <c r="E30" s="561">
        <f t="shared" si="1"/>
        <v>3904242.8941260464</v>
      </c>
      <c r="F30" s="561">
        <f t="shared" si="2"/>
        <v>0</v>
      </c>
      <c r="G30" s="561">
        <f t="shared" si="3"/>
        <v>3904242.8941260464</v>
      </c>
      <c r="H30" s="561">
        <f>D30-E30</f>
        <v>33455271.058739569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33455271.058739569</v>
      </c>
      <c r="E31" s="561">
        <f t="shared" si="1"/>
        <v>3904242.8941260464</v>
      </c>
      <c r="F31" s="561">
        <f t="shared" si="2"/>
        <v>0</v>
      </c>
      <c r="G31" s="561">
        <f t="shared" si="3"/>
        <v>3904242.8941260464</v>
      </c>
      <c r="H31" s="561">
        <f t="shared" si="4"/>
        <v>29551028.164613523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29551028.164613523</v>
      </c>
      <c r="E32" s="561">
        <f t="shared" si="1"/>
        <v>3904242.8941260464</v>
      </c>
      <c r="F32" s="561">
        <f t="shared" si="2"/>
        <v>0</v>
      </c>
      <c r="G32" s="561">
        <f t="shared" si="3"/>
        <v>3904242.8941260464</v>
      </c>
      <c r="H32" s="561">
        <f t="shared" si="4"/>
        <v>25646785.270487476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25646785.270487476</v>
      </c>
      <c r="E33" s="561">
        <f t="shared" si="1"/>
        <v>3904242.8941260464</v>
      </c>
      <c r="F33" s="561">
        <f t="shared" si="2"/>
        <v>0</v>
      </c>
      <c r="G33" s="561">
        <f t="shared" si="3"/>
        <v>3904242.8941260464</v>
      </c>
      <c r="H33" s="561">
        <f t="shared" si="4"/>
        <v>21742542.37636143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21742542.37636143</v>
      </c>
      <c r="E34" s="561">
        <f t="shared" si="1"/>
        <v>3904242.8941260464</v>
      </c>
      <c r="F34" s="561">
        <f t="shared" si="2"/>
        <v>0</v>
      </c>
      <c r="G34" s="561">
        <f t="shared" si="3"/>
        <v>3904242.8941260464</v>
      </c>
      <c r="H34" s="561">
        <f t="shared" si="4"/>
        <v>17838299.482235383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17838299.482235383</v>
      </c>
      <c r="E35" s="561">
        <f t="shared" si="1"/>
        <v>3904242.8941260464</v>
      </c>
      <c r="F35" s="561">
        <f t="shared" si="2"/>
        <v>0</v>
      </c>
      <c r="G35" s="561">
        <f t="shared" si="3"/>
        <v>3904242.8941260464</v>
      </c>
      <c r="H35" s="561">
        <f t="shared" si="4"/>
        <v>13934056.588109337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13934056.588109337</v>
      </c>
      <c r="E36" s="561">
        <f t="shared" si="1"/>
        <v>3904242.8941260464</v>
      </c>
      <c r="F36" s="561">
        <f t="shared" si="2"/>
        <v>0</v>
      </c>
      <c r="G36" s="561">
        <f t="shared" si="3"/>
        <v>3904242.8941260464</v>
      </c>
      <c r="H36" s="561">
        <f t="shared" si="4"/>
        <v>10029813.69398329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10029813.69398329</v>
      </c>
      <c r="E37" s="561">
        <f t="shared" si="1"/>
        <v>3904242.8941260464</v>
      </c>
      <c r="F37" s="561">
        <f t="shared" si="2"/>
        <v>0</v>
      </c>
      <c r="G37" s="561">
        <f t="shared" si="3"/>
        <v>3904242.8941260464</v>
      </c>
      <c r="H37" s="561">
        <f t="shared" si="4"/>
        <v>6125570.7998572439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6125570.7998572439</v>
      </c>
      <c r="E38" s="561">
        <f t="shared" si="1"/>
        <v>3904242.8941260464</v>
      </c>
      <c r="F38" s="561">
        <f t="shared" si="2"/>
        <v>0</v>
      </c>
      <c r="G38" s="561">
        <f t="shared" si="3"/>
        <v>3904242.8941260464</v>
      </c>
      <c r="H38" s="561">
        <f>D38-E38</f>
        <v>2221327.9057311974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2221327.9057311974</v>
      </c>
      <c r="E39" s="561">
        <f t="shared" si="1"/>
        <v>3904242.8941260464</v>
      </c>
      <c r="F39" s="561">
        <f t="shared" si="2"/>
        <v>0</v>
      </c>
      <c r="G39" s="561">
        <f t="shared" si="3"/>
        <v>3904242.8941260464</v>
      </c>
      <c r="H39" s="561">
        <f t="shared" si="4"/>
        <v>-1682914.988394849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-1682914.988394849</v>
      </c>
      <c r="E40" s="561">
        <f t="shared" si="1"/>
        <v>3904242.8941260464</v>
      </c>
      <c r="F40" s="561">
        <f t="shared" si="2"/>
        <v>5587157.8825208955</v>
      </c>
      <c r="G40" s="561">
        <f t="shared" si="3"/>
        <v>-1682914.988394849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3904242.8941260464</v>
      </c>
      <c r="F41" s="561">
        <f t="shared" si="2"/>
        <v>3904242.8941260464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3904242.8941260464</v>
      </c>
      <c r="F42" s="561">
        <f t="shared" si="2"/>
        <v>3904242.8941260464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3904242.8941260464</v>
      </c>
      <c r="F43" s="561">
        <f t="shared" si="2"/>
        <v>3904242.8941260464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3904242.8941260464</v>
      </c>
      <c r="F44" s="561">
        <f t="shared" si="2"/>
        <v>3904242.8941260464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3904242.8941260464</v>
      </c>
      <c r="F45" s="561">
        <f t="shared" si="2"/>
        <v>3904242.8941260464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3904242.8941260464</v>
      </c>
      <c r="F46" s="561">
        <f t="shared" si="2"/>
        <v>3904242.8941260464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3904242.8941260464</v>
      </c>
      <c r="F47" s="561">
        <f t="shared" si="2"/>
        <v>3904242.8941260464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3904242.8941260464</v>
      </c>
      <c r="F48" s="561">
        <f t="shared" si="2"/>
        <v>3904242.8941260464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3904242.8941260464</v>
      </c>
      <c r="F49" s="561">
        <f t="shared" si="2"/>
        <v>3904242.8941260464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3904242.8941260464</v>
      </c>
      <c r="F50" s="561">
        <f t="shared" si="2"/>
        <v>3904242.8941260464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138182039.97213361</v>
      </c>
      <c r="F55" s="561"/>
      <c r="G55" s="1663" t="s">
        <v>1063</v>
      </c>
      <c r="H55" s="1667">
        <f>'Cash Flow'!N15/0.05</f>
        <v>148806943.38936588</v>
      </c>
    </row>
    <row r="56" spans="2:28">
      <c r="D56" s="1653" t="s">
        <v>1064</v>
      </c>
      <c r="E56" s="1665">
        <f>'Cash Flow'!K21/1.2</f>
        <v>4465537.11923094</v>
      </c>
      <c r="F56" s="561"/>
      <c r="G56" s="1661" t="s">
        <v>1064</v>
      </c>
      <c r="H56" s="1668">
        <f>'Cash Flow'!N21/1.2</f>
        <v>4773262.9811005527</v>
      </c>
    </row>
    <row r="57" spans="2:28">
      <c r="D57" s="1653" t="s">
        <v>1065</v>
      </c>
      <c r="E57" s="1665">
        <f>E55*0.6</f>
        <v>82909223.983280167</v>
      </c>
      <c r="F57" s="561"/>
      <c r="G57" s="1661" t="s">
        <v>1065</v>
      </c>
      <c r="H57" s="1668">
        <f>H55*0.6</f>
        <v>89284166.033619523</v>
      </c>
    </row>
    <row r="58" spans="2:28">
      <c r="D58" s="1653" t="s">
        <v>1066</v>
      </c>
      <c r="E58" s="1665">
        <f>-PV(4%,34,E56)</f>
        <v>82215887.011650965</v>
      </c>
      <c r="F58" s="561"/>
      <c r="G58" s="1661" t="s">
        <v>1066</v>
      </c>
      <c r="H58" s="1668">
        <f>-PV(4%,30,H56)</f>
        <v>82539422.422019824</v>
      </c>
    </row>
    <row r="59" spans="2:28">
      <c r="D59" s="1652" t="s">
        <v>1067</v>
      </c>
      <c r="E59" s="1665">
        <f>E58-H27</f>
        <v>37047887.270533264</v>
      </c>
      <c r="F59" s="561"/>
      <c r="G59" s="1660" t="s">
        <v>1067</v>
      </c>
      <c r="H59" s="1668">
        <f>H58-H30</f>
        <v>49084151.363280252</v>
      </c>
    </row>
    <row r="60" spans="2:28" ht="13.5" thickBot="1">
      <c r="D60" s="1654" t="s">
        <v>1068</v>
      </c>
      <c r="E60" s="1666">
        <f>E59*GapCalc!I33</f>
        <v>31490704.179953273</v>
      </c>
      <c r="F60" s="561"/>
      <c r="G60" s="1662" t="s">
        <v>1068</v>
      </c>
      <c r="H60" s="1669">
        <f>H59*GapCalc!I33</f>
        <v>41721528.658788212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58349548.25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0</v>
      </c>
      <c r="C7" s="1417">
        <f>C4*E4</f>
        <v>699843.31471953494</v>
      </c>
      <c r="D7" s="1409">
        <f>(1-'Rental Income'!O19)</f>
        <v>0.43069306930693074</v>
      </c>
    </row>
    <row r="8" spans="1:5">
      <c r="A8" s="1410" t="s">
        <v>979</v>
      </c>
      <c r="B8" s="1417">
        <f>B7*D7</f>
        <v>0</v>
      </c>
      <c r="C8" s="1417">
        <f>C7*D7</f>
        <v>301417.66525049281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301417.66525049281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0</v>
      </c>
    </row>
    <row r="14" spans="1:5">
      <c r="A14" t="s">
        <v>991</v>
      </c>
      <c r="B14">
        <v>24</v>
      </c>
      <c r="C14" s="1425">
        <f>C3*(E3/12)*B14</f>
        <v>0</v>
      </c>
    </row>
    <row r="15" spans="1:5">
      <c r="A15" s="40" t="s">
        <v>993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6265680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-313563</v>
      </c>
      <c r="E18" s="50"/>
      <c r="F18" s="55">
        <v>0.05</v>
      </c>
    </row>
    <row r="19" spans="1:25">
      <c r="A19" s="40" t="s">
        <v>164</v>
      </c>
      <c r="D19" s="57">
        <f>SUM(D15:D18)</f>
        <v>5957697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105358</v>
      </c>
      <c r="E22" s="48">
        <v>1043</v>
      </c>
      <c r="F22" s="453" t="s">
        <v>171</v>
      </c>
      <c r="N22" s="428">
        <f>D22*0.8</f>
        <v>84286.400000000009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173</v>
      </c>
      <c r="D23" s="48">
        <f>(E23*$D$10-20)/2</f>
        <v>134724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18816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100847.36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182</v>
      </c>
      <c r="D26" s="51">
        <f>SUM(D22:D25)</f>
        <v>359745.36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37572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20200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191</v>
      </c>
      <c r="D31" s="48">
        <f>E31*$D$10</f>
        <v>33128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193</v>
      </c>
      <c r="C32" s="43"/>
      <c r="D32" s="50">
        <f>E32*$D$10</f>
        <v>6060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96960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107060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201</v>
      </c>
      <c r="D37" s="48">
        <f>E37*$D$10</f>
        <v>159580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85042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351682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74538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53682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79992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27472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171700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11110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319314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301417.66525049281</v>
      </c>
      <c r="Y56" s="1309">
        <f>X56/'Rental Income'!D15</f>
        <v>1492.1666596559051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544.26848554455444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169680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198.01980198019803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374001.79858382611</v>
      </c>
    </row>
    <row r="65" spans="1:25">
      <c r="B65" t="s">
        <v>249</v>
      </c>
      <c r="D65" s="48">
        <f>E65*$D$10</f>
        <v>30300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251980</v>
      </c>
      <c r="E67" s="48">
        <f>SUM(E62:E66)</f>
        <v>1373.0198019801981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60600</v>
      </c>
      <c r="E69" s="426">
        <v>300</v>
      </c>
    </row>
    <row r="70" spans="1:25">
      <c r="V70" s="40" t="s">
        <v>255</v>
      </c>
      <c r="X70" s="1307">
        <f>SUM(X68,X64,X54,X39,X31)</f>
        <v>776264.44525049278</v>
      </c>
      <c r="Y70" s="1307">
        <f>X70/D10</f>
        <v>3842.8932933192714</v>
      </c>
    </row>
    <row r="71" spans="1:25">
      <c r="A71" s="40" t="s">
        <v>256</v>
      </c>
      <c r="D71" s="48">
        <f>E71*$D$10</f>
        <v>101000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309">
        <f>Y70-6000</f>
        <v>-2157.1067066807286</v>
      </c>
    </row>
    <row r="75" spans="1:25">
      <c r="A75" s="44" t="s">
        <v>259</v>
      </c>
      <c r="B75" s="45"/>
      <c r="C75" s="45"/>
      <c r="D75" s="52">
        <f>D19-D73</f>
        <v>4178253.4059200003</v>
      </c>
      <c r="E75" s="52">
        <f>D75/D10</f>
        <v>20684.422801584158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175368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73086935.312499985</v>
      </c>
      <c r="C7" s="465">
        <f>'Dev Summary_5-20'!B8</f>
        <v>3190331</v>
      </c>
      <c r="D7" s="465">
        <f t="shared" ref="D7:D14" si="0">B7-C7</f>
        <v>69896604.312499985</v>
      </c>
      <c r="E7" s="477">
        <f t="shared" ref="E7:E15" si="1">D7/B7</f>
        <v>0.95634881957549589</v>
      </c>
      <c r="F7" s="477"/>
      <c r="G7" s="472" t="e">
        <f t="shared" ref="G7:G14" si="2">B7/$B$15</f>
        <v>#REF!</v>
      </c>
      <c r="I7" s="147">
        <f>B7/$H$4</f>
        <v>664426.68465909082</v>
      </c>
      <c r="J7" s="53">
        <f>B7/$H$5</f>
        <v>416.76323680774135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166655.56292031202</v>
      </c>
      <c r="C9" s="446">
        <f>'Dev Summary_5-20'!B10</f>
        <v>50000</v>
      </c>
      <c r="D9" s="446">
        <f t="shared" si="0"/>
        <v>116655.56292031202</v>
      </c>
      <c r="E9" s="477">
        <f t="shared" si="1"/>
        <v>0.69998001192490655</v>
      </c>
      <c r="F9" s="477"/>
      <c r="G9" s="473" t="e">
        <f t="shared" si="2"/>
        <v>#REF!</v>
      </c>
      <c r="I9" s="53">
        <f t="shared" si="3"/>
        <v>1515.0505720028366</v>
      </c>
      <c r="J9" s="53">
        <f t="shared" si="4"/>
        <v>0.95031911705848282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0.18247342730714838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527075</v>
      </c>
      <c r="C14" s="467">
        <f>'Dev Summary_5-20'!B14</f>
        <v>282276.62941911275</v>
      </c>
      <c r="D14" s="467">
        <f t="shared" si="0"/>
        <v>244798.37058088725</v>
      </c>
      <c r="E14" s="478">
        <f t="shared" si="1"/>
        <v>0.46444693939361048</v>
      </c>
      <c r="F14" s="478"/>
      <c r="G14" s="474" t="e">
        <f t="shared" si="2"/>
        <v>#REF!</v>
      </c>
      <c r="I14" s="53">
        <f t="shared" si="3"/>
        <v>4791.590909090909</v>
      </c>
      <c r="J14" s="53">
        <f t="shared" si="4"/>
        <v>3.0055369280598514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72497785.526254579</v>
      </c>
      <c r="C21" s="48">
        <v>18731659</v>
      </c>
      <c r="D21" s="48">
        <f>B21-C21</f>
        <v>53766126.526254579</v>
      </c>
      <c r="E21" s="55">
        <f>D21/B21</f>
        <v>0.74162439771051414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10009196.32147938</v>
      </c>
      <c r="C28" s="50"/>
      <c r="D28" s="50">
        <f t="shared" si="5"/>
        <v>10009196.32147938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80395628.843749985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72856.065959374988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65570.459363437491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588197.68283593736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80395628.843749985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18490.994634062499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745115.20279281237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64316503.074999988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88583.223031249989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64316503.074999988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95670.723031249989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875243.22375</v>
      </c>
      <c r="E10" s="748">
        <f>'PreDev Flow of Funds'!Y10+'PreDev Flow of Funds'!Y12</f>
        <v>1395966</v>
      </c>
      <c r="F10" s="748">
        <f>(D10-E10)/18</f>
        <v>-28929.043125</v>
      </c>
      <c r="G10" s="748">
        <f>$F$10</f>
        <v>-28929.043125</v>
      </c>
      <c r="H10" s="748">
        <f t="shared" ref="H10:W10" si="2">$F$10</f>
        <v>-28929.043125</v>
      </c>
      <c r="I10" s="748">
        <f t="shared" si="2"/>
        <v>-28929.043125</v>
      </c>
      <c r="J10" s="748">
        <f t="shared" si="2"/>
        <v>-28929.043125</v>
      </c>
      <c r="K10" s="748">
        <f t="shared" si="2"/>
        <v>-28929.043125</v>
      </c>
      <c r="L10" s="748">
        <f t="shared" si="2"/>
        <v>-28929.043125</v>
      </c>
      <c r="M10" s="748">
        <f t="shared" si="2"/>
        <v>-28929.043125</v>
      </c>
      <c r="N10" s="748">
        <f t="shared" si="2"/>
        <v>-28929.043125</v>
      </c>
      <c r="O10" s="748">
        <f t="shared" si="2"/>
        <v>-28929.043125</v>
      </c>
      <c r="P10" s="748">
        <f t="shared" si="2"/>
        <v>-28929.043125</v>
      </c>
      <c r="Q10" s="748">
        <f t="shared" si="2"/>
        <v>-28929.043125</v>
      </c>
      <c r="R10" s="748">
        <f t="shared" si="2"/>
        <v>-28929.043125</v>
      </c>
      <c r="S10" s="748">
        <f t="shared" si="2"/>
        <v>-28929.043125</v>
      </c>
      <c r="T10" s="748">
        <f t="shared" si="2"/>
        <v>-28929.043125</v>
      </c>
      <c r="U10" s="748">
        <f t="shared" si="2"/>
        <v>-28929.043125</v>
      </c>
      <c r="V10" s="748">
        <f t="shared" si="2"/>
        <v>-28929.043125</v>
      </c>
      <c r="W10" s="748">
        <f t="shared" si="2"/>
        <v>-28929.043125</v>
      </c>
      <c r="X10" s="748"/>
      <c r="Y10" s="748">
        <f>SUM(E10:W10)</f>
        <v>875243.22374999919</v>
      </c>
    </row>
    <row r="11" spans="1:25" ht="15">
      <c r="A11" s="402"/>
      <c r="B11" s="403" t="s">
        <v>387</v>
      </c>
      <c r="C11" s="748"/>
      <c r="D11" s="748">
        <f>'Development Budget'!G41</f>
        <v>875243.22375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73086935.312499985</v>
      </c>
      <c r="E13" s="748">
        <f>'PreDev Flow of Funds'!Y14</f>
        <v>69798.3</v>
      </c>
      <c r="F13" s="748">
        <f>(D13-E13)/18</f>
        <v>4056507.6118055549</v>
      </c>
      <c r="G13" s="748">
        <f>$F$13</f>
        <v>4056507.6118055549</v>
      </c>
      <c r="H13" s="748">
        <f t="shared" ref="H13:W13" si="5">$F$13</f>
        <v>4056507.6118055549</v>
      </c>
      <c r="I13" s="748">
        <f t="shared" si="5"/>
        <v>4056507.6118055549</v>
      </c>
      <c r="J13" s="748">
        <f t="shared" si="5"/>
        <v>4056507.6118055549</v>
      </c>
      <c r="K13" s="748">
        <f t="shared" si="5"/>
        <v>4056507.6118055549</v>
      </c>
      <c r="L13" s="748">
        <f t="shared" si="5"/>
        <v>4056507.6118055549</v>
      </c>
      <c r="M13" s="748">
        <f t="shared" si="5"/>
        <v>4056507.6118055549</v>
      </c>
      <c r="N13" s="748">
        <f t="shared" si="5"/>
        <v>4056507.6118055549</v>
      </c>
      <c r="O13" s="748">
        <f t="shared" si="5"/>
        <v>4056507.6118055549</v>
      </c>
      <c r="P13" s="748">
        <f t="shared" si="5"/>
        <v>4056507.6118055549</v>
      </c>
      <c r="Q13" s="748">
        <f t="shared" si="5"/>
        <v>4056507.6118055549</v>
      </c>
      <c r="R13" s="748">
        <f t="shared" si="5"/>
        <v>4056507.6118055549</v>
      </c>
      <c r="S13" s="748">
        <f t="shared" si="5"/>
        <v>4056507.6118055549</v>
      </c>
      <c r="T13" s="748">
        <f t="shared" si="5"/>
        <v>4056507.6118055549</v>
      </c>
      <c r="U13" s="748">
        <f t="shared" si="5"/>
        <v>4056507.6118055549</v>
      </c>
      <c r="V13" s="748">
        <f t="shared" si="5"/>
        <v>4056507.6118055549</v>
      </c>
      <c r="W13" s="748">
        <f t="shared" si="5"/>
        <v>4056507.6118055549</v>
      </c>
      <c r="X13" s="748"/>
      <c r="Y13" s="748">
        <f t="shared" si="3"/>
        <v>73086935.312500015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73086935.312499985</v>
      </c>
      <c r="E15" s="748">
        <f>'PreDev Flow of Funds'!Y16+'PreDev Flow of Funds'!Y17+'PreDev Flow of Funds'!Y19</f>
        <v>72500</v>
      </c>
      <c r="F15" s="748">
        <f>(D15-E15)/18</f>
        <v>4056357.5173611101</v>
      </c>
      <c r="G15" s="748">
        <f>$F$15</f>
        <v>4056357.5173611101</v>
      </c>
      <c r="H15" s="748">
        <f t="shared" ref="H15:W15" si="7">$F$15</f>
        <v>4056357.5173611101</v>
      </c>
      <c r="I15" s="748">
        <f t="shared" si="7"/>
        <v>4056357.5173611101</v>
      </c>
      <c r="J15" s="748">
        <f t="shared" si="7"/>
        <v>4056357.5173611101</v>
      </c>
      <c r="K15" s="748">
        <f t="shared" si="7"/>
        <v>4056357.5173611101</v>
      </c>
      <c r="L15" s="748">
        <f t="shared" si="7"/>
        <v>4056357.5173611101</v>
      </c>
      <c r="M15" s="748">
        <f t="shared" si="7"/>
        <v>4056357.5173611101</v>
      </c>
      <c r="N15" s="748">
        <f t="shared" si="7"/>
        <v>4056357.5173611101</v>
      </c>
      <c r="O15" s="748">
        <f t="shared" si="7"/>
        <v>4056357.5173611101</v>
      </c>
      <c r="P15" s="748">
        <f t="shared" si="7"/>
        <v>4056357.5173611101</v>
      </c>
      <c r="Q15" s="748">
        <f t="shared" si="7"/>
        <v>4056357.5173611101</v>
      </c>
      <c r="R15" s="748">
        <f t="shared" si="7"/>
        <v>4056357.5173611101</v>
      </c>
      <c r="S15" s="748">
        <f t="shared" si="7"/>
        <v>4056357.5173611101</v>
      </c>
      <c r="T15" s="748">
        <f t="shared" si="7"/>
        <v>4056357.5173611101</v>
      </c>
      <c r="U15" s="748">
        <f t="shared" si="7"/>
        <v>4056357.5173611101</v>
      </c>
      <c r="V15" s="748">
        <f t="shared" si="7"/>
        <v>4056357.5173611101</v>
      </c>
      <c r="W15" s="748">
        <f t="shared" si="7"/>
        <v>4056357.5173611101</v>
      </c>
      <c r="X15" s="748"/>
      <c r="Y15" s="748">
        <f t="shared" si="3"/>
        <v>73086935.3125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58349548.25</v>
      </c>
      <c r="E33" s="748">
        <v>0</v>
      </c>
      <c r="F33" s="748">
        <f>D33</f>
        <v>58349548.25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58349548.25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182717.33828124998</v>
      </c>
      <c r="E43" s="748">
        <f>D43</f>
        <v>182717.33828124998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182717.33828124998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373717.33828124998</v>
      </c>
      <c r="E52" s="748">
        <f>D52</f>
        <v>373717.33828124998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373717.33828124998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527075</v>
      </c>
      <c r="E58" s="748">
        <f>'PreDev Flow of Funds'!Y46</f>
        <v>96238.814999999988</v>
      </c>
      <c r="F58" s="748">
        <f>(D58-E58)/18</f>
        <v>23935.343611111111</v>
      </c>
      <c r="G58" s="748">
        <f>$F$58</f>
        <v>23935.343611111111</v>
      </c>
      <c r="H58" s="748">
        <f t="shared" ref="H58:W58" si="18">$F$58</f>
        <v>23935.343611111111</v>
      </c>
      <c r="I58" s="748">
        <f t="shared" si="18"/>
        <v>23935.343611111111</v>
      </c>
      <c r="J58" s="748">
        <f t="shared" si="18"/>
        <v>23935.343611111111</v>
      </c>
      <c r="K58" s="748">
        <f t="shared" si="18"/>
        <v>23935.343611111111</v>
      </c>
      <c r="L58" s="748">
        <f t="shared" si="18"/>
        <v>23935.343611111111</v>
      </c>
      <c r="M58" s="748">
        <f t="shared" si="18"/>
        <v>23935.343611111111</v>
      </c>
      <c r="N58" s="748">
        <f t="shared" si="18"/>
        <v>23935.343611111111</v>
      </c>
      <c r="O58" s="748">
        <f t="shared" si="18"/>
        <v>23935.343611111111</v>
      </c>
      <c r="P58" s="748">
        <f t="shared" si="18"/>
        <v>23935.343611111111</v>
      </c>
      <c r="Q58" s="748">
        <f t="shared" si="18"/>
        <v>23935.343611111111</v>
      </c>
      <c r="R58" s="748">
        <f t="shared" si="18"/>
        <v>23935.343611111111</v>
      </c>
      <c r="S58" s="748">
        <f t="shared" si="18"/>
        <v>23935.343611111111</v>
      </c>
      <c r="T58" s="748">
        <f t="shared" si="18"/>
        <v>23935.343611111111</v>
      </c>
      <c r="U58" s="748">
        <f t="shared" si="18"/>
        <v>23935.343611111111</v>
      </c>
      <c r="V58" s="748">
        <f t="shared" si="18"/>
        <v>23935.343611111111</v>
      </c>
      <c r="W58" s="748">
        <f t="shared" si="18"/>
        <v>23935.343611111111</v>
      </c>
      <c r="X58" s="748"/>
      <c r="Y58" s="748">
        <f t="shared" si="3"/>
        <v>527075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166655.56292031202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15401587.751562497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62488589.204775199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-10610187.228075847</v>
      </c>
      <c r="E87" s="749">
        <f>E80-E84-E85-E86-E88-E89-E90-E91</f>
        <v>560434.67656249553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15401587.751562497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74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74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5" t="s">
        <v>589</v>
      </c>
      <c r="D74" s="1766"/>
      <c r="E74" s="1766"/>
      <c r="F74" s="1766"/>
      <c r="G74" s="1766"/>
      <c r="H74" s="1766"/>
      <c r="I74" s="1767"/>
      <c r="J74" s="1775" t="s">
        <v>582</v>
      </c>
      <c r="K74" s="1776"/>
      <c r="L74" s="1776"/>
      <c r="M74" s="1776"/>
      <c r="N74" s="1776"/>
      <c r="O74" s="1777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-1076593.5303125</v>
      </c>
      <c r="K103" s="162">
        <f>J103+(C116*0.25)/2</f>
        <v>-2153187.0606249999</v>
      </c>
      <c r="L103" s="162">
        <f>K103+((C116-K103)/4)</f>
        <v>-3768077.3560937499</v>
      </c>
      <c r="M103" s="162">
        <f>L103+((C116-K103)/4)</f>
        <v>-5382967.6515624998</v>
      </c>
      <c r="N103" s="162">
        <f>M103+((C116-K103)/4)</f>
        <v>-6997857.9470312502</v>
      </c>
      <c r="O103" s="162">
        <f>N103+((C116-K103)/4)</f>
        <v>-8612748.2424999997</v>
      </c>
      <c r="P103" s="162">
        <f>O103</f>
        <v>-8612748.2424999997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9631482.0112500004</v>
      </c>
      <c r="K104" s="371">
        <f>((C117-1033493)/6)+J104</f>
        <v>19262964.022500001</v>
      </c>
      <c r="L104" s="371">
        <f>((C117-1033493)/6)+K104</f>
        <v>28894446.033750001</v>
      </c>
      <c r="M104" s="371">
        <f>((C117-1033493)/6)+L104</f>
        <v>38525928.045000002</v>
      </c>
      <c r="N104" s="371">
        <f>((C117-1033493)/6)+M104</f>
        <v>48157410.056250006</v>
      </c>
      <c r="O104" s="371">
        <f>((C117-1033493)/6)+N104</f>
        <v>57788892.06750001</v>
      </c>
      <c r="P104" s="371">
        <f>(286645+100000+646848)+O104</f>
        <v>58822385.06750001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8554888.4809374996</v>
      </c>
      <c r="K110" s="371">
        <f t="shared" ref="K110:P110" si="9">SUM(K103:K104)</f>
        <v>17109776.961874999</v>
      </c>
      <c r="L110" s="371">
        <f t="shared" si="9"/>
        <v>25126368.677656252</v>
      </c>
      <c r="M110" s="371">
        <f t="shared" si="9"/>
        <v>33142960.393437501</v>
      </c>
      <c r="N110" s="371">
        <f t="shared" si="9"/>
        <v>41159552.109218754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0">
        <f>'PreDev Flow of Funds'!D47</f>
        <v>14824249.954999998</v>
      </c>
      <c r="D114" s="1769"/>
    </row>
    <row r="115" spans="2:19">
      <c r="B115" s="397" t="s">
        <v>600</v>
      </c>
      <c r="C115" s="1771">
        <f>M102</f>
        <v>1323400.22</v>
      </c>
      <c r="D115" s="1769"/>
    </row>
    <row r="116" spans="2:19">
      <c r="B116" s="397" t="s">
        <v>582</v>
      </c>
      <c r="C116" s="1771">
        <f>'Development Budget'!G37-Predevelopment!D27-Predevelopment!D28-Predevelopment!D29-Timeline!M102-Predevelopment!D17</f>
        <v>-8612748.2424999997</v>
      </c>
      <c r="D116" s="1769"/>
    </row>
    <row r="117" spans="2:19" ht="16.5" thickBot="1">
      <c r="B117" s="398" t="s">
        <v>601</v>
      </c>
      <c r="C117" s="1772">
        <f>C118-C114-C116-C115</f>
        <v>58822385.067500003</v>
      </c>
      <c r="D117" s="1773"/>
    </row>
    <row r="118" spans="2:19" ht="16.5" thickTop="1">
      <c r="B118" s="368" t="s">
        <v>585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