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All Policy Inputs\"/>
    </mc:Choice>
  </mc:AlternateContent>
  <xr:revisionPtr revIDLastSave="0" documentId="13_ncr:1_{98703039-4B46-4AC9-B5D6-ACD46A69B59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59" i="23" l="1"/>
  <c r="H96" i="5" s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E60" i="23" l="1"/>
  <c r="G28" i="23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 l="1"/>
  <c r="AF42" i="5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<sst xmlns="http://schemas.openxmlformats.org/spreadsheetml/2006/main" count="1995" uniqueCount="1105">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</sst>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G37" sqref="G37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216612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216612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1103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9.3037564179936486E-2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9.3037564179936444E-2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538341.33292958792</v>
      </c>
      <c r="E18" s="1754">
        <f ca="1">-D18/D28</f>
        <v>-4.5656639514383155E-3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694.44444444444446</v>
      </c>
    </row>
    <row r="22" spans="1:6">
      <c r="A22" s="64"/>
      <c r="B22" s="4" t="s">
        <v>16</v>
      </c>
      <c r="C22" s="4"/>
      <c r="D22" s="1531">
        <f>'Development Budget'!G44</f>
        <v>90329161.874999985</v>
      </c>
      <c r="E22" s="1531">
        <f t="shared" ref="E22:E28" si="0">D22/$D$10</f>
        <v>358449.05505952373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757075</v>
      </c>
      <c r="E24" s="1531">
        <f t="shared" si="0"/>
        <v>3004.2658730158732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5842923.1878537629</v>
      </c>
      <c r="E25" s="1531">
        <f t="shared" si="0"/>
        <v>23186.20312640382</v>
      </c>
    </row>
    <row r="26" spans="1:6">
      <c r="A26" s="64"/>
      <c r="B26" s="4" t="s">
        <v>20</v>
      </c>
      <c r="C26" s="4"/>
      <c r="D26" s="1531">
        <f>'Development Budget'!G181</f>
        <v>5196607.5</v>
      </c>
      <c r="E26" s="1531">
        <f t="shared" si="0"/>
        <v>20621.458333333332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12885845.854203999</v>
      </c>
      <c r="E27" s="1532">
        <f t="shared" si="0"/>
        <v>51134.308945253964</v>
      </c>
    </row>
    <row r="28" spans="1:6" ht="16.5" thickTop="1">
      <c r="A28" s="4"/>
      <c r="B28" s="4"/>
      <c r="C28" s="150" t="s">
        <v>14</v>
      </c>
      <c r="D28" s="1533">
        <f>SUM(D21:D27)</f>
        <v>117910853.41705775</v>
      </c>
      <c r="E28" s="1531">
        <f t="shared" si="0"/>
        <v>467900.21197245142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76642054.721087545</v>
      </c>
      <c r="E32" s="1586">
        <f t="shared" si="1"/>
        <v>304135.13778209343</v>
      </c>
    </row>
    <row r="33" spans="1:5">
      <c r="A33" s="64"/>
      <c r="B33" s="4" t="s">
        <v>1052</v>
      </c>
      <c r="C33" s="4"/>
      <c r="D33" s="1587">
        <f>GapCalc!D29</f>
        <v>6190319.8043955313</v>
      </c>
      <c r="E33" s="1586">
        <f>D33/$D$10</f>
        <v>24564.761128553695</v>
      </c>
    </row>
    <row r="34" spans="1:5">
      <c r="A34" s="65"/>
      <c r="B34" s="4" t="s">
        <v>26</v>
      </c>
      <c r="C34" s="4"/>
      <c r="D34" s="1587">
        <f>GapCalc!D30</f>
        <v>35078478.891574673</v>
      </c>
      <c r="E34" s="1586">
        <f>D34/$D$10</f>
        <v>139200.31306180425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117910853.41705775</v>
      </c>
      <c r="E36" s="1586">
        <f>D36/$D$10</f>
        <v>467900.21197245142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89476492.735207424</v>
      </c>
      <c r="E40" s="1586">
        <f t="shared" ref="E40" si="2">D40/$D$10</f>
        <v>355065.44736193423</v>
      </c>
    </row>
    <row r="41" spans="1:5">
      <c r="A41" s="60"/>
      <c r="B41" s="4" t="s">
        <v>1052</v>
      </c>
      <c r="C41" s="4"/>
      <c r="D41" s="1591">
        <f>GapCalc!D29+GapCalc!D38</f>
        <v>6190319.8043955313</v>
      </c>
      <c r="E41" s="1586">
        <f>D41/$D$10</f>
        <v>24564.761128553695</v>
      </c>
    </row>
    <row r="42" spans="1:5">
      <c r="A42" s="60"/>
      <c r="B42" s="1557" t="s">
        <v>26</v>
      </c>
      <c r="C42" s="4"/>
      <c r="D42" s="1592">
        <f>GapCalc!D30+GapCalc!D39</f>
        <v>35078478.891574673</v>
      </c>
      <c r="E42" s="1586">
        <f>D42/$D$10</f>
        <v>139200.31306180425</v>
      </c>
    </row>
    <row r="43" spans="1:5">
      <c r="A43" s="60"/>
      <c r="B43" s="1714" t="s">
        <v>1102</v>
      </c>
      <c r="C43" s="4"/>
      <c r="D43" s="1592">
        <f>IF(D32-D40&gt;0,0,D32-D40)</f>
        <v>-12834438.014119878</v>
      </c>
      <c r="E43" s="1586">
        <f>D43/$D$10</f>
        <v>-50930.309579840789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117910853.41705774</v>
      </c>
      <c r="E45" s="1588">
        <f>D45/$D$10</f>
        <v>467900.21197245136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6" zoomScaleNormal="100" workbookViewId="0">
      <selection activeCell="F49" sqref="F49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216612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216612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694.44444444444446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90329161.874999985</v>
      </c>
      <c r="E18" s="1531">
        <f t="shared" ref="E18:E24" si="0">D18/$D$11</f>
        <v>358449.05505952373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757075</v>
      </c>
      <c r="E20" s="1531">
        <f t="shared" si="0"/>
        <v>3004.2658730158732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5842923.1878537629</v>
      </c>
      <c r="E21" s="1531">
        <f t="shared" si="0"/>
        <v>23186.20312640382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5196607.5</v>
      </c>
      <c r="E22" s="1531">
        <f t="shared" si="0"/>
        <v>20621.458333333332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12885845.854203999</v>
      </c>
      <c r="E23" s="1532">
        <f t="shared" si="0"/>
        <v>51134.308945253964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117910853.41705775</v>
      </c>
      <c r="E24" s="1531">
        <f t="shared" si="0"/>
        <v>467900.21197245142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76642054.721087545</v>
      </c>
      <c r="E28" s="1586">
        <f t="shared" si="1"/>
        <v>304135.13778209343</v>
      </c>
      <c r="F28" s="62"/>
      <c r="G28" s="1419" t="s">
        <v>609</v>
      </c>
      <c r="H28" s="1608">
        <f>H32/D11</f>
        <v>24564.761128553695</v>
      </c>
      <c r="I28" s="703"/>
    </row>
    <row r="29" spans="1:10" ht="15.75">
      <c r="A29" s="64"/>
      <c r="B29" s="4" t="s">
        <v>1052</v>
      </c>
      <c r="C29" s="4"/>
      <c r="D29" s="1587">
        <v>6190319.8043955313</v>
      </c>
      <c r="E29" s="1586">
        <f>D29/$D$11</f>
        <v>24564.761128553695</v>
      </c>
      <c r="F29" s="520"/>
      <c r="G29" s="1420" t="s">
        <v>972</v>
      </c>
      <c r="H29" s="1609">
        <f>H33/D11</f>
        <v>139200.31306180425</v>
      </c>
      <c r="I29" s="703"/>
    </row>
    <row r="30" spans="1:10" ht="16.5" thickBot="1">
      <c r="A30" s="65"/>
      <c r="B30" s="4" t="s">
        <v>26</v>
      </c>
      <c r="C30" s="4"/>
      <c r="D30" s="1587">
        <v>35078478.891574673</v>
      </c>
      <c r="E30" s="1586">
        <f>D30/$D$11</f>
        <v>139200.31306180425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6190319.8043955313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117910853.41705775</v>
      </c>
      <c r="E33" s="1586">
        <f>D33/$D$11</f>
        <v>467900.21197245142</v>
      </c>
      <c r="F33" s="62"/>
      <c r="G33" s="1441" t="s">
        <v>972</v>
      </c>
      <c r="H33" s="1611">
        <f>D30+D39</f>
        <v>35078478.891574673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41268798.695970207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0.34999999999999992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89476492.735207424</v>
      </c>
      <c r="E37" s="1586">
        <f t="shared" ref="E37" si="2">D37/$D$11</f>
        <v>355065.44736193423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6190319.8043955313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35078478.891574673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12834438.014119878</v>
      </c>
      <c r="E41" s="1588">
        <f>D41/$D$11</f>
        <v>50930.309579840789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89476492.735207424</v>
      </c>
      <c r="E42" s="1586">
        <f>D42/$D$11</f>
        <v>355065.44736193423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-1925165.7021179816</v>
      </c>
      <c r="I43" s="1596">
        <f>D38+H43</f>
        <v>-1925165.7021179816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-10909272.312001897</v>
      </c>
      <c r="I44" s="1596">
        <f>D39+H44</f>
        <v>-10909272.312001897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35536069.024564825</v>
      </c>
      <c r="J46" s="1582" t="s">
        <v>1084</v>
      </c>
      <c r="K46" s="1583">
        <f>'Cash Flow'!C76</f>
        <v>9.3037564179936486E-2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13563461.684793288</v>
      </c>
      <c r="J47" s="1584" t="s">
        <v>1099</v>
      </c>
      <c r="K47" s="1607">
        <f>'Cash Flow'!C70</f>
        <v>57923792.510040656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457590.13299015164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6271071.0043349676</v>
      </c>
      <c r="J51" s="1585" t="s">
        <v>1084</v>
      </c>
      <c r="K51" s="1618">
        <f>'Cash Flow'!H76</f>
        <v>9.3037564179936444E-2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6190319.8043955313</v>
      </c>
      <c r="J52" s="1584" t="s">
        <v>1098</v>
      </c>
      <c r="K52" s="1607">
        <f>'Cash Flow'!H70</f>
        <v>10221845.737065997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80751.199939436279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538341.33292958792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46556243.901209615</v>
      </c>
      <c r="J58" s="1582" t="s">
        <v>1084</v>
      </c>
      <c r="K58" s="1583">
        <f>'Cash Flow'!C103</f>
        <v>0.11633400294674272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75886677.558971673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11477765.009634942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6849544.5381830214</v>
      </c>
      <c r="J63" s="1585" t="s">
        <v>1084</v>
      </c>
      <c r="K63" s="1618">
        <f>'Cash Flow'!H103</f>
        <v>8.0358332849146466E-2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6190319.8043955313</v>
      </c>
      <c r="J64" s="1584" t="s">
        <v>1098</v>
      </c>
      <c r="K64" s="1607">
        <f>'Cash Flow'!H97</f>
        <v>11164757.597238325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659224.73378749005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12136989.743422432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83" zoomScale="130" zoomScaleNormal="130" workbookViewId="0">
      <selection activeCell="O23" sqref="O2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0.57539682539682535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0.41666666666666669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90</v>
      </c>
      <c r="E9" s="278">
        <f>IF(D9="","",D9/D$15)</f>
        <v>0.35714285714285715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50</v>
      </c>
      <c r="N9" s="298">
        <f>E46+E183</f>
        <v>145</v>
      </c>
      <c r="O9" s="332">
        <f t="shared" si="0"/>
        <v>0.57539682539682535</v>
      </c>
    </row>
    <row r="10" spans="2:19" ht="12.75" customHeight="1">
      <c r="B10" s="268"/>
      <c r="C10" s="209" t="s">
        <v>53</v>
      </c>
      <c r="D10" s="210">
        <f>SUM(E24,E33,E42,E51,E60,E78,E69,E87,E96,E116,E106)</f>
        <v>53</v>
      </c>
      <c r="E10" s="278">
        <f>IF(D10="","",D10/D$15)</f>
        <v>0.21031746031746032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109</v>
      </c>
      <c r="E11" s="278">
        <f>IF(D11="","",D11/D$15)</f>
        <v>0.43253968253968256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105</v>
      </c>
      <c r="O13" s="332">
        <f>N13/$N$18</f>
        <v>0.41666666666666669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250</v>
      </c>
      <c r="O16" s="283">
        <f>SUM(O7:O15)</f>
        <v>0.99206349206349209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180510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646020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0.57539682539682535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0.6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73</v>
      </c>
      <c r="F41" s="223"/>
      <c r="G41" s="308">
        <f>H9*$C$38</f>
        <v>1455.6</v>
      </c>
      <c r="H41" s="308">
        <f>$K$9</f>
        <v>0</v>
      </c>
      <c r="I41" s="228">
        <f>ROUND(G41-H41,0)</f>
        <v>1456</v>
      </c>
      <c r="J41" s="284">
        <f>D41*E41</f>
        <v>29200</v>
      </c>
      <c r="K41" s="292">
        <f>E41*I41</f>
        <v>106288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36</v>
      </c>
      <c r="F42" s="223"/>
      <c r="G42" s="308">
        <f>H10*C38</f>
        <v>1560</v>
      </c>
      <c r="H42" s="308">
        <f>$K$10</f>
        <v>0</v>
      </c>
      <c r="I42" s="228">
        <f>ROUND(G42-H42,0)</f>
        <v>1560</v>
      </c>
      <c r="J42" s="284">
        <f>D42*E42</f>
        <v>24120</v>
      </c>
      <c r="K42" s="292">
        <f>E42*I42</f>
        <v>56160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36</v>
      </c>
      <c r="F43" s="223"/>
      <c r="G43" s="308">
        <f>H11*C38</f>
        <v>1872</v>
      </c>
      <c r="H43" s="228">
        <f>$K$11</f>
        <v>0</v>
      </c>
      <c r="I43" s="228">
        <f>ROUND(G43-H43,0)</f>
        <v>1872</v>
      </c>
      <c r="J43" s="284">
        <f>D43*E43</f>
        <v>36000</v>
      </c>
      <c r="K43" s="292">
        <f>E43*I43</f>
        <v>67392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2163.6</v>
      </c>
      <c r="H44" s="228">
        <v>0</v>
      </c>
      <c r="I44" s="228">
        <f>ROUND(G44-H44,0)</f>
        <v>2164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145</v>
      </c>
      <c r="F46" s="203"/>
      <c r="G46" s="203"/>
      <c r="H46" s="246"/>
      <c r="I46" s="247"/>
      <c r="J46" s="296">
        <f>SUM(J41:J45)</f>
        <v>89320</v>
      </c>
      <c r="K46" s="297">
        <f>SUM(K41:K45)</f>
        <v>229840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17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6800</v>
      </c>
      <c r="K50" s="292">
        <f>E50*I50</f>
        <v>40800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17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11390</v>
      </c>
      <c r="K51" s="292">
        <f>E51*I51</f>
        <v>53040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71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71000</v>
      </c>
      <c r="K52" s="292">
        <f>E52*I52</f>
        <v>322340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105</v>
      </c>
      <c r="F55" s="247"/>
      <c r="G55" s="247"/>
      <c r="H55" s="246"/>
      <c r="I55" s="247"/>
      <c r="J55" s="296">
        <f>SUM(J50:J54)</f>
        <v>89190</v>
      </c>
      <c r="K55" s="297">
        <f>SUM(K50:K54)</f>
        <v>416180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44" zoomScaleNormal="100" workbookViewId="0">
      <selection activeCell="N103" sqref="N103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12834438.014119878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16380000</v>
      </c>
      <c r="N18" s="1674">
        <v>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694.44444444444446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72143329.5</v>
      </c>
      <c r="H32" s="1039"/>
      <c r="I32" s="950">
        <f t="shared" si="0"/>
        <v>286283.05357142858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79357662.450000003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64983600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7214332.9500000002</v>
      </c>
      <c r="G36" s="854">
        <f>F36</f>
        <v>7214332.9500000002</v>
      </c>
      <c r="H36" s="950"/>
      <c r="I36" s="950">
        <f t="shared" si="0"/>
        <v>28628.305357142857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5050033.0650000004</v>
      </c>
      <c r="H37" s="1072"/>
      <c r="I37" s="950">
        <f t="shared" si="0"/>
        <v>20039.813750000001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5050033.0650000004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3607166.4750000001</v>
      </c>
      <c r="H38" s="1072"/>
      <c r="I38" s="950">
        <f t="shared" si="0"/>
        <v>14314.152678571429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3607166.4750000001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1082149.9424999999</v>
      </c>
      <c r="H40" s="1072"/>
      <c r="I40" s="950">
        <f t="shared" si="0"/>
        <v>4294.245803571428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1082149.9424999999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1082149.9424999999</v>
      </c>
      <c r="H41" s="1072"/>
      <c r="I41" s="950">
        <f t="shared" si="0"/>
        <v>4294.245803571428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1082149.9424999999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90329161.874999985</v>
      </c>
      <c r="H44" s="1324"/>
      <c r="I44" s="1325">
        <f t="shared" si="0"/>
        <v>358449.05505952373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90329161.874999985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90329161.874999985</v>
      </c>
      <c r="H46" s="1333"/>
      <c r="I46" s="1325">
        <f t="shared" si="0"/>
        <v>358449.05505952373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90329161.874999985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9032916.1874999981</v>
      </c>
      <c r="H47" s="1039"/>
      <c r="I47" s="950">
        <f t="shared" si="0"/>
        <v>35844.905505952374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9032916.1874999981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2307417.0953124999</v>
      </c>
      <c r="H59" s="1128"/>
      <c r="I59" s="950">
        <f t="shared" si="0"/>
        <v>9156.4170448908735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225822.90468749998</v>
      </c>
      <c r="H67" s="1039"/>
      <c r="I67" s="950">
        <f t="shared" si="0"/>
        <v>896.12263764880947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225822.90468749998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416822.90468749998</v>
      </c>
      <c r="H80" s="1101"/>
      <c r="I80" s="950">
        <f t="shared" si="0"/>
        <v>1654.0591455853173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416822.90468749998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657075</v>
      </c>
      <c r="H90" s="1111"/>
      <c r="I90" s="950">
        <f t="shared" si="3"/>
        <v>2607.4404761904761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657075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0</v>
      </c>
      <c r="G91" s="1110">
        <v>100000</v>
      </c>
      <c r="H91" s="1111"/>
      <c r="I91" s="950">
        <f t="shared" si="3"/>
        <v>396.82539682539681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2970324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757075</v>
      </c>
      <c r="H97" s="1101"/>
      <c r="I97" s="950">
        <f t="shared" si="3"/>
        <v>3004.2658730158732</v>
      </c>
      <c r="J97" s="1102"/>
      <c r="K97" s="1166">
        <f>I97/I250</f>
        <v>6.4207405684884701E-3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757075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193831.49562882975</v>
      </c>
      <c r="H102" s="1111"/>
      <c r="I102" s="950">
        <f t="shared" si="3"/>
        <v>769.17260170170539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193831.49562882975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178831.49562882975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3515653.2388672032</v>
      </c>
      <c r="N103" s="1172">
        <v>3576629.9125765949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193831.49562882975</v>
      </c>
      <c r="H114" s="1101"/>
      <c r="I114" s="950">
        <f t="shared" si="3"/>
        <v>769.17260170170539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193831.49562882975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3475608.0108733838</v>
      </c>
      <c r="H116" s="1177"/>
      <c r="I116" s="950">
        <f t="shared" si="3"/>
        <v>13792.095281243586</v>
      </c>
      <c r="J116" s="1178"/>
      <c r="K116" s="1179" t="s">
        <v>823</v>
      </c>
      <c r="L116" s="1073"/>
      <c r="M116" s="1180">
        <f>0.5*Data!C20*Data!C17/12*Data!C19</f>
        <v>3065682.1888435017</v>
      </c>
      <c r="N116" s="1181">
        <v>3475608.0108733838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3475608.0108733838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868902.00271834596</v>
      </c>
      <c r="H117" s="1094"/>
      <c r="I117" s="950">
        <f t="shared" si="3"/>
        <v>3448.0238203108966</v>
      </c>
      <c r="J117" s="1015"/>
      <c r="K117" s="1184" t="s">
        <v>825</v>
      </c>
      <c r="L117" s="1185"/>
      <c r="M117" s="1186">
        <f>0.01*Data!C20</f>
        <v>766420.54721087543</v>
      </c>
      <c r="N117" s="1172">
        <v>868902.00271834596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868902.00271834596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1232677.8738542814</v>
      </c>
      <c r="H121" s="1117"/>
      <c r="I121" s="950">
        <f t="shared" si="3"/>
        <v>4891.5788645011162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1232677.8738542814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1232677.8738542814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140335.3004077519</v>
      </c>
      <c r="H125" s="1111"/>
      <c r="I125" s="950">
        <f t="shared" si="3"/>
        <v>556.88611272917422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140335.3004077519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130335.3004077519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114963.08208163132</v>
      </c>
      <c r="N126" s="1172">
        <v>130335.3004077519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5732923.1878537629</v>
      </c>
      <c r="H148" s="1128"/>
      <c r="I148" s="950">
        <f t="shared" si="6"/>
        <v>22749.695189895883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5732923.1878537629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1354647.5919032099</v>
      </c>
      <c r="H151" s="1093"/>
      <c r="I151" s="950">
        <f t="shared" ref="I151:I158" si="7">G151/$F$9</f>
        <v>5375.5856821555954</v>
      </c>
      <c r="J151" s="1094"/>
      <c r="K151" s="1244" t="s">
        <v>863</v>
      </c>
      <c r="L151" s="1245"/>
      <c r="M151" s="1558">
        <f>Data!C31*Data!C30</f>
        <v>894764.9273520743</v>
      </c>
      <c r="N151" s="1345">
        <v>1354647.5919032099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91059.686861470691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1071193.7372294138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3213581.211688241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6897784.9248978784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5196607.5</v>
      </c>
      <c r="H178" s="1093"/>
      <c r="I178" s="950">
        <f t="shared" si="6"/>
        <v>20621.458333333332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5196607.5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5196607.5</v>
      </c>
      <c r="H181" s="1128"/>
      <c r="I181" s="950">
        <f t="shared" si="6"/>
        <v>20621.458333333332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5196607.5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643550.5044085047</v>
      </c>
      <c r="H233" s="1111"/>
      <c r="I233" s="950">
        <f t="shared" si="8"/>
        <v>2553.7718428908915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643550.5044085047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1082300.5044085048</v>
      </c>
      <c r="H234" s="1282"/>
      <c r="I234" s="950">
        <f t="shared" si="8"/>
        <v>4294.8432714623204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1082300.5044085048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117910853.41705775</v>
      </c>
      <c r="H250" s="1298"/>
      <c r="I250" s="1299">
        <f>G250/F9</f>
        <v>467900.21197245142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544.34128034022933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216612</v>
      </c>
      <c r="D5" t="s">
        <v>428</v>
      </c>
      <c r="G5" s="510"/>
    </row>
    <row r="6" spans="1:15">
      <c r="B6" s="1350" t="s">
        <v>12</v>
      </c>
      <c r="C6" s="700">
        <f>'Construction Calculation'!C14</f>
        <v>216612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36102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126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76642054.721087545</v>
      </c>
      <c r="D20" s="1375">
        <f>MIN(D22,GapCalc!D24)</f>
        <v>76642054.721087545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76642054.721087545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-4818607.5000000605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4818607.5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88439148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89476492.735207424</v>
      </c>
      <c r="D30" s="1376">
        <f>-PV($C$24/12,$C$29*12,C27/12)</f>
        <v>89476492.735207424</v>
      </c>
      <c r="E30" s="1384"/>
      <c r="F30" t="s">
        <v>438</v>
      </c>
      <c r="G30" s="1381"/>
      <c r="H30" s="1376">
        <f>PV(G23,G29,-'Cash Flow'!E41*H28,)</f>
        <v>7768258.7446517795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4818607.5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107119373.72294137</v>
      </c>
      <c r="D38" s="516" t="s">
        <v>1039</v>
      </c>
      <c r="E38" s="1391">
        <f>C37*GapCalc!D24</f>
        <v>94328682.733646214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79250496.750732034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abSelected="1" topLeftCell="A3" zoomScale="145" zoomScaleNormal="145" workbookViewId="0">
      <selection activeCell="C20" sqref="C20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7752240</v>
      </c>
      <c r="F12" s="89">
        <f>E12*(1+$D$12)</f>
        <v>7946045.9999999991</v>
      </c>
      <c r="G12" s="89">
        <f t="shared" ref="G12:AH12" si="0">F12*(1+$D$12)</f>
        <v>8144697.1499999985</v>
      </c>
      <c r="H12" s="89">
        <f t="shared" si="0"/>
        <v>8348314.5787499975</v>
      </c>
      <c r="I12" s="89">
        <f t="shared" si="0"/>
        <v>8557022.4432187472</v>
      </c>
      <c r="J12" s="89">
        <f t="shared" si="0"/>
        <v>8770948.004299216</v>
      </c>
      <c r="K12" s="89">
        <f t="shared" si="0"/>
        <v>8990221.7044066954</v>
      </c>
      <c r="L12" s="89">
        <f t="shared" si="0"/>
        <v>9214977.247016862</v>
      </c>
      <c r="M12" s="89">
        <f t="shared" si="0"/>
        <v>9445351.6781922821</v>
      </c>
      <c r="N12" s="89">
        <f t="shared" si="0"/>
        <v>9681485.4701470882</v>
      </c>
      <c r="O12" s="89">
        <f t="shared" si="0"/>
        <v>9923522.6069007646</v>
      </c>
      <c r="P12" s="89">
        <f t="shared" si="0"/>
        <v>10171610.672073282</v>
      </c>
      <c r="Q12" s="89">
        <f t="shared" si="0"/>
        <v>10425900.938875113</v>
      </c>
      <c r="R12" s="89">
        <f t="shared" si="0"/>
        <v>10686548.46234699</v>
      </c>
      <c r="S12" s="90">
        <f t="shared" si="0"/>
        <v>10953712.173905663</v>
      </c>
      <c r="T12" s="89">
        <f t="shared" si="0"/>
        <v>11227554.978253303</v>
      </c>
      <c r="U12" s="89">
        <f t="shared" si="0"/>
        <v>11508243.852709634</v>
      </c>
      <c r="V12" s="89">
        <f t="shared" si="0"/>
        <v>11795949.949027374</v>
      </c>
      <c r="W12" s="89">
        <f t="shared" si="0"/>
        <v>12090848.697753057</v>
      </c>
      <c r="X12" s="89">
        <f t="shared" si="0"/>
        <v>12393119.915196883</v>
      </c>
      <c r="Y12" s="89">
        <f t="shared" si="0"/>
        <v>12702947.913076803</v>
      </c>
      <c r="Z12" s="89">
        <f t="shared" si="0"/>
        <v>13020521.610903721</v>
      </c>
      <c r="AA12" s="89">
        <f t="shared" si="0"/>
        <v>13346034.651176313</v>
      </c>
      <c r="AB12" s="89">
        <f t="shared" si="0"/>
        <v>13679685.517455719</v>
      </c>
      <c r="AC12" s="89">
        <f t="shared" si="0"/>
        <v>14021677.65539211</v>
      </c>
      <c r="AD12" s="89">
        <f t="shared" si="0"/>
        <v>14372219.596776912</v>
      </c>
      <c r="AE12" s="89">
        <f t="shared" si="0"/>
        <v>14731525.086696334</v>
      </c>
      <c r="AF12" s="89">
        <f t="shared" si="0"/>
        <v>15099813.213863742</v>
      </c>
      <c r="AG12" s="89">
        <f t="shared" si="0"/>
        <v>15477308.544210333</v>
      </c>
      <c r="AH12" s="89">
        <f t="shared" si="0"/>
        <v>15864241.25781559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-387891</v>
      </c>
      <c r="F14" s="100">
        <f t="shared" ref="F14:AH14" si="2">-((F12+F13)*$C$14)</f>
        <v>-397588.27499999997</v>
      </c>
      <c r="G14" s="100">
        <f t="shared" si="2"/>
        <v>-407527.98187499994</v>
      </c>
      <c r="H14" s="100">
        <f t="shared" si="2"/>
        <v>-417716.18142187491</v>
      </c>
      <c r="I14" s="100">
        <f t="shared" si="2"/>
        <v>-428159.08595742175</v>
      </c>
      <c r="J14" s="100">
        <f t="shared" si="2"/>
        <v>-438863.06310635735</v>
      </c>
      <c r="K14" s="100">
        <f t="shared" si="2"/>
        <v>-449834.63968401618</v>
      </c>
      <c r="L14" s="100">
        <f t="shared" si="2"/>
        <v>-461080.50567611656</v>
      </c>
      <c r="M14" s="100">
        <f t="shared" si="2"/>
        <v>-472607.51831801934</v>
      </c>
      <c r="N14" s="100">
        <f t="shared" si="2"/>
        <v>-484422.70627596986</v>
      </c>
      <c r="O14" s="100">
        <f t="shared" si="2"/>
        <v>-496533.27393286902</v>
      </c>
      <c r="P14" s="100">
        <f t="shared" si="2"/>
        <v>-508946.60578119068</v>
      </c>
      <c r="Q14" s="100">
        <f t="shared" si="2"/>
        <v>-521670.27092572034</v>
      </c>
      <c r="R14" s="100">
        <f t="shared" si="2"/>
        <v>-534712.0276988633</v>
      </c>
      <c r="S14" s="101">
        <f t="shared" si="2"/>
        <v>-548079.82839133486</v>
      </c>
      <c r="T14" s="100">
        <f t="shared" si="2"/>
        <v>-561781.82410111814</v>
      </c>
      <c r="U14" s="100">
        <f t="shared" si="2"/>
        <v>-575826.36970364605</v>
      </c>
      <c r="V14" s="100">
        <f t="shared" si="2"/>
        <v>-590222.02894623706</v>
      </c>
      <c r="W14" s="100">
        <f t="shared" si="2"/>
        <v>-604977.57966989302</v>
      </c>
      <c r="X14" s="100">
        <f t="shared" si="2"/>
        <v>-620102.0191616402</v>
      </c>
      <c r="Y14" s="100">
        <f t="shared" si="2"/>
        <v>-635604.56964068115</v>
      </c>
      <c r="Z14" s="100">
        <f t="shared" si="2"/>
        <v>-651494.68388169818</v>
      </c>
      <c r="AA14" s="100">
        <f t="shared" si="2"/>
        <v>-667782.05097874056</v>
      </c>
      <c r="AB14" s="100">
        <f t="shared" si="2"/>
        <v>-684476.60225320898</v>
      </c>
      <c r="AC14" s="100">
        <f t="shared" si="2"/>
        <v>-701588.51730953902</v>
      </c>
      <c r="AD14" s="100">
        <f t="shared" si="2"/>
        <v>-719128.2302422775</v>
      </c>
      <c r="AE14" s="100">
        <f t="shared" si="2"/>
        <v>-737106.43599833443</v>
      </c>
      <c r="AF14" s="100">
        <f t="shared" si="2"/>
        <v>-755534.09689829266</v>
      </c>
      <c r="AG14" s="100">
        <f t="shared" si="2"/>
        <v>-774422.44932074996</v>
      </c>
      <c r="AH14" s="100">
        <f t="shared" si="2"/>
        <v>-793783.0105537686</v>
      </c>
    </row>
    <row r="15" spans="1:34">
      <c r="A15" s="76"/>
      <c r="B15" s="102" t="s">
        <v>312</v>
      </c>
      <c r="C15" s="76"/>
      <c r="D15" s="76"/>
      <c r="E15" s="95">
        <f>SUM(E12:E14)</f>
        <v>7369929</v>
      </c>
      <c r="F15" s="95">
        <f t="shared" ref="F15:AH15" si="3">SUM(F12:F14)</f>
        <v>7554177.2249999987</v>
      </c>
      <c r="G15" s="103">
        <f t="shared" si="3"/>
        <v>7743031.6556249987</v>
      </c>
      <c r="H15" s="104">
        <f t="shared" si="3"/>
        <v>7936607.4470156226</v>
      </c>
      <c r="I15" s="104">
        <f t="shared" si="3"/>
        <v>8135022.6331910128</v>
      </c>
      <c r="J15" s="95">
        <f t="shared" si="3"/>
        <v>8338398.199020789</v>
      </c>
      <c r="K15" s="103">
        <f t="shared" si="3"/>
        <v>8546858.1539963074</v>
      </c>
      <c r="L15" s="95">
        <f t="shared" si="3"/>
        <v>8760529.6078462135</v>
      </c>
      <c r="M15" s="95">
        <f t="shared" si="3"/>
        <v>8979542.848042367</v>
      </c>
      <c r="N15" s="95">
        <f t="shared" si="3"/>
        <v>9204031.419243427</v>
      </c>
      <c r="O15" s="95">
        <f t="shared" si="3"/>
        <v>9434132.2047245111</v>
      </c>
      <c r="P15" s="95">
        <f t="shared" si="3"/>
        <v>9669985.509842623</v>
      </c>
      <c r="Q15" s="95">
        <f t="shared" si="3"/>
        <v>9911735.1475886852</v>
      </c>
      <c r="R15" s="95">
        <f t="shared" si="3"/>
        <v>10159528.526278403</v>
      </c>
      <c r="S15" s="96">
        <f t="shared" si="3"/>
        <v>10413516.739435364</v>
      </c>
      <c r="T15" s="95">
        <f t="shared" si="3"/>
        <v>10673854.657921243</v>
      </c>
      <c r="U15" s="95">
        <f t="shared" si="3"/>
        <v>10940701.024369273</v>
      </c>
      <c r="V15" s="95">
        <f t="shared" si="3"/>
        <v>11214218.549978504</v>
      </c>
      <c r="W15" s="95">
        <f t="shared" si="3"/>
        <v>11494574.013727967</v>
      </c>
      <c r="X15" s="95">
        <f t="shared" si="3"/>
        <v>11781938.364071164</v>
      </c>
      <c r="Y15" s="95">
        <f t="shared" si="3"/>
        <v>12076486.823172942</v>
      </c>
      <c r="Z15" s="95">
        <f t="shared" si="3"/>
        <v>12378398.993752263</v>
      </c>
      <c r="AA15" s="95">
        <f t="shared" si="3"/>
        <v>12687858.968596069</v>
      </c>
      <c r="AB15" s="95">
        <f t="shared" si="3"/>
        <v>13005055.442810969</v>
      </c>
      <c r="AC15" s="95">
        <f t="shared" si="3"/>
        <v>13330181.828881241</v>
      </c>
      <c r="AD15" s="95">
        <f t="shared" si="3"/>
        <v>13663436.374603271</v>
      </c>
      <c r="AE15" s="95">
        <f t="shared" si="3"/>
        <v>14005022.283968354</v>
      </c>
      <c r="AF15" s="95">
        <f t="shared" si="3"/>
        <v>14355147.84106756</v>
      </c>
      <c r="AG15" s="95">
        <f t="shared" si="3"/>
        <v>14714026.537094248</v>
      </c>
      <c r="AH15" s="95">
        <f t="shared" si="3"/>
        <v>15081877.200521603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315</v>
      </c>
      <c r="C19" s="1713" t="s">
        <v>1104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5782329</v>
      </c>
      <c r="F21" s="95">
        <f t="shared" si="8"/>
        <v>5913657.2249999987</v>
      </c>
      <c r="G21" s="95">
        <f t="shared" si="8"/>
        <v>6047739.4556249995</v>
      </c>
      <c r="H21" s="95">
        <f t="shared" si="8"/>
        <v>6184626.0200156234</v>
      </c>
      <c r="I21" s="95">
        <f t="shared" si="8"/>
        <v>6324367.8562460132</v>
      </c>
      <c r="J21" s="95">
        <f t="shared" si="8"/>
        <v>6467016.5048827147</v>
      </c>
      <c r="K21" s="95">
        <f t="shared" si="8"/>
        <v>6612624.1005634004</v>
      </c>
      <c r="L21" s="95">
        <f t="shared" si="8"/>
        <v>6761243.3625431545</v>
      </c>
      <c r="M21" s="95">
        <f t="shared" si="8"/>
        <v>6912927.5841537016</v>
      </c>
      <c r="N21" s="95">
        <f t="shared" si="8"/>
        <v>7067730.6211186582</v>
      </c>
      <c r="O21" s="95">
        <f t="shared" si="8"/>
        <v>7225706.8786653765</v>
      </c>
      <c r="P21" s="95">
        <f t="shared" si="8"/>
        <v>7386911.2973714182</v>
      </c>
      <c r="Q21" s="95">
        <f t="shared" si="8"/>
        <v>7551399.337680988</v>
      </c>
      <c r="R21" s="95">
        <f t="shared" si="8"/>
        <v>7719226.9630239364</v>
      </c>
      <c r="S21" s="96">
        <f t="shared" si="8"/>
        <v>7890450.6214669915</v>
      </c>
      <c r="T21" s="95">
        <f t="shared" si="8"/>
        <v>8065127.225823978</v>
      </c>
      <c r="U21" s="95">
        <f t="shared" si="8"/>
        <v>8243314.1321486048</v>
      </c>
      <c r="V21" s="95">
        <f t="shared" si="8"/>
        <v>8425069.1165301129</v>
      </c>
      <c r="W21" s="95">
        <f t="shared" si="8"/>
        <v>8610450.3501088805</v>
      </c>
      <c r="X21" s="95">
        <f t="shared" si="8"/>
        <v>8799516.3722254112</v>
      </c>
      <c r="Y21" s="95">
        <f t="shared" si="8"/>
        <v>8992326.0616125874</v>
      </c>
      <c r="Z21" s="95">
        <f t="shared" si="8"/>
        <v>9188938.6055372953</v>
      </c>
      <c r="AA21" s="95">
        <f t="shared" si="8"/>
        <v>9389413.4667935781</v>
      </c>
      <c r="AB21" s="95">
        <f t="shared" si="8"/>
        <v>9593810.3484453913</v>
      </c>
      <c r="AC21" s="95">
        <f t="shared" si="8"/>
        <v>9802189.1562128682</v>
      </c>
      <c r="AD21" s="95">
        <f t="shared" si="8"/>
        <v>10014609.958391506</v>
      </c>
      <c r="AE21" s="95">
        <f t="shared" si="8"/>
        <v>10231132.943189176</v>
      </c>
      <c r="AF21" s="95">
        <f t="shared" si="8"/>
        <v>10451818.373361111</v>
      </c>
      <c r="AG21" s="95">
        <f t="shared" si="8"/>
        <v>10676726.538018074</v>
      </c>
      <c r="AH21" s="95">
        <f t="shared" si="8"/>
        <v>10905917.701477762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-4818607.5</v>
      </c>
      <c r="F22" s="95">
        <f t="shared" ref="F22:AH22" si="9">$E$22</f>
        <v>-4818607.5</v>
      </c>
      <c r="G22" s="95">
        <f t="shared" si="9"/>
        <v>-4818607.5</v>
      </c>
      <c r="H22" s="95">
        <f t="shared" si="9"/>
        <v>-4818607.5</v>
      </c>
      <c r="I22" s="95">
        <f t="shared" si="9"/>
        <v>-4818607.5</v>
      </c>
      <c r="J22" s="95">
        <f t="shared" si="9"/>
        <v>-4818607.5</v>
      </c>
      <c r="K22" s="95">
        <f t="shared" si="9"/>
        <v>-4818607.5</v>
      </c>
      <c r="L22" s="95">
        <f t="shared" si="9"/>
        <v>-4818607.5</v>
      </c>
      <c r="M22" s="95">
        <f t="shared" si="9"/>
        <v>-4818607.5</v>
      </c>
      <c r="N22" s="95">
        <f t="shared" si="9"/>
        <v>-4818607.5</v>
      </c>
      <c r="O22" s="95">
        <f t="shared" si="9"/>
        <v>-4818607.5</v>
      </c>
      <c r="P22" s="95">
        <f t="shared" si="9"/>
        <v>-4818607.5</v>
      </c>
      <c r="Q22" s="95">
        <f t="shared" si="9"/>
        <v>-4818607.5</v>
      </c>
      <c r="R22" s="95">
        <f t="shared" si="9"/>
        <v>-4818607.5</v>
      </c>
      <c r="S22" s="96">
        <f t="shared" si="9"/>
        <v>-4818607.5</v>
      </c>
      <c r="T22" s="95">
        <f t="shared" si="9"/>
        <v>-4818607.5</v>
      </c>
      <c r="U22" s="95">
        <f t="shared" si="9"/>
        <v>-4818607.5</v>
      </c>
      <c r="V22" s="95">
        <f t="shared" si="9"/>
        <v>-4818607.5</v>
      </c>
      <c r="W22" s="95">
        <f t="shared" si="9"/>
        <v>-4818607.5</v>
      </c>
      <c r="X22" s="95">
        <f t="shared" si="9"/>
        <v>-4818607.5</v>
      </c>
      <c r="Y22" s="95">
        <f t="shared" si="9"/>
        <v>-4818607.5</v>
      </c>
      <c r="Z22" s="95">
        <f t="shared" si="9"/>
        <v>-4818607.5</v>
      </c>
      <c r="AA22" s="95">
        <f t="shared" si="9"/>
        <v>-4818607.5</v>
      </c>
      <c r="AB22" s="95">
        <f t="shared" si="9"/>
        <v>-4818607.5</v>
      </c>
      <c r="AC22" s="95">
        <f t="shared" si="9"/>
        <v>-4818607.5</v>
      </c>
      <c r="AD22" s="95">
        <f t="shared" si="9"/>
        <v>-4818607.5</v>
      </c>
      <c r="AE22" s="95">
        <f t="shared" si="9"/>
        <v>-4818607.5</v>
      </c>
      <c r="AF22" s="95">
        <f t="shared" si="9"/>
        <v>-4818607.5</v>
      </c>
      <c r="AG22" s="95">
        <f t="shared" si="9"/>
        <v>-4818607.5</v>
      </c>
      <c r="AH22" s="95">
        <f t="shared" si="9"/>
        <v>-4818607.5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963721.5</v>
      </c>
      <c r="F25" s="119">
        <f t="shared" ref="F25:AH25" si="11">+F21+F22+F23</f>
        <v>1095049.7249999987</v>
      </c>
      <c r="G25" s="119">
        <f t="shared" si="11"/>
        <v>1229131.9556249995</v>
      </c>
      <c r="H25" s="119">
        <f t="shared" si="11"/>
        <v>1366018.5200156234</v>
      </c>
      <c r="I25" s="119">
        <f t="shared" si="11"/>
        <v>1505760.3562460132</v>
      </c>
      <c r="J25" s="119">
        <f t="shared" si="11"/>
        <v>1648409.0048827147</v>
      </c>
      <c r="K25" s="119">
        <f t="shared" si="11"/>
        <v>1794016.6005634004</v>
      </c>
      <c r="L25" s="119">
        <f t="shared" si="11"/>
        <v>1942635.8625431545</v>
      </c>
      <c r="M25" s="119">
        <f t="shared" si="11"/>
        <v>2094320.0841537016</v>
      </c>
      <c r="N25" s="119">
        <f t="shared" si="11"/>
        <v>2249123.1211186582</v>
      </c>
      <c r="O25" s="119">
        <f t="shared" si="11"/>
        <v>2407099.3786653765</v>
      </c>
      <c r="P25" s="119">
        <f t="shared" si="11"/>
        <v>2568303.7973714182</v>
      </c>
      <c r="Q25" s="119">
        <f t="shared" si="11"/>
        <v>2732791.837680988</v>
      </c>
      <c r="R25" s="119">
        <f t="shared" si="11"/>
        <v>2900619.4630239364</v>
      </c>
      <c r="S25" s="160">
        <f t="shared" si="11"/>
        <v>3071843.1214669915</v>
      </c>
      <c r="T25" s="119">
        <f t="shared" si="11"/>
        <v>3246519.725823978</v>
      </c>
      <c r="U25" s="119">
        <f t="shared" si="11"/>
        <v>3424706.6321486048</v>
      </c>
      <c r="V25" s="119">
        <f t="shared" si="11"/>
        <v>3606461.6165301129</v>
      </c>
      <c r="W25" s="119">
        <f t="shared" si="11"/>
        <v>3791842.8501088805</v>
      </c>
      <c r="X25" s="119">
        <f t="shared" si="11"/>
        <v>3980908.8722254112</v>
      </c>
      <c r="Y25" s="119">
        <f t="shared" si="11"/>
        <v>4173718.5616125874</v>
      </c>
      <c r="Z25" s="119">
        <f t="shared" si="11"/>
        <v>4370331.1055372953</v>
      </c>
      <c r="AA25" s="119">
        <f t="shared" si="11"/>
        <v>4570805.9667935781</v>
      </c>
      <c r="AB25" s="119">
        <f t="shared" si="11"/>
        <v>4775202.8484453913</v>
      </c>
      <c r="AC25" s="119">
        <f t="shared" si="11"/>
        <v>4983581.6562128682</v>
      </c>
      <c r="AD25" s="119">
        <f t="shared" si="11"/>
        <v>5196002.4583915062</v>
      </c>
      <c r="AE25" s="119">
        <f t="shared" si="11"/>
        <v>5412525.4431891758</v>
      </c>
      <c r="AF25" s="119">
        <f t="shared" si="11"/>
        <v>5633210.8733611107</v>
      </c>
      <c r="AG25" s="119">
        <f t="shared" si="11"/>
        <v>5858119.0380180739</v>
      </c>
      <c r="AH25" s="119">
        <f t="shared" si="11"/>
        <v>6087310.2014777623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1.2272543935151388</v>
      </c>
      <c r="G27" s="122">
        <f t="shared" si="12"/>
        <v>1.2550803226087619</v>
      </c>
      <c r="H27" s="122">
        <f t="shared" si="12"/>
        <v>1.2834882318212519</v>
      </c>
      <c r="I27" s="122">
        <f t="shared" si="12"/>
        <v>1.3124886922717847</v>
      </c>
      <c r="J27" s="122">
        <f t="shared" si="12"/>
        <v>1.3420924001140817</v>
      </c>
      <c r="K27" s="122">
        <f t="shared" si="12"/>
        <v>1.3723101747887538</v>
      </c>
      <c r="L27" s="122">
        <f t="shared" si="12"/>
        <v>1.4031529570613823</v>
      </c>
      <c r="M27" s="122">
        <f t="shared" si="12"/>
        <v>1.4346318068350039</v>
      </c>
      <c r="N27" s="122">
        <f t="shared" si="12"/>
        <v>1.4667579007251905</v>
      </c>
      <c r="O27" s="122">
        <f t="shared" si="12"/>
        <v>1.4995425293853828</v>
      </c>
      <c r="P27" s="122">
        <f t="shared" si="12"/>
        <v>1.5329970945696278</v>
      </c>
      <c r="Q27" s="122">
        <f t="shared" si="12"/>
        <v>1.5671331059192906</v>
      </c>
      <c r="R27" s="122">
        <f t="shared" si="12"/>
        <v>1.6019621774597612</v>
      </c>
      <c r="S27" s="161">
        <f t="shared" si="12"/>
        <v>1.6374960237925567</v>
      </c>
      <c r="T27" s="122">
        <f t="shared" si="12"/>
        <v>1.6737464559676167</v>
      </c>
      <c r="U27" s="122">
        <f t="shared" si="12"/>
        <v>1.7107253770199389</v>
      </c>
      <c r="V27" s="122">
        <f t="shared" si="12"/>
        <v>1.7484447771540041</v>
      </c>
      <c r="W27" s="122">
        <f t="shared" si="12"/>
        <v>1.7869167285587964</v>
      </c>
      <c r="X27" s="122">
        <f t="shared" si="12"/>
        <v>1.8261533798354423</v>
      </c>
      <c r="Y27" s="122">
        <f t="shared" si="12"/>
        <v>1.8661669500187736</v>
      </c>
      <c r="Z27" s="122">
        <f t="shared" si="12"/>
        <v>1.9069697221733239</v>
      </c>
      <c r="AA27" s="122">
        <f t="shared" si="12"/>
        <v>1.9485740365434574</v>
      </c>
      <c r="AB27" s="122">
        <f t="shared" si="12"/>
        <v>1.9909922832364726</v>
      </c>
      <c r="AC27" s="122">
        <f t="shared" si="12"/>
        <v>2.0342368944166687</v>
      </c>
      <c r="AD27" s="122">
        <f t="shared" si="12"/>
        <v>2.0783203359874207</v>
      </c>
      <c r="AE27" s="122">
        <f t="shared" si="12"/>
        <v>2.1232550987373791</v>
      </c>
      <c r="AF27" s="122">
        <f t="shared" si="12"/>
        <v>2.1690536889259211</v>
      </c>
      <c r="AG27" s="122">
        <f t="shared" si="12"/>
        <v>2.2157286182819567</v>
      </c>
      <c r="AH27" s="122">
        <f t="shared" si="12"/>
        <v>2.2632923933891198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963721.5</v>
      </c>
      <c r="F41" s="129">
        <f t="shared" ref="F41:S41" si="20">F25+F37</f>
        <v>1095049.7249999987</v>
      </c>
      <c r="G41" s="129">
        <f t="shared" si="20"/>
        <v>1229131.9556249995</v>
      </c>
      <c r="H41" s="129">
        <f t="shared" si="20"/>
        <v>1366018.5200156234</v>
      </c>
      <c r="I41" s="129">
        <f t="shared" si="20"/>
        <v>1505760.3562460132</v>
      </c>
      <c r="J41" s="129">
        <f t="shared" si="20"/>
        <v>1648409.0048827147</v>
      </c>
      <c r="K41" s="129">
        <f t="shared" si="20"/>
        <v>1794016.6005634004</v>
      </c>
      <c r="L41" s="129">
        <f t="shared" si="20"/>
        <v>1942635.8625431545</v>
      </c>
      <c r="M41" s="129">
        <f t="shared" si="20"/>
        <v>2094320.0841537016</v>
      </c>
      <c r="N41" s="129">
        <f t="shared" si="20"/>
        <v>2249123.1211186582</v>
      </c>
      <c r="O41" s="129">
        <f t="shared" si="20"/>
        <v>2407099.3786653765</v>
      </c>
      <c r="P41" s="129">
        <f t="shared" si="20"/>
        <v>2568303.7973714182</v>
      </c>
      <c r="Q41" s="129">
        <f t="shared" si="20"/>
        <v>2732791.837680988</v>
      </c>
      <c r="R41" s="129">
        <f t="shared" si="20"/>
        <v>2900619.4630239364</v>
      </c>
      <c r="S41" s="130">
        <f t="shared" si="20"/>
        <v>3071843.1214669915</v>
      </c>
      <c r="T41" s="130">
        <f t="shared" ref="T41:AH41" si="21">T25+T37</f>
        <v>3246519.725823978</v>
      </c>
      <c r="U41" s="130">
        <f t="shared" si="21"/>
        <v>3424706.6321486048</v>
      </c>
      <c r="V41" s="130">
        <f t="shared" si="21"/>
        <v>3606461.6165301129</v>
      </c>
      <c r="W41" s="130">
        <f t="shared" si="21"/>
        <v>3791842.8501088805</v>
      </c>
      <c r="X41" s="130">
        <f t="shared" si="21"/>
        <v>3980908.8722254112</v>
      </c>
      <c r="Y41" s="130">
        <f t="shared" si="21"/>
        <v>4173718.5616125874</v>
      </c>
      <c r="Z41" s="130">
        <f t="shared" si="21"/>
        <v>4370331.1055372953</v>
      </c>
      <c r="AA41" s="130">
        <f t="shared" si="21"/>
        <v>4570805.9667935781</v>
      </c>
      <c r="AB41" s="130">
        <f t="shared" si="21"/>
        <v>4775202.8484453913</v>
      </c>
      <c r="AC41" s="130">
        <f t="shared" si="21"/>
        <v>4983581.6562128682</v>
      </c>
      <c r="AD41" s="130">
        <f t="shared" si="21"/>
        <v>5196002.4583915062</v>
      </c>
      <c r="AE41" s="130">
        <f t="shared" si="21"/>
        <v>5412525.4431891758</v>
      </c>
      <c r="AF41" s="130">
        <f t="shared" si="21"/>
        <v>5633210.8733611107</v>
      </c>
      <c r="AG41" s="130">
        <f t="shared" si="21"/>
        <v>5858119.0380180739</v>
      </c>
      <c r="AH41" s="130">
        <f t="shared" si="21"/>
        <v>6087310.2014777623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819163.27500000002</v>
      </c>
      <c r="F42" s="129">
        <f t="shared" ref="F42:S42" si="22">((F41*$C$42))</f>
        <v>930792.26624999882</v>
      </c>
      <c r="G42" s="129">
        <f t="shared" si="22"/>
        <v>1044762.1622812495</v>
      </c>
      <c r="H42" s="129">
        <f t="shared" si="22"/>
        <v>1161115.7420132798</v>
      </c>
      <c r="I42" s="129">
        <f t="shared" si="22"/>
        <v>1279896.3028091111</v>
      </c>
      <c r="J42" s="129">
        <f t="shared" si="22"/>
        <v>1401147.6541503074</v>
      </c>
      <c r="K42" s="129">
        <f t="shared" si="22"/>
        <v>1524914.1104788904</v>
      </c>
      <c r="L42" s="129">
        <f t="shared" si="22"/>
        <v>1651240.4831616813</v>
      </c>
      <c r="M42" s="129">
        <f t="shared" si="22"/>
        <v>1780172.0715306462</v>
      </c>
      <c r="N42" s="129">
        <f t="shared" si="22"/>
        <v>1911754.6529508594</v>
      </c>
      <c r="O42" s="129">
        <f t="shared" si="22"/>
        <v>2046034.4718655699</v>
      </c>
      <c r="P42" s="129">
        <f t="shared" si="22"/>
        <v>2183058.2277657054</v>
      </c>
      <c r="Q42" s="129">
        <f t="shared" si="22"/>
        <v>2322873.0620288397</v>
      </c>
      <c r="R42" s="129">
        <f t="shared" si="22"/>
        <v>2465526.5435703457</v>
      </c>
      <c r="S42" s="129">
        <f t="shared" si="22"/>
        <v>2611066.6532469429</v>
      </c>
      <c r="T42" s="129">
        <f t="shared" ref="T42:AH42" si="23">((T41*$C$42))</f>
        <v>2759541.766950381</v>
      </c>
      <c r="U42" s="129">
        <f t="shared" si="23"/>
        <v>2911000.6373263141</v>
      </c>
      <c r="V42" s="129">
        <f t="shared" si="23"/>
        <v>3065492.3740505958</v>
      </c>
      <c r="W42" s="129">
        <f t="shared" si="23"/>
        <v>3223066.4225925482</v>
      </c>
      <c r="X42" s="129">
        <f t="shared" si="23"/>
        <v>3383772.5413915995</v>
      </c>
      <c r="Y42" s="129">
        <f t="shared" si="23"/>
        <v>3547660.7773706992</v>
      </c>
      <c r="Z42" s="129">
        <f t="shared" si="23"/>
        <v>3714781.4397067009</v>
      </c>
      <c r="AA42" s="129">
        <f t="shared" si="23"/>
        <v>3885185.0717745414</v>
      </c>
      <c r="AB42" s="129">
        <f t="shared" si="23"/>
        <v>4058922.4211785826</v>
      </c>
      <c r="AC42" s="129">
        <f t="shared" si="23"/>
        <v>4236044.4077809379</v>
      </c>
      <c r="AD42" s="129">
        <f t="shared" si="23"/>
        <v>4416602.0896327803</v>
      </c>
      <c r="AE42" s="129">
        <f t="shared" si="23"/>
        <v>4600646.6267107995</v>
      </c>
      <c r="AF42" s="129">
        <f t="shared" si="23"/>
        <v>4788229.2423569439</v>
      </c>
      <c r="AG42" s="129">
        <f t="shared" si="23"/>
        <v>4979401.1823153626</v>
      </c>
      <c r="AH42" s="129">
        <f t="shared" si="23"/>
        <v>5174213.671256098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144558.22500000001</v>
      </c>
      <c r="F43" s="108">
        <f t="shared" ref="F43:S43" si="24">$C$43*(F41)</f>
        <v>164257.45874999979</v>
      </c>
      <c r="G43" s="108">
        <f t="shared" si="24"/>
        <v>184369.79334374992</v>
      </c>
      <c r="H43" s="108">
        <f t="shared" si="24"/>
        <v>204902.77800234352</v>
      </c>
      <c r="I43" s="108">
        <f t="shared" si="24"/>
        <v>225864.05343690197</v>
      </c>
      <c r="J43" s="108">
        <f t="shared" si="24"/>
        <v>247261.35073240718</v>
      </c>
      <c r="K43" s="108">
        <f t="shared" si="24"/>
        <v>269102.49008451006</v>
      </c>
      <c r="L43" s="108">
        <f t="shared" si="24"/>
        <v>291395.37938147318</v>
      </c>
      <c r="M43" s="108">
        <f t="shared" si="24"/>
        <v>314148.0126230552</v>
      </c>
      <c r="N43" s="108">
        <f t="shared" si="24"/>
        <v>337368.46816779871</v>
      </c>
      <c r="O43" s="108">
        <f t="shared" si="24"/>
        <v>361064.90679980646</v>
      </c>
      <c r="P43" s="108">
        <f t="shared" si="24"/>
        <v>385245.56960571272</v>
      </c>
      <c r="Q43" s="108">
        <f t="shared" si="24"/>
        <v>409918.77565214818</v>
      </c>
      <c r="R43" s="108">
        <f t="shared" si="24"/>
        <v>435092.91945359047</v>
      </c>
      <c r="S43" s="108">
        <f t="shared" si="24"/>
        <v>460776.4682200487</v>
      </c>
      <c r="T43" s="108">
        <f t="shared" ref="T43:AH43" si="25">$C$43*(T41)</f>
        <v>486977.95887359668</v>
      </c>
      <c r="U43" s="108">
        <f t="shared" si="25"/>
        <v>513705.99482229073</v>
      </c>
      <c r="V43" s="108">
        <f t="shared" si="25"/>
        <v>540969.24247951689</v>
      </c>
      <c r="W43" s="108">
        <f t="shared" si="25"/>
        <v>568776.42751633201</v>
      </c>
      <c r="X43" s="108">
        <f t="shared" si="25"/>
        <v>597136.33083381166</v>
      </c>
      <c r="Y43" s="108">
        <f t="shared" si="25"/>
        <v>626057.78424188809</v>
      </c>
      <c r="Z43" s="108">
        <f t="shared" si="25"/>
        <v>655549.66583059425</v>
      </c>
      <c r="AA43" s="108">
        <f t="shared" si="25"/>
        <v>685620.89501903672</v>
      </c>
      <c r="AB43" s="108">
        <f t="shared" si="25"/>
        <v>716280.42726680869</v>
      </c>
      <c r="AC43" s="108">
        <f t="shared" si="25"/>
        <v>747537.2484319302</v>
      </c>
      <c r="AD43" s="108">
        <f t="shared" si="25"/>
        <v>779400.36875872593</v>
      </c>
      <c r="AE43" s="108">
        <f t="shared" si="25"/>
        <v>811878.81647837639</v>
      </c>
      <c r="AF43" s="108">
        <f t="shared" si="25"/>
        <v>844981.63100416656</v>
      </c>
      <c r="AG43" s="108">
        <f t="shared" si="25"/>
        <v>878717.85570271104</v>
      </c>
      <c r="AH43" s="108">
        <f t="shared" si="25"/>
        <v>913096.53022166435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>
        <f>E21/Data!$C$38</f>
        <v>5.3980235311641103E-2</v>
      </c>
      <c r="F46" s="1529">
        <f>F21/Data!$C$38</f>
        <v>5.5206234124327146E-2</v>
      </c>
      <c r="G46" s="1529">
        <f>G21/Data!$C$38</f>
        <v>5.6457942624526164E-2</v>
      </c>
      <c r="H46" s="1529">
        <f>H21/Data!$C$38</f>
        <v>5.7735830644527794E-2</v>
      </c>
      <c r="I46" s="1529">
        <f>I21/Data!$C$38</f>
        <v>5.9040373710582537E-2</v>
      </c>
      <c r="J46" s="1529">
        <f>J21/Data!$C$38</f>
        <v>6.0372052973436091E-2</v>
      </c>
      <c r="K46" s="1529">
        <f>K21/Data!$C$38</f>
        <v>6.1731355129713561E-2</v>
      </c>
      <c r="L46" s="1529">
        <f>L21/Data!$C$38</f>
        <v>6.3118772333665391E-2</v>
      </c>
      <c r="M46" s="1529">
        <f>M21/Data!$C$38</f>
        <v>6.4534802098765304E-2</v>
      </c>
      <c r="N46" s="1529">
        <f>N21/Data!$C$38</f>
        <v>6.5979947188628749E-2</v>
      </c>
      <c r="O46" s="1529">
        <f>O21/Data!$C$38</f>
        <v>6.7454715496697057E-2</v>
      </c>
      <c r="P46" s="1529">
        <f>P21/Data!$C$38</f>
        <v>6.8959619914108872E-2</v>
      </c>
      <c r="Q46" s="1529">
        <f>Q21/Data!$C$38</f>
        <v>7.0495178185155244E-2</v>
      </c>
      <c r="R46" s="1529">
        <f>R21/Data!$C$38</f>
        <v>7.2061912749689067E-2</v>
      </c>
      <c r="S46" s="1529">
        <f>S21/Data!$C$38</f>
        <v>7.3660350571832386E-2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2.7473297886684348E-2</v>
      </c>
      <c r="F47" s="142">
        <f>F41/GapCalc!$H$33</f>
        <v>3.1217138245495966E-2</v>
      </c>
      <c r="G47" s="142">
        <f>G41/GapCalc!$H$33</f>
        <v>3.5039488440310296E-2</v>
      </c>
      <c r="H47" s="142">
        <f>H41/GapCalc!$H$33</f>
        <v>3.8941783200973426E-2</v>
      </c>
      <c r="I47" s="142">
        <f>I41/GapCalc!$H$33</f>
        <v>4.2925474645015872E-2</v>
      </c>
      <c r="J47" s="142">
        <f>J41/GapCalc!$H$33</f>
        <v>4.699203206552488E-2</v>
      </c>
      <c r="K47" s="142">
        <f>K41/GapCalc!$H$33</f>
        <v>5.1142941691074764E-2</v>
      </c>
      <c r="L47" s="142">
        <f>L41/GapCalc!$H$33</f>
        <v>5.5379706416225097E-2</v>
      </c>
      <c r="M47" s="142">
        <f>M41/GapCalc!$H$33</f>
        <v>5.9703845501029577E-2</v>
      </c>
      <c r="N47" s="142">
        <f>N41/GapCalc!$H$33</f>
        <v>6.4116894237932986E-2</v>
      </c>
      <c r="O47" s="142">
        <f>O41/GapCalc!$H$33</f>
        <v>6.8620403584361972E-2</v>
      </c>
      <c r="P47" s="142">
        <f>P41/GapCalc!$H$33</f>
        <v>7.3215939759243273E-2</v>
      </c>
      <c r="Q47" s="142">
        <f>Q41/GapCalc!$H$33</f>
        <v>7.7905083801605879E-2</v>
      </c>
      <c r="R47" s="142">
        <f>R41/GapCalc!$H$33</f>
        <v>8.268943108934583E-2</v>
      </c>
      <c r="S47" s="142">
        <f>S41/GapCalc!$H$33</f>
        <v>8.7570590816148597E-2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2.3352303203681694E-2</v>
      </c>
      <c r="F48" s="142">
        <f>F43/GapCalc!$H$32</f>
        <v>2.6534567508671565E-2</v>
      </c>
      <c r="G48" s="142">
        <f>G43/GapCalc!$H$32</f>
        <v>2.9783565174263747E-2</v>
      </c>
      <c r="H48" s="142">
        <f>H43/GapCalc!$H$32</f>
        <v>3.3100515720827409E-2</v>
      </c>
      <c r="I48" s="142">
        <f>I43/GapCalc!$H$32</f>
        <v>3.648665344826349E-2</v>
      </c>
      <c r="J48" s="142">
        <f>J43/GapCalc!$H$32</f>
        <v>3.9943227255696143E-2</v>
      </c>
      <c r="K48" s="142">
        <f>K43/GapCalc!$H$32</f>
        <v>4.3471500437413546E-2</v>
      </c>
      <c r="L48" s="142">
        <f>L43/GapCalc!$H$32</f>
        <v>4.7072750453791327E-2</v>
      </c>
      <c r="M48" s="142">
        <f>M43/GapCalc!$H$32</f>
        <v>5.0748268675875126E-2</v>
      </c>
      <c r="N48" s="142">
        <f>N43/GapCalc!$H$32</f>
        <v>5.449936010224303E-2</v>
      </c>
      <c r="O48" s="142">
        <f>O43/GapCalc!$H$32</f>
        <v>5.8327343046707669E-2</v>
      </c>
      <c r="P48" s="142">
        <f>P43/GapCalc!$H$32</f>
        <v>6.223354879535678E-2</v>
      </c>
      <c r="Q48" s="142">
        <f>Q43/GapCalc!$H$32</f>
        <v>6.6219321231364994E-2</v>
      </c>
      <c r="R48" s="142">
        <f>R43/GapCalc!$H$32</f>
        <v>7.0286016425943953E-2</v>
      </c>
      <c r="S48" s="142">
        <f>S43/GapCalc!$H$32</f>
        <v>7.4435002193726299E-2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35536069.024564825</v>
      </c>
      <c r="D66" s="1544"/>
      <c r="E66" s="1564" t="s">
        <v>285</v>
      </c>
      <c r="G66" s="1520" t="s">
        <v>1073</v>
      </c>
      <c r="H66" s="1565">
        <f>H70/1.63</f>
        <v>6271071.0043349676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8161791.5129828369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1440316.1493499123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10909272.312001897</v>
      </c>
      <c r="D68" s="1545" t="s">
        <v>68</v>
      </c>
      <c r="G68" s="1521" t="s">
        <v>1079</v>
      </c>
      <c r="H68" s="1568">
        <f>IF(GapCalc!D41*C43&lt; 0,0,GapCalc!D41*C43)</f>
        <v>1925165.7021179816</v>
      </c>
      <c r="I68" s="1545" t="s">
        <v>68</v>
      </c>
    </row>
    <row r="69" spans="2:10">
      <c r="B69" s="1521" t="s">
        <v>1059</v>
      </c>
      <c r="C69" s="1568">
        <f>'Debt Calc'!E60</f>
        <v>38852728.685055919</v>
      </c>
      <c r="D69" s="1546">
        <v>0.9</v>
      </c>
      <c r="G69" s="1521" t="s">
        <v>1075</v>
      </c>
      <c r="H69" s="1568">
        <f>'Debt Calc'!E59*C43</f>
        <v>6856363.8855981026</v>
      </c>
      <c r="I69" s="1546">
        <v>0.9</v>
      </c>
    </row>
    <row r="70" spans="2:10">
      <c r="B70" s="1523" t="s">
        <v>1042</v>
      </c>
      <c r="C70" s="1577">
        <f>C67+C68+C69</f>
        <v>57923792.510040656</v>
      </c>
      <c r="D70" s="1545" t="s">
        <v>68</v>
      </c>
      <c r="G70" s="1523" t="s">
        <v>1042</v>
      </c>
      <c r="H70" s="1577">
        <f>H67+H68+H69</f>
        <v>10221845.737065997</v>
      </c>
      <c r="I70" s="1545" t="s">
        <v>68</v>
      </c>
    </row>
    <row r="71" spans="2:10">
      <c r="B71" s="1523" t="s">
        <v>1043</v>
      </c>
      <c r="C71" s="1571">
        <f>C70/C66</f>
        <v>1.6299999999999997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0.62999999999999978</v>
      </c>
      <c r="D72" s="1548"/>
      <c r="G72" s="1521" t="s">
        <v>1044</v>
      </c>
      <c r="H72" s="1524">
        <f>(H70-H66)/H66</f>
        <v>0.63</v>
      </c>
      <c r="I72" s="1548"/>
    </row>
    <row r="73" spans="2:10">
      <c r="B73" s="1523" t="s">
        <v>1045</v>
      </c>
      <c r="C73" s="1566">
        <f>C72/7</f>
        <v>8.9999999999999969E-2</v>
      </c>
      <c r="D73" s="1548"/>
      <c r="G73" s="1523" t="s">
        <v>1045</v>
      </c>
      <c r="H73" s="1566">
        <f>H72/7</f>
        <v>0.09</v>
      </c>
      <c r="I73" s="1548"/>
    </row>
    <row r="74" spans="2:10" ht="13.5" thickBot="1">
      <c r="B74" s="1578" t="s">
        <v>1080</v>
      </c>
      <c r="C74" s="1581">
        <f>GapCalc!H33</f>
        <v>35078478.891574673</v>
      </c>
      <c r="D74" s="1549"/>
      <c r="F74" s="1559"/>
      <c r="G74" s="1578" t="s">
        <v>1082</v>
      </c>
      <c r="H74" s="1581">
        <f>GapCalc!H32</f>
        <v>6190319.8043955313</v>
      </c>
      <c r="I74" s="1549"/>
    </row>
    <row r="75" spans="2:10">
      <c r="B75" s="70" t="s">
        <v>1081</v>
      </c>
      <c r="C75" s="1579">
        <f>(C70-C74)/C74</f>
        <v>0.65126294925955541</v>
      </c>
      <c r="G75" s="70" t="s">
        <v>1081</v>
      </c>
      <c r="H75" s="1579">
        <f>(H70-H74)/H74</f>
        <v>0.65126294925955508</v>
      </c>
    </row>
    <row r="76" spans="2:10">
      <c r="B76" s="70" t="s">
        <v>1045</v>
      </c>
      <c r="C76" s="1579">
        <f>C75/7</f>
        <v>9.3037564179936486E-2</v>
      </c>
      <c r="G76" s="70" t="s">
        <v>1045</v>
      </c>
      <c r="H76" s="1579">
        <f>H75/7</f>
        <v>9.3037564179936444E-2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13563461.684793288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13504958.720626023</v>
      </c>
      <c r="D81" s="1545" t="s">
        <v>68</v>
      </c>
    </row>
    <row r="82" spans="2:10">
      <c r="B82" s="1521" t="s">
        <v>1059</v>
      </c>
      <c r="C82" s="1568">
        <f>C68</f>
        <v>10909272.312001897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24414231.032627918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46556243.901209615</v>
      </c>
      <c r="D93" s="1544"/>
      <c r="E93" s="1564" t="s">
        <v>288</v>
      </c>
      <c r="G93" s="1520" t="s">
        <v>1073</v>
      </c>
      <c r="H93" s="1565">
        <f>H97/1.63</f>
        <v>6849544.5381830214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13504958.720626023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2383228.0095222392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10909272.312001897</v>
      </c>
      <c r="D95" s="1545" t="s">
        <v>68</v>
      </c>
      <c r="G95" s="1521" t="s">
        <v>1079</v>
      </c>
      <c r="H95" s="1568">
        <f>IF(GapCalc!D41*C43&lt; 0,0,GapCalc!D41*C43)</f>
        <v>1925165.7021179816</v>
      </c>
      <c r="I95" s="1545" t="s">
        <v>68</v>
      </c>
    </row>
    <row r="96" spans="2:10">
      <c r="B96" s="1521" t="s">
        <v>1059</v>
      </c>
      <c r="C96" s="1568">
        <f>'Debt Calc'!H60</f>
        <v>51472446.526343763</v>
      </c>
      <c r="D96" s="1546">
        <v>0.9</v>
      </c>
      <c r="G96" s="1521" t="s">
        <v>1075</v>
      </c>
      <c r="H96" s="1568">
        <f>'Debt Calc'!E59*C43</f>
        <v>6856363.8855981026</v>
      </c>
      <c r="I96" s="1546">
        <v>0.9</v>
      </c>
    </row>
    <row r="97" spans="2:9">
      <c r="B97" s="1523" t="s">
        <v>1042</v>
      </c>
      <c r="C97" s="1577">
        <f>C94+C95+C96</f>
        <v>75886677.558971673</v>
      </c>
      <c r="D97" s="1545" t="s">
        <v>68</v>
      </c>
      <c r="G97" s="1523" t="s">
        <v>1042</v>
      </c>
      <c r="H97" s="1577">
        <f>H94+H95+H96</f>
        <v>11164757.597238325</v>
      </c>
      <c r="I97" s="1545" t="s">
        <v>68</v>
      </c>
    </row>
    <row r="98" spans="2:9">
      <c r="B98" s="1523" t="s">
        <v>1043</v>
      </c>
      <c r="C98" s="1571">
        <f>C97/C93</f>
        <v>1.6300000000000001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0.63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0.09</v>
      </c>
      <c r="I100" s="1548"/>
    </row>
    <row r="101" spans="2:9" ht="13.5" thickBot="1">
      <c r="B101" s="1578" t="s">
        <v>1080</v>
      </c>
      <c r="C101" s="1581">
        <f>GapCalc!H33</f>
        <v>35078478.891574673</v>
      </c>
      <c r="D101" s="1549"/>
      <c r="G101" s="1578" t="s">
        <v>1082</v>
      </c>
      <c r="H101" s="1581">
        <f>GapCalc!H32</f>
        <v>6190319.8043955313</v>
      </c>
      <c r="I101" s="1549"/>
    </row>
    <row r="102" spans="2:9">
      <c r="B102" s="70" t="s">
        <v>1081</v>
      </c>
      <c r="C102" s="1579">
        <f>(C97-C101)/C101</f>
        <v>1.1633400294674272</v>
      </c>
      <c r="G102" s="70" t="s">
        <v>1081</v>
      </c>
      <c r="H102" s="1579">
        <f>(H97-H101)/H101</f>
        <v>0.80358332849146463</v>
      </c>
    </row>
    <row r="103" spans="2:9">
      <c r="B103" s="70" t="s">
        <v>1045</v>
      </c>
      <c r="C103" s="1579">
        <f>C102/10</f>
        <v>0.11633400294674272</v>
      </c>
      <c r="G103" s="70" t="s">
        <v>1045</v>
      </c>
      <c r="H103" s="1579">
        <f>H102/10</f>
        <v>8.0358332849146466E-2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180510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36102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216612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216612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216612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126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126</v>
      </c>
      <c r="D49" s="876"/>
      <c r="E49" s="855" t="s">
        <v>577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126</v>
      </c>
      <c r="D55" s="855"/>
      <c r="E55" s="855"/>
      <c r="F55" s="937"/>
      <c r="G55" s="855"/>
      <c r="H55" s="872" t="s">
        <v>685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4818607.5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89476492.735207424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89476400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41290374.941000938</v>
      </c>
    </row>
    <row r="15" spans="2:36">
      <c r="B15" s="556"/>
      <c r="C15" s="560" t="s">
        <v>634</v>
      </c>
      <c r="H15" s="561">
        <f>12*PMT(Data!C24/12,Data!C29*12,-'Debt Calc'!H14)</f>
        <v>4818602.505899908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-23718455.40752295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-23718455.40752295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89476400</v>
      </c>
      <c r="E21" s="561">
        <f>$H$15</f>
        <v>4818602.505899908</v>
      </c>
      <c r="F21" s="561">
        <f>E21-G21</f>
        <v>0</v>
      </c>
      <c r="G21" s="561">
        <f>D21-H21</f>
        <v>4818602.5058999062</v>
      </c>
      <c r="H21" s="561">
        <f>D21-E21</f>
        <v>84657797.494100094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84657797.494100094</v>
      </c>
      <c r="E22" s="561">
        <f t="shared" ref="E22:E50" si="1">$H$15</f>
        <v>4818602.505899908</v>
      </c>
      <c r="F22" s="561">
        <f t="shared" ref="F22:F50" si="2">E22-G22</f>
        <v>0</v>
      </c>
      <c r="G22" s="561">
        <f t="shared" ref="G22:G50" si="3">D22-H22</f>
        <v>4818602.5058999062</v>
      </c>
      <c r="H22" s="561">
        <f t="shared" ref="H22:H39" si="4">D22-E22</f>
        <v>79839194.988200188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79839194.988200188</v>
      </c>
      <c r="E23" s="561">
        <f t="shared" si="1"/>
        <v>4818602.505899908</v>
      </c>
      <c r="F23" s="561">
        <f t="shared" si="2"/>
        <v>0</v>
      </c>
      <c r="G23" s="561">
        <f t="shared" si="3"/>
        <v>4818602.5058999062</v>
      </c>
      <c r="H23" s="561">
        <f t="shared" si="4"/>
        <v>75020592.482300282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75020592.482300282</v>
      </c>
      <c r="E24" s="561">
        <f t="shared" si="1"/>
        <v>4818602.505899908</v>
      </c>
      <c r="F24" s="561">
        <f t="shared" si="2"/>
        <v>0</v>
      </c>
      <c r="G24" s="561">
        <f t="shared" si="3"/>
        <v>4818602.5058999062</v>
      </c>
      <c r="H24" s="561">
        <f t="shared" si="4"/>
        <v>70201989.976400375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70201989.976400375</v>
      </c>
      <c r="E25" s="561">
        <f t="shared" si="1"/>
        <v>4818602.505899908</v>
      </c>
      <c r="F25" s="561">
        <f t="shared" si="2"/>
        <v>0</v>
      </c>
      <c r="G25" s="561">
        <f t="shared" si="3"/>
        <v>4818602.5058999062</v>
      </c>
      <c r="H25" s="561">
        <f t="shared" si="4"/>
        <v>65383387.470500469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65383387.470500469</v>
      </c>
      <c r="E26" s="561">
        <f t="shared" si="1"/>
        <v>4818602.505899908</v>
      </c>
      <c r="F26" s="561">
        <f t="shared" si="2"/>
        <v>0</v>
      </c>
      <c r="G26" s="561">
        <f t="shared" si="3"/>
        <v>4818602.5058999062</v>
      </c>
      <c r="H26" s="561">
        <f t="shared" si="4"/>
        <v>60564784.964600563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60564784.964600563</v>
      </c>
      <c r="E27" s="561">
        <f t="shared" si="1"/>
        <v>4818602.505899908</v>
      </c>
      <c r="F27" s="561">
        <f t="shared" si="2"/>
        <v>0</v>
      </c>
      <c r="G27" s="561">
        <f t="shared" si="3"/>
        <v>4818602.5058999062</v>
      </c>
      <c r="H27" s="561">
        <f t="shared" si="4"/>
        <v>55746182.458700657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55746182.458700657</v>
      </c>
      <c r="E28" s="561">
        <f t="shared" si="1"/>
        <v>4818602.505899908</v>
      </c>
      <c r="F28" s="561">
        <f t="shared" si="2"/>
        <v>0</v>
      </c>
      <c r="G28" s="561">
        <f t="shared" si="3"/>
        <v>4818602.5058999062</v>
      </c>
      <c r="H28" s="561">
        <f t="shared" si="4"/>
        <v>50927579.952800751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50927579.952800751</v>
      </c>
      <c r="E29" s="561">
        <f t="shared" si="1"/>
        <v>4818602.505899908</v>
      </c>
      <c r="F29" s="561">
        <f t="shared" si="2"/>
        <v>0</v>
      </c>
      <c r="G29" s="561">
        <f t="shared" si="3"/>
        <v>4818602.5058999062</v>
      </c>
      <c r="H29" s="561">
        <f t="shared" si="4"/>
        <v>46108977.446900845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46108977.446900845</v>
      </c>
      <c r="E30" s="561">
        <f t="shared" si="1"/>
        <v>4818602.505899908</v>
      </c>
      <c r="F30" s="561">
        <f t="shared" si="2"/>
        <v>0</v>
      </c>
      <c r="G30" s="561">
        <f t="shared" si="3"/>
        <v>4818602.5058999062</v>
      </c>
      <c r="H30" s="561">
        <f>D30-E30</f>
        <v>41290374.941000938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41290374.941000938</v>
      </c>
      <c r="E31" s="561">
        <f t="shared" si="1"/>
        <v>4818602.505899908</v>
      </c>
      <c r="F31" s="561">
        <f t="shared" si="2"/>
        <v>0</v>
      </c>
      <c r="G31" s="561">
        <f t="shared" si="3"/>
        <v>4818602.5058999062</v>
      </c>
      <c r="H31" s="561">
        <f t="shared" si="4"/>
        <v>36471772.435101032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36471772.435101032</v>
      </c>
      <c r="E32" s="561">
        <f t="shared" si="1"/>
        <v>4818602.505899908</v>
      </c>
      <c r="F32" s="561">
        <f t="shared" si="2"/>
        <v>0</v>
      </c>
      <c r="G32" s="561">
        <f t="shared" si="3"/>
        <v>4818602.5058999062</v>
      </c>
      <c r="H32" s="561">
        <f t="shared" si="4"/>
        <v>31653169.929201126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31653169.929201126</v>
      </c>
      <c r="E33" s="561">
        <f t="shared" si="1"/>
        <v>4818602.505899908</v>
      </c>
      <c r="F33" s="561">
        <f t="shared" si="2"/>
        <v>0</v>
      </c>
      <c r="G33" s="561">
        <f t="shared" si="3"/>
        <v>4818602.5058999062</v>
      </c>
      <c r="H33" s="561">
        <f t="shared" si="4"/>
        <v>26834567.42330122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26834567.42330122</v>
      </c>
      <c r="E34" s="561">
        <f t="shared" si="1"/>
        <v>4818602.505899908</v>
      </c>
      <c r="F34" s="561">
        <f t="shared" si="2"/>
        <v>0</v>
      </c>
      <c r="G34" s="561">
        <f t="shared" si="3"/>
        <v>4818602.5058999062</v>
      </c>
      <c r="H34" s="561">
        <f t="shared" si="4"/>
        <v>22015964.917401314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22015964.917401314</v>
      </c>
      <c r="E35" s="561">
        <f t="shared" si="1"/>
        <v>4818602.505899908</v>
      </c>
      <c r="F35" s="561">
        <f t="shared" si="2"/>
        <v>0</v>
      </c>
      <c r="G35" s="561">
        <f t="shared" si="3"/>
        <v>4818602.5058999062</v>
      </c>
      <c r="H35" s="561">
        <f t="shared" si="4"/>
        <v>17197362.411501408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17197362.411501408</v>
      </c>
      <c r="E36" s="561">
        <f t="shared" si="1"/>
        <v>4818602.505899908</v>
      </c>
      <c r="F36" s="561">
        <f t="shared" si="2"/>
        <v>0</v>
      </c>
      <c r="G36" s="561">
        <f t="shared" si="3"/>
        <v>4818602.505899908</v>
      </c>
      <c r="H36" s="561">
        <f t="shared" si="4"/>
        <v>12378759.9056015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12378759.9056015</v>
      </c>
      <c r="E37" s="561">
        <f t="shared" si="1"/>
        <v>4818602.505899908</v>
      </c>
      <c r="F37" s="561">
        <f t="shared" si="2"/>
        <v>0</v>
      </c>
      <c r="G37" s="561">
        <f t="shared" si="3"/>
        <v>4818602.505899908</v>
      </c>
      <c r="H37" s="561">
        <f t="shared" si="4"/>
        <v>7560157.3997015916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7560157.3997015916</v>
      </c>
      <c r="E38" s="561">
        <f t="shared" si="1"/>
        <v>4818602.505899908</v>
      </c>
      <c r="F38" s="561">
        <f t="shared" si="2"/>
        <v>0</v>
      </c>
      <c r="G38" s="561">
        <f t="shared" si="3"/>
        <v>4818602.505899908</v>
      </c>
      <c r="H38" s="561">
        <f>D38-E38</f>
        <v>2741554.8938016836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2741554.8938016836</v>
      </c>
      <c r="E39" s="561">
        <f t="shared" si="1"/>
        <v>4818602.505899908</v>
      </c>
      <c r="F39" s="561">
        <f t="shared" si="2"/>
        <v>0</v>
      </c>
      <c r="G39" s="561">
        <f t="shared" si="3"/>
        <v>4818602.505899908</v>
      </c>
      <c r="H39" s="561">
        <f t="shared" si="4"/>
        <v>-2077047.6120982245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-2077047.6120982245</v>
      </c>
      <c r="E40" s="561">
        <f t="shared" si="1"/>
        <v>4818602.505899908</v>
      </c>
      <c r="F40" s="561">
        <f t="shared" si="2"/>
        <v>6895650.1179981325</v>
      </c>
      <c r="G40" s="561">
        <f t="shared" si="3"/>
        <v>-2077047.6120982245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4818602.505899908</v>
      </c>
      <c r="F41" s="561">
        <f t="shared" si="2"/>
        <v>4818602.505899908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4818602.505899908</v>
      </c>
      <c r="F42" s="561">
        <f t="shared" si="2"/>
        <v>4818602.505899908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4818602.505899908</v>
      </c>
      <c r="F43" s="561">
        <f t="shared" si="2"/>
        <v>4818602.505899908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4818602.505899908</v>
      </c>
      <c r="F44" s="561">
        <f t="shared" si="2"/>
        <v>4818602.505899908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4818602.505899908</v>
      </c>
      <c r="F45" s="561">
        <f t="shared" si="2"/>
        <v>4818602.505899908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4818602.505899908</v>
      </c>
      <c r="F46" s="561">
        <f t="shared" si="2"/>
        <v>4818602.505899908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4818602.505899908</v>
      </c>
      <c r="F47" s="561">
        <f t="shared" si="2"/>
        <v>4818602.505899908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4818602.505899908</v>
      </c>
      <c r="F48" s="561">
        <f t="shared" si="2"/>
        <v>4818602.505899908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4818602.505899908</v>
      </c>
      <c r="F49" s="561">
        <f t="shared" si="2"/>
        <v>4818602.505899908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4818602.505899908</v>
      </c>
      <c r="F50" s="561">
        <f t="shared" si="2"/>
        <v>4818602.505899908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170937163.07992613</v>
      </c>
      <c r="F55" s="561"/>
      <c r="G55" s="1663" t="s">
        <v>1064</v>
      </c>
      <c r="H55" s="1667">
        <f>'Cash Flow'!N15/0.05</f>
        <v>184080628.38486853</v>
      </c>
    </row>
    <row r="56" spans="2:28">
      <c r="D56" s="1653" t="s">
        <v>1065</v>
      </c>
      <c r="E56" s="1665">
        <f>'Cash Flow'!K21/1.2</f>
        <v>5510520.0838028342</v>
      </c>
      <c r="F56" s="561"/>
      <c r="G56" s="1661" t="s">
        <v>1065</v>
      </c>
      <c r="H56" s="1668">
        <f>'Cash Flow'!N21/1.2</f>
        <v>5889775.5175988823</v>
      </c>
    </row>
    <row r="57" spans="2:28">
      <c r="D57" s="1653" t="s">
        <v>1066</v>
      </c>
      <c r="E57" s="1665">
        <f>E55*0.6</f>
        <v>102562297.84795567</v>
      </c>
      <c r="F57" s="561"/>
      <c r="G57" s="1661" t="s">
        <v>1066</v>
      </c>
      <c r="H57" s="1668">
        <f>H55*0.6</f>
        <v>110448377.03092112</v>
      </c>
    </row>
    <row r="58" spans="2:28">
      <c r="D58" s="1653" t="s">
        <v>1067</v>
      </c>
      <c r="E58" s="1665">
        <f>-PV(4%,34,E56)</f>
        <v>101455275.02935468</v>
      </c>
      <c r="F58" s="561"/>
      <c r="G58" s="1661" t="s">
        <v>1067</v>
      </c>
      <c r="H58" s="1668">
        <f>-PV(4%,30,H56)</f>
        <v>101846194.38375831</v>
      </c>
    </row>
    <row r="59" spans="2:28">
      <c r="D59" s="1652" t="s">
        <v>1068</v>
      </c>
      <c r="E59" s="1665">
        <f>E58-H27</f>
        <v>45709092.57065402</v>
      </c>
      <c r="F59" s="561"/>
      <c r="G59" s="1660" t="s">
        <v>1068</v>
      </c>
      <c r="H59" s="1668">
        <f>H58-H30</f>
        <v>60555819.442757368</v>
      </c>
    </row>
    <row r="60" spans="2:28" ht="13.5" thickBot="1">
      <c r="D60" s="1654" t="s">
        <v>1069</v>
      </c>
      <c r="E60" s="1666">
        <f>E59*GapCalc!I33</f>
        <v>38852728.685055919</v>
      </c>
      <c r="F60" s="561"/>
      <c r="G60" s="1662" t="s">
        <v>1069</v>
      </c>
      <c r="H60" s="1669">
        <f>H59*GapCalc!I33</f>
        <v>51472446.526343763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72143329.5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865285.65115640999</v>
      </c>
      <c r="D7" s="1409">
        <f>(1-'Rental Income'!O19)</f>
        <v>0.42460317460317465</v>
      </c>
    </row>
    <row r="8" spans="1:5">
      <c r="A8" s="1410" t="s">
        <v>980</v>
      </c>
      <c r="B8" s="1417">
        <f>B7*D7</f>
        <v>0</v>
      </c>
      <c r="C8" s="1417">
        <f>C7*D7</f>
        <v>367403.03441958682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367403.03441958682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7752240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-387891</v>
      </c>
      <c r="E18" s="50"/>
      <c r="F18" s="55">
        <v>0.05</v>
      </c>
    </row>
    <row r="19" spans="1:25">
      <c r="A19" s="40" t="s">
        <v>165</v>
      </c>
      <c r="D19" s="57">
        <f>SUM(D15:D18)</f>
        <v>7369929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131433</v>
      </c>
      <c r="E22" s="48">
        <v>1043</v>
      </c>
      <c r="F22" s="453" t="s">
        <v>172</v>
      </c>
      <c r="N22" s="428">
        <f>D22*0.8</f>
        <v>105146.40000000001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174</v>
      </c>
      <c r="D23" s="48">
        <f>(E23*$D$10-20)/2</f>
        <v>168074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23466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121351.36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183</v>
      </c>
      <c r="D26" s="51">
        <f>SUM(D22:D25)</f>
        <v>444324.36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46872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192</v>
      </c>
      <c r="D31" s="48">
        <f>E31*$D$10</f>
        <v>41328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194</v>
      </c>
      <c r="C32" s="43"/>
      <c r="D32" s="50">
        <f>E32*$D$10</f>
        <v>7560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120960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133560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202</v>
      </c>
      <c r="D37" s="48">
        <f>E37*$D$10</f>
        <v>199080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106092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438732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92988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66982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99792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34272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214200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13860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391164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367403.03441958682</v>
      </c>
      <c r="Y56" s="1309">
        <f>X56/'Rental Income'!D15</f>
        <v>1457.9485492840747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436.27870666666666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211680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158.73015873015873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439987.16775292013</v>
      </c>
    </row>
    <row r="65" spans="1:25">
      <c r="B65" t="s">
        <v>250</v>
      </c>
      <c r="D65" s="48">
        <f>E65*$D$10</f>
        <v>37800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301480</v>
      </c>
      <c r="E67" s="48">
        <f>SUM(E62:E66)</f>
        <v>1333.7301587301588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75600</v>
      </c>
      <c r="E69" s="426">
        <v>300</v>
      </c>
    </row>
    <row r="70" spans="1:25">
      <c r="V70" s="40" t="s">
        <v>256</v>
      </c>
      <c r="X70" s="1307">
        <f>SUM(X68,X64,X54,X39,X31)</f>
        <v>887230.14775292017</v>
      </c>
      <c r="Y70" s="1307">
        <f>X70/D10</f>
        <v>3520.75455457508</v>
      </c>
    </row>
    <row r="71" spans="1:25">
      <c r="A71" s="40" t="s">
        <v>257</v>
      </c>
      <c r="D71" s="48">
        <f>E71*$D$10</f>
        <v>126000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-2479.24544542492</v>
      </c>
    </row>
    <row r="75" spans="1:25">
      <c r="A75" s="44" t="s">
        <v>260</v>
      </c>
      <c r="B75" s="45"/>
      <c r="C75" s="45"/>
      <c r="D75" s="52">
        <f>D19-D73</f>
        <v>5201756.4059200007</v>
      </c>
      <c r="E75" s="52">
        <f>D75/D10</f>
        <v>20641.890499682544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216612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90329161.874999985</v>
      </c>
      <c r="C7" s="465">
        <f>'Dev Summary_5-20'!B8</f>
        <v>3190331</v>
      </c>
      <c r="D7" s="465">
        <f t="shared" ref="D7:D14" si="0">B7-C7</f>
        <v>87138830.874999985</v>
      </c>
      <c r="E7" s="477">
        <f t="shared" ref="E7:E15" si="1">D7/B7</f>
        <v>0.96468105168057605</v>
      </c>
      <c r="F7" s="477"/>
      <c r="G7" s="472" t="e">
        <f t="shared" ref="G7:G14" si="2">B7/$B$15</f>
        <v>#REF!</v>
      </c>
      <c r="I7" s="147">
        <f>B7/$H$4</f>
        <v>821174.19886363624</v>
      </c>
      <c r="J7" s="53">
        <f>B7/$H$5</f>
        <v>417.00903862666883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193831.49562882975</v>
      </c>
      <c r="C9" s="446">
        <f>'Dev Summary_5-20'!B10</f>
        <v>50000</v>
      </c>
      <c r="D9" s="446">
        <f t="shared" si="0"/>
        <v>143831.49562882975</v>
      </c>
      <c r="E9" s="477">
        <f t="shared" si="1"/>
        <v>0.74204398600036814</v>
      </c>
      <c r="F9" s="477"/>
      <c r="G9" s="473" t="e">
        <f t="shared" si="2"/>
        <v>#REF!</v>
      </c>
      <c r="I9" s="53">
        <f t="shared" si="3"/>
        <v>1762.1045057166341</v>
      </c>
      <c r="J9" s="53">
        <f t="shared" si="4"/>
        <v>0.89483267606979189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0.14772958100197589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657075</v>
      </c>
      <c r="C14" s="467">
        <f>'Dev Summary_5-20'!B14</f>
        <v>282276.62941911275</v>
      </c>
      <c r="D14" s="467">
        <f t="shared" si="0"/>
        <v>374798.37058088725</v>
      </c>
      <c r="E14" s="478">
        <f t="shared" si="1"/>
        <v>0.57040424697467906</v>
      </c>
      <c r="F14" s="478"/>
      <c r="G14" s="474" t="e">
        <f t="shared" si="2"/>
        <v>#REF!</v>
      </c>
      <c r="I14" s="53">
        <f t="shared" si="3"/>
        <v>5973.409090909091</v>
      </c>
      <c r="J14" s="53">
        <f t="shared" si="4"/>
        <v>3.0334192011522907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89476492.735207424</v>
      </c>
      <c r="C21" s="48">
        <v>18731659</v>
      </c>
      <c r="D21" s="48">
        <f>B21-C21</f>
        <v>70744833.735207424</v>
      </c>
      <c r="E21" s="55">
        <f>D21/B21</f>
        <v>0.79065273540131265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12834438.014119878</v>
      </c>
      <c r="C28" s="50"/>
      <c r="D28" s="50">
        <f t="shared" si="5"/>
        <v>12834438.014119878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99362078.062499985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89925.870256249997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80933.283230625006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719382.28993229161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99362078.062499985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22853.277954375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913094.72137354163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79489662.449999988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109066.98818749998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79489662.449999988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116154.48818749998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1082149.9424999999</v>
      </c>
      <c r="E10" s="748">
        <f>'PreDev Flow of Funds'!Y10+'PreDev Flow of Funds'!Y12</f>
        <v>1395966</v>
      </c>
      <c r="F10" s="748">
        <f>(D10-E10)/18</f>
        <v>-17434.225416666672</v>
      </c>
      <c r="G10" s="748">
        <f>$F$10</f>
        <v>-17434.225416666672</v>
      </c>
      <c r="H10" s="748">
        <f t="shared" ref="H10:W10" si="2">$F$10</f>
        <v>-17434.225416666672</v>
      </c>
      <c r="I10" s="748">
        <f t="shared" si="2"/>
        <v>-17434.225416666672</v>
      </c>
      <c r="J10" s="748">
        <f t="shared" si="2"/>
        <v>-17434.225416666672</v>
      </c>
      <c r="K10" s="748">
        <f t="shared" si="2"/>
        <v>-17434.225416666672</v>
      </c>
      <c r="L10" s="748">
        <f t="shared" si="2"/>
        <v>-17434.225416666672</v>
      </c>
      <c r="M10" s="748">
        <f t="shared" si="2"/>
        <v>-17434.225416666672</v>
      </c>
      <c r="N10" s="748">
        <f t="shared" si="2"/>
        <v>-17434.225416666672</v>
      </c>
      <c r="O10" s="748">
        <f t="shared" si="2"/>
        <v>-17434.225416666672</v>
      </c>
      <c r="P10" s="748">
        <f t="shared" si="2"/>
        <v>-17434.225416666672</v>
      </c>
      <c r="Q10" s="748">
        <f t="shared" si="2"/>
        <v>-17434.225416666672</v>
      </c>
      <c r="R10" s="748">
        <f t="shared" si="2"/>
        <v>-17434.225416666672</v>
      </c>
      <c r="S10" s="748">
        <f t="shared" si="2"/>
        <v>-17434.225416666672</v>
      </c>
      <c r="T10" s="748">
        <f t="shared" si="2"/>
        <v>-17434.225416666672</v>
      </c>
      <c r="U10" s="748">
        <f t="shared" si="2"/>
        <v>-17434.225416666672</v>
      </c>
      <c r="V10" s="748">
        <f t="shared" si="2"/>
        <v>-17434.225416666672</v>
      </c>
      <c r="W10" s="748">
        <f t="shared" si="2"/>
        <v>-17434.225416666672</v>
      </c>
      <c r="X10" s="748"/>
      <c r="Y10" s="748">
        <f>SUM(E10:W10)</f>
        <v>1082149.9425000013</v>
      </c>
    </row>
    <row r="11" spans="1:25" ht="15">
      <c r="A11" s="402"/>
      <c r="B11" s="403" t="s">
        <v>388</v>
      </c>
      <c r="C11" s="748"/>
      <c r="D11" s="748">
        <f>'Development Budget'!G41</f>
        <v>1082149.9424999999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90329161.874999985</v>
      </c>
      <c r="E13" s="748">
        <f>'PreDev Flow of Funds'!Y14</f>
        <v>69798.3</v>
      </c>
      <c r="F13" s="748">
        <f>(D13-E13)/18</f>
        <v>5014409.0874999994</v>
      </c>
      <c r="G13" s="748">
        <f>$F$13</f>
        <v>5014409.0874999994</v>
      </c>
      <c r="H13" s="748">
        <f t="shared" ref="H13:W13" si="5">$F$13</f>
        <v>5014409.0874999994</v>
      </c>
      <c r="I13" s="748">
        <f t="shared" si="5"/>
        <v>5014409.0874999994</v>
      </c>
      <c r="J13" s="748">
        <f t="shared" si="5"/>
        <v>5014409.0874999994</v>
      </c>
      <c r="K13" s="748">
        <f t="shared" si="5"/>
        <v>5014409.0874999994</v>
      </c>
      <c r="L13" s="748">
        <f t="shared" si="5"/>
        <v>5014409.0874999994</v>
      </c>
      <c r="M13" s="748">
        <f t="shared" si="5"/>
        <v>5014409.0874999994</v>
      </c>
      <c r="N13" s="748">
        <f t="shared" si="5"/>
        <v>5014409.0874999994</v>
      </c>
      <c r="O13" s="748">
        <f t="shared" si="5"/>
        <v>5014409.0874999994</v>
      </c>
      <c r="P13" s="748">
        <f t="shared" si="5"/>
        <v>5014409.0874999994</v>
      </c>
      <c r="Q13" s="748">
        <f t="shared" si="5"/>
        <v>5014409.0874999994</v>
      </c>
      <c r="R13" s="748">
        <f t="shared" si="5"/>
        <v>5014409.0874999994</v>
      </c>
      <c r="S13" s="748">
        <f t="shared" si="5"/>
        <v>5014409.0874999994</v>
      </c>
      <c r="T13" s="748">
        <f t="shared" si="5"/>
        <v>5014409.0874999994</v>
      </c>
      <c r="U13" s="748">
        <f t="shared" si="5"/>
        <v>5014409.0874999994</v>
      </c>
      <c r="V13" s="748">
        <f t="shared" si="5"/>
        <v>5014409.0874999994</v>
      </c>
      <c r="W13" s="748">
        <f t="shared" si="5"/>
        <v>5014409.0874999994</v>
      </c>
      <c r="X13" s="748"/>
      <c r="Y13" s="748">
        <f t="shared" si="3"/>
        <v>90329161.875000015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90329161.874999985</v>
      </c>
      <c r="E15" s="748">
        <f>'PreDev Flow of Funds'!Y16+'PreDev Flow of Funds'!Y17+'PreDev Flow of Funds'!Y19</f>
        <v>72500</v>
      </c>
      <c r="F15" s="748">
        <f>(D15-E15)/18</f>
        <v>5014258.993055555</v>
      </c>
      <c r="G15" s="748">
        <f>$F$15</f>
        <v>5014258.993055555</v>
      </c>
      <c r="H15" s="748">
        <f t="shared" ref="H15:W15" si="7">$F$15</f>
        <v>5014258.993055555</v>
      </c>
      <c r="I15" s="748">
        <f t="shared" si="7"/>
        <v>5014258.993055555</v>
      </c>
      <c r="J15" s="748">
        <f t="shared" si="7"/>
        <v>5014258.993055555</v>
      </c>
      <c r="K15" s="748">
        <f t="shared" si="7"/>
        <v>5014258.993055555</v>
      </c>
      <c r="L15" s="748">
        <f t="shared" si="7"/>
        <v>5014258.993055555</v>
      </c>
      <c r="M15" s="748">
        <f t="shared" si="7"/>
        <v>5014258.993055555</v>
      </c>
      <c r="N15" s="748">
        <f t="shared" si="7"/>
        <v>5014258.993055555</v>
      </c>
      <c r="O15" s="748">
        <f t="shared" si="7"/>
        <v>5014258.993055555</v>
      </c>
      <c r="P15" s="748">
        <f t="shared" si="7"/>
        <v>5014258.993055555</v>
      </c>
      <c r="Q15" s="748">
        <f t="shared" si="7"/>
        <v>5014258.993055555</v>
      </c>
      <c r="R15" s="748">
        <f t="shared" si="7"/>
        <v>5014258.993055555</v>
      </c>
      <c r="S15" s="748">
        <f t="shared" si="7"/>
        <v>5014258.993055555</v>
      </c>
      <c r="T15" s="748">
        <f t="shared" si="7"/>
        <v>5014258.993055555</v>
      </c>
      <c r="U15" s="748">
        <f t="shared" si="7"/>
        <v>5014258.993055555</v>
      </c>
      <c r="V15" s="748">
        <f t="shared" si="7"/>
        <v>5014258.993055555</v>
      </c>
      <c r="W15" s="748">
        <f t="shared" si="7"/>
        <v>5014258.993055555</v>
      </c>
      <c r="X15" s="748"/>
      <c r="Y15" s="748">
        <f t="shared" si="3"/>
        <v>90329161.87499997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72143329.5</v>
      </c>
      <c r="E33" s="748">
        <v>0</v>
      </c>
      <c r="F33" s="748">
        <f>D33</f>
        <v>72143329.5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72143329.5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225822.90468749998</v>
      </c>
      <c r="E43" s="748">
        <f>D43</f>
        <v>225822.90468749998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225822.90468749998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416822.90468749998</v>
      </c>
      <c r="E52" s="748">
        <f>D52</f>
        <v>416822.90468749998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416822.90468749998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657075</v>
      </c>
      <c r="E58" s="748">
        <f>'PreDev Flow of Funds'!Y46</f>
        <v>96238.814999999988</v>
      </c>
      <c r="F58" s="748">
        <f>(D58-E58)/18</f>
        <v>31157.565833333338</v>
      </c>
      <c r="G58" s="748">
        <f>$F$58</f>
        <v>31157.565833333338</v>
      </c>
      <c r="H58" s="748">
        <f t="shared" ref="H58:W58" si="18">$F$58</f>
        <v>31157.565833333338</v>
      </c>
      <c r="I58" s="748">
        <f t="shared" si="18"/>
        <v>31157.565833333338</v>
      </c>
      <c r="J58" s="748">
        <f t="shared" si="18"/>
        <v>31157.565833333338</v>
      </c>
      <c r="K58" s="748">
        <f t="shared" si="18"/>
        <v>31157.565833333338</v>
      </c>
      <c r="L58" s="748">
        <f t="shared" si="18"/>
        <v>31157.565833333338</v>
      </c>
      <c r="M58" s="748">
        <f t="shared" si="18"/>
        <v>31157.565833333338</v>
      </c>
      <c r="N58" s="748">
        <f t="shared" si="18"/>
        <v>31157.565833333338</v>
      </c>
      <c r="O58" s="748">
        <f t="shared" si="18"/>
        <v>31157.565833333338</v>
      </c>
      <c r="P58" s="748">
        <f t="shared" si="18"/>
        <v>31157.565833333338</v>
      </c>
      <c r="Q58" s="748">
        <f t="shared" si="18"/>
        <v>31157.565833333338</v>
      </c>
      <c r="R58" s="748">
        <f t="shared" si="18"/>
        <v>31157.565833333338</v>
      </c>
      <c r="S58" s="748">
        <f t="shared" si="18"/>
        <v>31157.565833333338</v>
      </c>
      <c r="T58" s="748">
        <f t="shared" si="18"/>
        <v>31157.565833333338</v>
      </c>
      <c r="U58" s="748">
        <f t="shared" si="18"/>
        <v>31157.565833333338</v>
      </c>
      <c r="V58" s="748">
        <f t="shared" si="18"/>
        <v>31157.565833333338</v>
      </c>
      <c r="W58" s="748">
        <f t="shared" si="18"/>
        <v>31157.565833333338</v>
      </c>
      <c r="X58" s="748"/>
      <c r="Y58" s="748">
        <f t="shared" si="3"/>
        <v>657075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193831.49562882975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15487798.884374997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76642054.721087545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-9467022.7056044694</v>
      </c>
      <c r="E87" s="749">
        <f>E80-E84-E85-E86-E88-E89-E90-E91</f>
        <v>646645.80937499553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15487798.884374997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-955897.94437499985</v>
      </c>
      <c r="K103" s="162">
        <f>J103+(C116*0.25)/2</f>
        <v>-1911795.8887499997</v>
      </c>
      <c r="L103" s="162">
        <f>K103+((C116-K103)/4)</f>
        <v>-3345642.8053124994</v>
      </c>
      <c r="M103" s="162">
        <f>L103+((C116-K103)/4)</f>
        <v>-4779489.7218749989</v>
      </c>
      <c r="N103" s="162">
        <f>M103+((C116-K103)/4)</f>
        <v>-6213336.6384374984</v>
      </c>
      <c r="O103" s="162">
        <f>N103+((C116-K103)/4)</f>
        <v>-7647183.5549999978</v>
      </c>
      <c r="P103" s="162">
        <f>O103</f>
        <v>-7647183.5549999978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9470554.5633333344</v>
      </c>
      <c r="K104" s="371">
        <f>((C117-1033493)/6)+J104</f>
        <v>18941109.126666669</v>
      </c>
      <c r="L104" s="371">
        <f>((C117-1033493)/6)+K104</f>
        <v>28411663.690000005</v>
      </c>
      <c r="M104" s="371">
        <f>((C117-1033493)/6)+L104</f>
        <v>37882218.253333338</v>
      </c>
      <c r="N104" s="371">
        <f>((C117-1033493)/6)+M104</f>
        <v>47352772.81666667</v>
      </c>
      <c r="O104" s="371">
        <f>((C117-1033493)/6)+N104</f>
        <v>56823327.380000003</v>
      </c>
      <c r="P104" s="371">
        <f>(286645+100000+646848)+O104</f>
        <v>57856820.380000003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8514656.6189583354</v>
      </c>
      <c r="K110" s="371">
        <f t="shared" ref="K110:P110" si="9">SUM(K103:K104)</f>
        <v>17029313.237916671</v>
      </c>
      <c r="L110" s="371">
        <f t="shared" si="9"/>
        <v>25066020.884687506</v>
      </c>
      <c r="M110" s="371">
        <f t="shared" si="9"/>
        <v>33102728.531458341</v>
      </c>
      <c r="N110" s="371">
        <f t="shared" si="9"/>
        <v>41139436.178229168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-7647183.5549999988</v>
      </c>
      <c r="D116" s="1773"/>
    </row>
    <row r="117" spans="2:19" ht="16.5" thickBot="1">
      <c r="B117" s="398" t="s">
        <v>602</v>
      </c>
      <c r="C117" s="1776">
        <f>C118-C114-C116-C115</f>
        <v>57856820.380000003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