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"/>
    </mc:Choice>
  </mc:AlternateContent>
  <xr:revisionPtr revIDLastSave="0" documentId="13_ncr:1_{DE04CC05-B7A1-4D40-B913-780C0D8C1C1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 iterateCount="32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23" l="1"/>
  <c r="E58" i="23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 l="1"/>
  <c r="AF42" i="5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<sst xmlns="http://schemas.openxmlformats.org/spreadsheetml/2006/main" count="1995" uniqueCount="1106">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</sst>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K26" sqref="K26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1092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212112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212112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1096</v>
      </c>
      <c r="B14" s="1691"/>
      <c r="C14" s="1691"/>
      <c r="D14" s="1715" t="s">
        <v>1104</v>
      </c>
      <c r="E14" s="700"/>
    </row>
    <row r="15" spans="1:5">
      <c r="A15" s="1582" t="s">
        <v>1093</v>
      </c>
      <c r="B15" s="1678"/>
      <c r="C15" s="1685"/>
      <c r="D15" s="1679" cm="1">
        <f t="array" aca="1" ref="D15" ca="1">IF(D14="Year 7 Takeout", INDIRECT("GapCalc!K46"), INDIRECT("GapCalc!K58"))</f>
        <v>-0.11653377316090928</v>
      </c>
      <c r="E15" s="700"/>
    </row>
    <row r="16" spans="1:5">
      <c r="A16" s="1681" t="s">
        <v>1094</v>
      </c>
      <c r="B16" s="702"/>
      <c r="D16" s="1680" cm="1">
        <f t="array" aca="1" ref="D16" ca="1">IF(D14="Year 7 Takeout", INDIRECT("GapCalc!K51"), INDIRECT("GapCalc!K63"))</f>
        <v>-0.11653377316090929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1095</v>
      </c>
      <c r="B18" s="47"/>
      <c r="C18" s="47"/>
      <c r="D18" s="1684" cm="1">
        <f t="array" aca="1" ref="D18" ca="1">IF(D14="Year 7 Takeout", INDIRECT("GapCalc!I55"), INDIRECT("GapCalc!I67"))</f>
        <v>-75020724.155683458</v>
      </c>
      <c r="E18" s="1754">
        <f ca="1">-D18/D28</f>
        <v>0.67131196195762954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694.44444444444446</v>
      </c>
    </row>
    <row r="22" spans="1:6">
      <c r="A22" s="64"/>
      <c r="B22" s="4" t="s">
        <v>16</v>
      </c>
      <c r="C22" s="4"/>
      <c r="D22" s="1531">
        <f>'Development Budget'!G44</f>
        <v>88641661.874999985</v>
      </c>
      <c r="E22" s="1531">
        <f t="shared" ref="E22:E28" si="0">D22/$D$10</f>
        <v>351752.62648809521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757075</v>
      </c>
      <c r="E24" s="1531">
        <f t="shared" si="0"/>
        <v>3004.2658730158732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5111197.252095636</v>
      </c>
      <c r="E25" s="1531">
        <f t="shared" si="0"/>
        <v>20282.528778157284</v>
      </c>
    </row>
    <row r="26" spans="1:6">
      <c r="A26" s="64"/>
      <c r="B26" s="4" t="s">
        <v>20</v>
      </c>
      <c r="C26" s="4"/>
      <c r="D26" s="1531">
        <f>'Development Budget'!G181</f>
        <v>1841198.0000000002</v>
      </c>
      <c r="E26" s="1531">
        <f t="shared" si="0"/>
        <v>7306.3412698412703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12502029.747159153</v>
      </c>
      <c r="E27" s="1532">
        <f t="shared" si="0"/>
        <v>49611.229155393463</v>
      </c>
    </row>
    <row r="28" spans="1:6" ht="16.5" thickTop="1">
      <c r="A28" s="4"/>
      <c r="B28" s="4"/>
      <c r="C28" s="150" t="s">
        <v>14</v>
      </c>
      <c r="D28" s="1533">
        <f>SUM(D21:D27)</f>
        <v>111752401.87425478</v>
      </c>
      <c r="E28" s="1531">
        <f t="shared" si="0"/>
        <v>443461.91219942371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73112886.045948625</v>
      </c>
      <c r="E32" s="1586">
        <f t="shared" si="1"/>
        <v>290130.50018233579</v>
      </c>
    </row>
    <row r="33" spans="1:5">
      <c r="A33" s="64"/>
      <c r="B33" s="4" t="s">
        <v>1052</v>
      </c>
      <c r="C33" s="4"/>
      <c r="D33" s="1587">
        <f>GapCalc!D29</f>
        <v>5795927.3742459239</v>
      </c>
      <c r="E33" s="1586">
        <f>D33/$D$10</f>
        <v>22999.71180256319</v>
      </c>
    </row>
    <row r="34" spans="1:5">
      <c r="A34" s="65"/>
      <c r="B34" s="4" t="s">
        <v>26</v>
      </c>
      <c r="C34" s="4"/>
      <c r="D34" s="1587">
        <f>GapCalc!D30</f>
        <v>32843588.454060234</v>
      </c>
      <c r="E34" s="1586">
        <f>D34/$D$10</f>
        <v>130331.70021452474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111752401.87425479</v>
      </c>
      <c r="E36" s="1586">
        <f>D36/$D$10</f>
        <v>443461.91219942376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27170053.841731261</v>
      </c>
      <c r="E40" s="1586">
        <f t="shared" ref="E40" si="2">D40/$D$10</f>
        <v>107817.67397512405</v>
      </c>
    </row>
    <row r="41" spans="1:5">
      <c r="A41" s="60"/>
      <c r="B41" s="4" t="s">
        <v>1052</v>
      </c>
      <c r="C41" s="4"/>
      <c r="D41" s="1591">
        <f>GapCalc!D29+GapCalc!D38</f>
        <v>12687352.204878528</v>
      </c>
      <c r="E41" s="1586">
        <f>D41/$D$10</f>
        <v>50346.635733644951</v>
      </c>
    </row>
    <row r="42" spans="1:5">
      <c r="A42" s="60"/>
      <c r="B42" s="1557" t="s">
        <v>26</v>
      </c>
      <c r="C42" s="4"/>
      <c r="D42" s="1592">
        <f>GapCalc!D30+GapCalc!D39</f>
        <v>71894995.827644989</v>
      </c>
      <c r="E42" s="1586">
        <f>D42/$D$10</f>
        <v>285297.60249065474</v>
      </c>
    </row>
    <row r="43" spans="1:5">
      <c r="A43" s="60"/>
      <c r="B43" s="1714" t="s">
        <v>1103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111752401.87425478</v>
      </c>
      <c r="E45" s="1588">
        <f>D45/$D$10</f>
        <v>443461.91219942371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7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212112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212112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694.44444444444446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88641661.874999985</v>
      </c>
      <c r="E18" s="1531">
        <f t="shared" ref="E18:E24" si="0">D18/$D$11</f>
        <v>351752.62648809521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757075</v>
      </c>
      <c r="E20" s="1531">
        <f t="shared" si="0"/>
        <v>3004.2658730158732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5111197.252095636</v>
      </c>
      <c r="E21" s="1531">
        <f t="shared" si="0"/>
        <v>20282.528778157284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1841198.0000000002</v>
      </c>
      <c r="E22" s="1531">
        <f t="shared" si="0"/>
        <v>7306.3412698412703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12502029.747159153</v>
      </c>
      <c r="E23" s="1532">
        <f t="shared" si="0"/>
        <v>49611.229155393463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111752401.87425478</v>
      </c>
      <c r="E24" s="1531">
        <f t="shared" si="0"/>
        <v>443461.91219942371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0.45682718353300544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73112886.045948625</v>
      </c>
      <c r="E28" s="1586">
        <f t="shared" si="1"/>
        <v>290130.50018233579</v>
      </c>
      <c r="F28" s="62"/>
      <c r="G28" s="1419" t="s">
        <v>609</v>
      </c>
      <c r="H28" s="1608">
        <f>H32/D11</f>
        <v>50346.635733644951</v>
      </c>
      <c r="I28" s="703"/>
    </row>
    <row r="29" spans="1:10" ht="15.75">
      <c r="A29" s="64"/>
      <c r="B29" s="4" t="s">
        <v>1052</v>
      </c>
      <c r="C29" s="4"/>
      <c r="D29" s="1587">
        <v>5795927.3742459239</v>
      </c>
      <c r="E29" s="1586">
        <f>D29/$D$11</f>
        <v>22999.71180256319</v>
      </c>
      <c r="F29" s="520"/>
      <c r="G29" s="1420" t="s">
        <v>972</v>
      </c>
      <c r="H29" s="1609">
        <f>H33/D11</f>
        <v>285297.60249065474</v>
      </c>
      <c r="I29" s="703"/>
    </row>
    <row r="30" spans="1:10" ht="16.5" thickBot="1">
      <c r="A30" s="65"/>
      <c r="B30" s="4" t="s">
        <v>26</v>
      </c>
      <c r="C30" s="4"/>
      <c r="D30" s="1587">
        <v>32843588.454060234</v>
      </c>
      <c r="E30" s="1586">
        <f>D30/$D$11</f>
        <v>130331.70021452474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12687352.204878528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111752401.87425479</v>
      </c>
      <c r="E33" s="1586">
        <f>D33/$D$11</f>
        <v>443461.91219942376</v>
      </c>
      <c r="F33" s="62"/>
      <c r="G33" s="1441" t="s">
        <v>972</v>
      </c>
      <c r="H33" s="1611">
        <f>D30+D39</f>
        <v>71894995.827644989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84582348.032523513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0.75687275274581256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27170053.841731261</v>
      </c>
      <c r="E37" s="1586">
        <f t="shared" ref="E37" si="2">D37/$D$11</f>
        <v>107817.67397512405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6891424.8306326037</v>
      </c>
      <c r="E38" s="1586">
        <f>D38/$D$11</f>
        <v>27346.923931081761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39051407.373584755</v>
      </c>
      <c r="E39" s="1586">
        <f>D39/$D$11</f>
        <v>154965.90227612999</v>
      </c>
      <c r="F39" s="62"/>
      <c r="G39" s="1435" t="s">
        <v>609</v>
      </c>
      <c r="H39" s="1616">
        <f>-D32*0.15</f>
        <v>0</v>
      </c>
      <c r="I39" s="1596">
        <f>D29+H39</f>
        <v>5795927.3742459239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32843588.454060234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73112886.045948625</v>
      </c>
      <c r="E42" s="1586">
        <f>D42/$D$11</f>
        <v>290130.50018233579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6891424.8306326037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39051407.373584755</v>
      </c>
      <c r="J44" s="690"/>
    </row>
    <row r="45" spans="1:12" ht="15.75">
      <c r="A45" s="60"/>
      <c r="D45" s="159"/>
      <c r="E45" s="159"/>
      <c r="G45" s="4"/>
      <c r="H45" s="1705" t="s">
        <v>1097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8127380.29531404</v>
      </c>
      <c r="J46" s="1582" t="s">
        <v>1084</v>
      </c>
      <c r="K46" s="1583">
        <f>'Cash Flow'!C76</f>
        <v>-0.11653377316090928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2045648.434622877</v>
      </c>
      <c r="J47" s="1584" t="s">
        <v>1100</v>
      </c>
      <c r="K47" s="1607">
        <f>'Cash Flow'!C70</f>
        <v>13247629.881361885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-63767615.532330945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1434243.5815260073</v>
      </c>
      <c r="J51" s="1585" t="s">
        <v>1084</v>
      </c>
      <c r="K51" s="1618">
        <f>'Cash Flow'!H76</f>
        <v>-0.11653377316090929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12687352.204878528</v>
      </c>
      <c r="J52" s="1584" t="s">
        <v>1099</v>
      </c>
      <c r="K52" s="1607">
        <f>'Cash Flow'!H70</f>
        <v>2337817.0378873916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-11253108.62335252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-75020724.155683458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1098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11044140.39999686</v>
      </c>
      <c r="J58" s="1582" t="s">
        <v>1084</v>
      </c>
      <c r="K58" s="1583">
        <f>'Cash Flow'!C103</f>
        <v>-7.4960776275512647E-2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1099</v>
      </c>
      <c r="K59" s="1607">
        <f>'Cash Flow'!C97</f>
        <v>18001948.85199488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-60850855.427648127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1584395.4042134099</v>
      </c>
      <c r="J63" s="1585" t="s">
        <v>1084</v>
      </c>
      <c r="K63" s="1618">
        <f>'Cash Flow'!H103</f>
        <v>-7.964457463492805E-2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12687352.204878528</v>
      </c>
      <c r="J64" s="1584" t="s">
        <v>1099</v>
      </c>
      <c r="K64" s="1607">
        <f>'Cash Flow'!H97</f>
        <v>2582564.508867858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-11102956.800665118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-71953812.228313237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F43" zoomScale="130" zoomScaleNormal="130" workbookViewId="0">
      <selection activeCell="S113" sqref="S11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50</v>
      </c>
      <c r="O7" s="521">
        <f t="shared" ref="O7:O18" si="0">N7/$N$18</f>
        <v>0.1984126984126984</v>
      </c>
      <c r="Q7" s="283">
        <f>O7+O8+O9</f>
        <v>0.99206349206349209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75</v>
      </c>
      <c r="O8" s="521">
        <f t="shared" si="0"/>
        <v>0.29761904761904762</v>
      </c>
      <c r="Q8" s="283">
        <f>SUM(O10:O15)</f>
        <v>0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77</v>
      </c>
      <c r="E9" s="278">
        <f>IF(D9="","",D9/D$15)</f>
        <v>0.30555555555555558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1088</v>
      </c>
      <c r="N9" s="298">
        <f>E46+E183</f>
        <v>125</v>
      </c>
      <c r="O9" s="332">
        <f t="shared" si="0"/>
        <v>0.49603174603174605</v>
      </c>
    </row>
    <row r="10" spans="2:19" ht="12.75" customHeight="1">
      <c r="B10" s="268"/>
      <c r="C10" s="209" t="s">
        <v>53</v>
      </c>
      <c r="D10" s="210">
        <f>SUM(E24,E33,E42,E51,E60,E78,E69,E87,E96,E116,E106)</f>
        <v>88</v>
      </c>
      <c r="E10" s="278">
        <f>IF(D10="","",D10/D$15)</f>
        <v>0.34920634920634919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87</v>
      </c>
      <c r="E11" s="278">
        <f>IF(D11="","",D11/D$15)</f>
        <v>0.34523809523809523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0</v>
      </c>
      <c r="O13" s="332">
        <f>N13/$N$18</f>
        <v>0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250</v>
      </c>
      <c r="O16" s="283">
        <f>SUM(O7:O15)</f>
        <v>0.99206349206349209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176760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292819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0.99206349206349209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16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6400</v>
      </c>
      <c r="K23" s="292">
        <f>E23*I23</f>
        <v>11648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18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12060</v>
      </c>
      <c r="K24" s="292">
        <f>E24*I24</f>
        <v>14040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16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16000</v>
      </c>
      <c r="K25" s="292">
        <f>E25*I25</f>
        <v>14976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50</v>
      </c>
      <c r="F28" s="241"/>
      <c r="G28" s="241"/>
      <c r="H28" s="243"/>
      <c r="I28" s="241"/>
      <c r="J28" s="293">
        <f>SUM(J23:J27)</f>
        <v>34460</v>
      </c>
      <c r="K28" s="294">
        <f>SUM(K23:K27)</f>
        <v>40664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0.4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22</v>
      </c>
      <c r="F32" s="223"/>
      <c r="G32" s="308">
        <f>H9*$C$29</f>
        <v>970.40000000000009</v>
      </c>
      <c r="H32" s="308">
        <f>$K$9</f>
        <v>0</v>
      </c>
      <c r="I32" s="228">
        <f>ROUND(G32-H32,0)</f>
        <v>970</v>
      </c>
      <c r="J32" s="284">
        <f>D32*E32</f>
        <v>8800</v>
      </c>
      <c r="K32" s="292">
        <f>E32*I32</f>
        <v>21340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27</v>
      </c>
      <c r="F33" s="223"/>
      <c r="G33" s="308">
        <f>H10*$C$29</f>
        <v>1040</v>
      </c>
      <c r="H33" s="308">
        <f>$K$10</f>
        <v>0</v>
      </c>
      <c r="I33" s="228">
        <f>ROUND(G33-H33,0)</f>
        <v>1040</v>
      </c>
      <c r="J33" s="284">
        <f>D33*E33</f>
        <v>18090</v>
      </c>
      <c r="K33" s="292">
        <f>E33*I33</f>
        <v>28080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26</v>
      </c>
      <c r="F34" s="223"/>
      <c r="G34" s="308">
        <f>H11*$C$29</f>
        <v>1248</v>
      </c>
      <c r="H34" s="228">
        <f>$K$11</f>
        <v>0</v>
      </c>
      <c r="I34" s="228">
        <f>ROUND(G34-H34,0)</f>
        <v>1248</v>
      </c>
      <c r="J34" s="284">
        <f>D34*E34</f>
        <v>26000</v>
      </c>
      <c r="K34" s="292">
        <f>E34*I34</f>
        <v>32448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1442.4</v>
      </c>
      <c r="H35" s="228">
        <v>0</v>
      </c>
      <c r="I35" s="228">
        <f>ROUND(G35-H35,0)</f>
        <v>1442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75</v>
      </c>
      <c r="F37" s="241"/>
      <c r="G37" s="241"/>
      <c r="H37" s="243"/>
      <c r="I37" s="241"/>
      <c r="J37" s="293">
        <f>SUM(J32:J36)</f>
        <v>52890</v>
      </c>
      <c r="K37" s="294">
        <f>SUM(K32:K36)</f>
        <v>81868</v>
      </c>
      <c r="U37" s="332"/>
    </row>
    <row r="38" spans="2:21" ht="12.75" customHeight="1">
      <c r="B38" s="289"/>
      <c r="C38" s="314">
        <v>0.5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39</v>
      </c>
      <c r="F41" s="223"/>
      <c r="G41" s="308">
        <f>H9*$C$38</f>
        <v>1213</v>
      </c>
      <c r="H41" s="308">
        <f>$K$9</f>
        <v>0</v>
      </c>
      <c r="I41" s="228">
        <f>ROUND(G41-H41,0)</f>
        <v>1213</v>
      </c>
      <c r="J41" s="284">
        <f>D41*E41</f>
        <v>15600</v>
      </c>
      <c r="K41" s="292">
        <f>E41*I41</f>
        <v>47307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43</v>
      </c>
      <c r="F42" s="223"/>
      <c r="G42" s="308">
        <f>H10*C38</f>
        <v>1300</v>
      </c>
      <c r="H42" s="308">
        <f>$K$10</f>
        <v>0</v>
      </c>
      <c r="I42" s="228">
        <f>ROUND(G42-H42,0)</f>
        <v>1300</v>
      </c>
      <c r="J42" s="284">
        <f>D42*E42</f>
        <v>28810</v>
      </c>
      <c r="K42" s="292">
        <f>E42*I42</f>
        <v>55900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43</v>
      </c>
      <c r="F43" s="223"/>
      <c r="G43" s="308">
        <f>H11*C38</f>
        <v>1560</v>
      </c>
      <c r="H43" s="228">
        <f>$K$11</f>
        <v>0</v>
      </c>
      <c r="I43" s="228">
        <f>ROUND(G43-H43,0)</f>
        <v>1560</v>
      </c>
      <c r="J43" s="284">
        <f>D43*E43</f>
        <v>43000</v>
      </c>
      <c r="K43" s="292">
        <f>E43*I43</f>
        <v>67080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1803</v>
      </c>
      <c r="H44" s="228">
        <v>0</v>
      </c>
      <c r="I44" s="228">
        <f>ROUND(G44-H44,0)</f>
        <v>1803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125</v>
      </c>
      <c r="F46" s="203"/>
      <c r="G46" s="203"/>
      <c r="H46" s="246"/>
      <c r="I46" s="247"/>
      <c r="J46" s="296">
        <f>SUM(J41:J45)</f>
        <v>87410</v>
      </c>
      <c r="K46" s="297">
        <f>SUM(K41:K45)</f>
        <v>170287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0</v>
      </c>
      <c r="K50" s="292">
        <f>E50*I50</f>
        <v>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0</v>
      </c>
      <c r="K51" s="292">
        <f>E51*I51</f>
        <v>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0</v>
      </c>
      <c r="K52" s="292">
        <f>E52*I52</f>
        <v>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0</v>
      </c>
      <c r="F55" s="247"/>
      <c r="G55" s="247"/>
      <c r="H55" s="246"/>
      <c r="I55" s="247"/>
      <c r="J55" s="296">
        <f>SUM(J50:J54)</f>
        <v>0</v>
      </c>
      <c r="K55" s="297">
        <f>SUM(K50:K54)</f>
        <v>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20" zoomScaleNormal="100" workbookViewId="0">
      <selection activeCell="J161" sqref="J16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16380000</v>
      </c>
      <c r="N18" s="1674"/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694.44444444444446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70793329.5</v>
      </c>
      <c r="H32" s="1039"/>
      <c r="I32" s="950">
        <f t="shared" si="0"/>
        <v>280925.91071428574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77872662.450000003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63633600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7079332.9500000002</v>
      </c>
      <c r="G36" s="854">
        <f>F36</f>
        <v>7079332.9500000002</v>
      </c>
      <c r="H36" s="950"/>
      <c r="I36" s="950">
        <f t="shared" si="0"/>
        <v>28092.591071428571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4955533.0650000004</v>
      </c>
      <c r="H37" s="1072"/>
      <c r="I37" s="950">
        <f t="shared" si="0"/>
        <v>19664.813750000001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4955533.0650000004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3539666.4750000001</v>
      </c>
      <c r="H38" s="1072"/>
      <c r="I38" s="950">
        <f t="shared" si="0"/>
        <v>14046.295535714286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3539666.4750000001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1061899.9424999999</v>
      </c>
      <c r="H40" s="1072"/>
      <c r="I40" s="950">
        <f t="shared" si="0"/>
        <v>4213.8886607142849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1061899.9424999999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1061899.9424999999</v>
      </c>
      <c r="H41" s="1072"/>
      <c r="I41" s="950">
        <f t="shared" si="0"/>
        <v>4213.8886607142849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1061899.9424999999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88641661.874999985</v>
      </c>
      <c r="H44" s="1324"/>
      <c r="I44" s="1325">
        <f t="shared" si="0"/>
        <v>351752.62648809521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88641661.874999985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88641661.874999985</v>
      </c>
      <c r="H46" s="1333"/>
      <c r="I46" s="1325">
        <f t="shared" si="0"/>
        <v>351752.62648809521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88641661.874999985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8864166.1874999981</v>
      </c>
      <c r="H47" s="1039"/>
      <c r="I47" s="950">
        <f t="shared" si="0"/>
        <v>35175.262648809519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8864166.1874999981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1091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2311635.8453124999</v>
      </c>
      <c r="H59" s="1128"/>
      <c r="I59" s="950">
        <f t="shared" si="0"/>
        <v>9173.1581163194442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221604.15468749998</v>
      </c>
      <c r="H67" s="1039"/>
      <c r="I67" s="950">
        <f t="shared" si="0"/>
        <v>879.38156622023803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221604.15468749998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412604.15468749998</v>
      </c>
      <c r="H80" s="1101"/>
      <c r="I80" s="950">
        <f t="shared" si="0"/>
        <v>1637.318074156746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412604.15468749998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657075</v>
      </c>
      <c r="H90" s="1111"/>
      <c r="I90" s="950">
        <f t="shared" si="3"/>
        <v>2607.4404761904761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657075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/>
      <c r="G91" s="1110">
        <v>100000</v>
      </c>
      <c r="H91" s="1111"/>
      <c r="I91" s="950">
        <f t="shared" si="3"/>
        <v>396.82539682539681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/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/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/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2970324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757075</v>
      </c>
      <c r="H97" s="1101"/>
      <c r="I97" s="950">
        <f t="shared" si="3"/>
        <v>3004.2658730158732</v>
      </c>
      <c r="J97" s="1102"/>
      <c r="K97" s="1166">
        <f>I97/I250</f>
        <v>6.7745747500968304E-3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757075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183833.02157460368</v>
      </c>
      <c r="H102" s="1111"/>
      <c r="I102" s="950">
        <f t="shared" si="3"/>
        <v>729.4961173595384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183833.02157460368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168833.02157460368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3375902.7707737708</v>
      </c>
      <c r="N103" s="1172">
        <v>3376660.4314920735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183833.02157460368</v>
      </c>
      <c r="H114" s="1101"/>
      <c r="I114" s="950">
        <f t="shared" si="3"/>
        <v>729.4961173595384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183833.02157460368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2924515.441837945</v>
      </c>
      <c r="H116" s="1177"/>
      <c r="I116" s="950">
        <f t="shared" si="3"/>
        <v>11605.220007293432</v>
      </c>
      <c r="J116" s="1178"/>
      <c r="K116" s="1179" t="s">
        <v>823</v>
      </c>
      <c r="L116" s="1073"/>
      <c r="M116" s="1180">
        <f>0.5*Data!C20*Data!C17/12*Data!C19</f>
        <v>2924515.441837945</v>
      </c>
      <c r="N116" s="1181">
        <v>2924515.441837945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2924515.441837945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731128.86045948626</v>
      </c>
      <c r="H117" s="1094"/>
      <c r="I117" s="950">
        <f t="shared" si="3"/>
        <v>2901.305001823358</v>
      </c>
      <c r="J117" s="1015"/>
      <c r="K117" s="1184" t="s">
        <v>825</v>
      </c>
      <c r="L117" s="1185"/>
      <c r="M117" s="1186">
        <f>0.01*Data!C20</f>
        <v>731128.86045948626</v>
      </c>
      <c r="N117" s="1172">
        <v>731128.86045948626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731128.86045948626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1210483.6207292813</v>
      </c>
      <c r="H121" s="1117"/>
      <c r="I121" s="950">
        <f t="shared" si="3"/>
        <v>4803.5064314654019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1210483.6207292813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1210483.6207292813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119669.32906892293</v>
      </c>
      <c r="H125" s="1111"/>
      <c r="I125" s="950">
        <f t="shared" si="3"/>
        <v>474.87828995604337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119669.32906892293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109669.32906892293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109669.32906892293</v>
      </c>
      <c r="N126" s="1172">
        <v>109669.32906892293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5001197.252095636</v>
      </c>
      <c r="H148" s="1128"/>
      <c r="I148" s="950">
        <f t="shared" si="6"/>
        <v>19846.020841649348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5001197.252095636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270416.48656078486</v>
      </c>
      <c r="H151" s="1093"/>
      <c r="I151" s="950">
        <f t="shared" ref="I151:I158" si="7">G151/$F$9</f>
        <v>1073.0812958761303</v>
      </c>
      <c r="J151" s="1094"/>
      <c r="K151" s="1244" t="s">
        <v>863</v>
      </c>
      <c r="L151" s="1245"/>
      <c r="M151" s="1558">
        <f>Data!C31*Data!C30</f>
        <v>271700.53841731261</v>
      </c>
      <c r="N151" s="1345">
        <v>270416.48656078486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1090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5849030.88367589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1841198.0000000002</v>
      </c>
      <c r="H178" s="1093"/>
      <c r="I178" s="950">
        <f t="shared" si="6"/>
        <v>7306.3412698412703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1841198.0000000002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1841198.0000000002</v>
      </c>
      <c r="H181" s="1128"/>
      <c r="I181" s="950">
        <f t="shared" si="6"/>
        <v>7306.3412698412703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1841198.0000000002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438482.87141788699</v>
      </c>
      <c r="H233" s="1111"/>
      <c r="I233" s="950">
        <f t="shared" si="8"/>
        <v>1740.0113945154246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438482.87141788699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877232.87141788704</v>
      </c>
      <c r="H234" s="1282"/>
      <c r="I234" s="950">
        <f t="shared" si="8"/>
        <v>3481.0828230868533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877232.87141788704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111752401.87425478</v>
      </c>
      <c r="H250" s="1298"/>
      <c r="I250" s="1299">
        <f>G250/F9</f>
        <v>443461.91219942371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526.85563228037438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D31" sqref="D31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212112</v>
      </c>
      <c r="D5" t="s">
        <v>428</v>
      </c>
      <c r="G5" s="510"/>
    </row>
    <row r="6" spans="1:15">
      <c r="B6" s="1350" t="s">
        <v>12</v>
      </c>
      <c r="C6" s="700">
        <f>'Construction Calculation'!C14</f>
        <v>212112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35352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126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73112886.045948625</v>
      </c>
      <c r="D20" s="1375">
        <f>MIN(D22,GapCalc!D24)</f>
        <v>72639061.218265608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72639061.218265608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-1463198.0000000189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1463198.0000000002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40121251.199999996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27170053.841731261</v>
      </c>
      <c r="D30" s="1376">
        <f>-PV($C$24/12,$C$29*12,C27/12)</f>
        <v>27170053.841731261</v>
      </c>
      <c r="E30" s="1384"/>
      <c r="F30" t="s">
        <v>438</v>
      </c>
      <c r="G30" s="1381"/>
      <c r="H30" s="1376">
        <f>PV(G23,G29,-'Cash Flow'!E41*H28,)</f>
        <v>2358876.6378371739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0.04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1463198.0000000002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89401921.499403834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25540272.342508163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3513828</v>
      </c>
      <c r="F12" s="89">
        <f>E12*(1+$D$12)</f>
        <v>3601673.6999999997</v>
      </c>
      <c r="G12" s="89">
        <f t="shared" ref="G12:AH12" si="0">F12*(1+$D$12)</f>
        <v>3691715.5424999995</v>
      </c>
      <c r="H12" s="89">
        <f t="shared" si="0"/>
        <v>3784008.4310624991</v>
      </c>
      <c r="I12" s="89">
        <f t="shared" si="0"/>
        <v>3878608.6418390614</v>
      </c>
      <c r="J12" s="89">
        <f t="shared" si="0"/>
        <v>3975573.8578850375</v>
      </c>
      <c r="K12" s="89">
        <f t="shared" si="0"/>
        <v>4074963.2043321631</v>
      </c>
      <c r="L12" s="89">
        <f t="shared" si="0"/>
        <v>4176837.2844404667</v>
      </c>
      <c r="M12" s="89">
        <f t="shared" si="0"/>
        <v>4281258.216551478</v>
      </c>
      <c r="N12" s="89">
        <f t="shared" si="0"/>
        <v>4388289.6719652647</v>
      </c>
      <c r="O12" s="89">
        <f t="shared" si="0"/>
        <v>4497996.9137643958</v>
      </c>
      <c r="P12" s="89">
        <f t="shared" si="0"/>
        <v>4610446.8366085049</v>
      </c>
      <c r="Q12" s="89">
        <f t="shared" si="0"/>
        <v>4725708.0075237174</v>
      </c>
      <c r="R12" s="89">
        <f t="shared" si="0"/>
        <v>4843850.7077118102</v>
      </c>
      <c r="S12" s="90">
        <f t="shared" si="0"/>
        <v>4964946.9754046053</v>
      </c>
      <c r="T12" s="89">
        <f t="shared" si="0"/>
        <v>5089070.6497897198</v>
      </c>
      <c r="U12" s="89">
        <f t="shared" si="0"/>
        <v>5216297.4160344619</v>
      </c>
      <c r="V12" s="89">
        <f t="shared" si="0"/>
        <v>5346704.8514353232</v>
      </c>
      <c r="W12" s="89">
        <f t="shared" si="0"/>
        <v>5480372.472721206</v>
      </c>
      <c r="X12" s="89">
        <f t="shared" si="0"/>
        <v>5617381.7845392358</v>
      </c>
      <c r="Y12" s="89">
        <f t="shared" si="0"/>
        <v>5757816.3291527163</v>
      </c>
      <c r="Z12" s="89">
        <f t="shared" si="0"/>
        <v>5901761.7373815337</v>
      </c>
      <c r="AA12" s="89">
        <f t="shared" si="0"/>
        <v>6049305.7808160717</v>
      </c>
      <c r="AB12" s="89">
        <f t="shared" si="0"/>
        <v>6200538.4253364727</v>
      </c>
      <c r="AC12" s="89">
        <f t="shared" si="0"/>
        <v>6355551.8859698838</v>
      </c>
      <c r="AD12" s="89">
        <f t="shared" si="0"/>
        <v>6514440.6831191303</v>
      </c>
      <c r="AE12" s="89">
        <f t="shared" si="0"/>
        <v>6677301.7001971081</v>
      </c>
      <c r="AF12" s="89">
        <f t="shared" si="0"/>
        <v>6844234.2427020352</v>
      </c>
      <c r="AG12" s="89">
        <f t="shared" si="0"/>
        <v>7015340.0987695856</v>
      </c>
      <c r="AH12" s="89">
        <f t="shared" si="0"/>
        <v>7190723.6012388244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-175970.40000000002</v>
      </c>
      <c r="F14" s="100">
        <f t="shared" ref="F14:AH14" si="2">-((F12+F13)*$C$14)</f>
        <v>-180369.66</v>
      </c>
      <c r="G14" s="100">
        <f t="shared" si="2"/>
        <v>-184878.90149999998</v>
      </c>
      <c r="H14" s="100">
        <f t="shared" si="2"/>
        <v>-189500.87403749998</v>
      </c>
      <c r="I14" s="100">
        <f t="shared" si="2"/>
        <v>-194238.39588843746</v>
      </c>
      <c r="J14" s="100">
        <f t="shared" si="2"/>
        <v>-199094.35578564837</v>
      </c>
      <c r="K14" s="100">
        <f t="shared" si="2"/>
        <v>-204071.71468028956</v>
      </c>
      <c r="L14" s="100">
        <f t="shared" si="2"/>
        <v>-209173.50754729679</v>
      </c>
      <c r="M14" s="100">
        <f t="shared" si="2"/>
        <v>-214402.84523597918</v>
      </c>
      <c r="N14" s="100">
        <f t="shared" si="2"/>
        <v>-219762.91636687864</v>
      </c>
      <c r="O14" s="100">
        <f t="shared" si="2"/>
        <v>-225256.98927605059</v>
      </c>
      <c r="P14" s="100">
        <f t="shared" si="2"/>
        <v>-230888.4140079518</v>
      </c>
      <c r="Q14" s="100">
        <f t="shared" si="2"/>
        <v>-236660.62435815061</v>
      </c>
      <c r="R14" s="100">
        <f t="shared" si="2"/>
        <v>-242577.13996710433</v>
      </c>
      <c r="S14" s="101">
        <f t="shared" si="2"/>
        <v>-248641.56846628195</v>
      </c>
      <c r="T14" s="100">
        <f t="shared" si="2"/>
        <v>-254857.607677939</v>
      </c>
      <c r="U14" s="100">
        <f t="shared" si="2"/>
        <v>-261229.04786988741</v>
      </c>
      <c r="V14" s="100">
        <f t="shared" si="2"/>
        <v>-267759.77406663459</v>
      </c>
      <c r="W14" s="100">
        <f t="shared" si="2"/>
        <v>-274453.76841830043</v>
      </c>
      <c r="X14" s="100">
        <f t="shared" si="2"/>
        <v>-281315.1126287579</v>
      </c>
      <c r="Y14" s="100">
        <f t="shared" si="2"/>
        <v>-288347.99044447689</v>
      </c>
      <c r="Z14" s="100">
        <f t="shared" si="2"/>
        <v>-295556.69020558876</v>
      </c>
      <c r="AA14" s="100">
        <f t="shared" si="2"/>
        <v>-302945.60746072844</v>
      </c>
      <c r="AB14" s="100">
        <f t="shared" si="2"/>
        <v>-310519.24764724664</v>
      </c>
      <c r="AC14" s="100">
        <f t="shared" si="2"/>
        <v>-318282.22883842775</v>
      </c>
      <c r="AD14" s="100">
        <f t="shared" si="2"/>
        <v>-326239.28455938841</v>
      </c>
      <c r="AE14" s="100">
        <f t="shared" si="2"/>
        <v>-334395.26667337306</v>
      </c>
      <c r="AF14" s="100">
        <f t="shared" si="2"/>
        <v>-342755.14834020741</v>
      </c>
      <c r="AG14" s="100">
        <f t="shared" si="2"/>
        <v>-351324.0270487126</v>
      </c>
      <c r="AH14" s="100">
        <f t="shared" si="2"/>
        <v>-360107.12772493035</v>
      </c>
    </row>
    <row r="15" spans="1:34">
      <c r="A15" s="76"/>
      <c r="B15" s="102" t="s">
        <v>312</v>
      </c>
      <c r="C15" s="76"/>
      <c r="D15" s="76"/>
      <c r="E15" s="95">
        <f>SUM(E12:E14)</f>
        <v>3343437.6</v>
      </c>
      <c r="F15" s="95">
        <f t="shared" ref="F15:AH15" si="3">SUM(F12:F14)</f>
        <v>3427023.5399999996</v>
      </c>
      <c r="G15" s="103">
        <f t="shared" si="3"/>
        <v>3512699.1284999992</v>
      </c>
      <c r="H15" s="104">
        <f t="shared" si="3"/>
        <v>3600516.6067124992</v>
      </c>
      <c r="I15" s="104">
        <f t="shared" si="3"/>
        <v>3690529.5218803114</v>
      </c>
      <c r="J15" s="95">
        <f t="shared" si="3"/>
        <v>3782792.7599273189</v>
      </c>
      <c r="K15" s="103">
        <f t="shared" si="3"/>
        <v>3877362.5789255016</v>
      </c>
      <c r="L15" s="95">
        <f t="shared" si="3"/>
        <v>3974296.6433986388</v>
      </c>
      <c r="M15" s="95">
        <f t="shared" si="3"/>
        <v>4073654.0594836045</v>
      </c>
      <c r="N15" s="95">
        <f t="shared" si="3"/>
        <v>4175495.4109706939</v>
      </c>
      <c r="O15" s="95">
        <f t="shared" si="3"/>
        <v>4279882.7962449612</v>
      </c>
      <c r="P15" s="95">
        <f t="shared" si="3"/>
        <v>4386879.8661510842</v>
      </c>
      <c r="Q15" s="95">
        <f t="shared" si="3"/>
        <v>4496551.8628048617</v>
      </c>
      <c r="R15" s="95">
        <f t="shared" si="3"/>
        <v>4608965.6593749821</v>
      </c>
      <c r="S15" s="96">
        <f t="shared" si="3"/>
        <v>4724189.8008593572</v>
      </c>
      <c r="T15" s="95">
        <f t="shared" si="3"/>
        <v>4842294.5458808402</v>
      </c>
      <c r="U15" s="95">
        <f t="shared" si="3"/>
        <v>4963351.9095278606</v>
      </c>
      <c r="V15" s="95">
        <f t="shared" si="3"/>
        <v>5087435.7072660569</v>
      </c>
      <c r="W15" s="95">
        <f t="shared" si="3"/>
        <v>5214621.5999477077</v>
      </c>
      <c r="X15" s="95">
        <f t="shared" si="3"/>
        <v>5344987.1399464002</v>
      </c>
      <c r="Y15" s="95">
        <f t="shared" si="3"/>
        <v>5478611.8184450604</v>
      </c>
      <c r="Z15" s="95">
        <f t="shared" si="3"/>
        <v>5615577.1139061861</v>
      </c>
      <c r="AA15" s="95">
        <f t="shared" si="3"/>
        <v>5755966.5417538397</v>
      </c>
      <c r="AB15" s="95">
        <f t="shared" si="3"/>
        <v>5899865.7052976862</v>
      </c>
      <c r="AC15" s="95">
        <f t="shared" si="3"/>
        <v>6047362.3479301268</v>
      </c>
      <c r="AD15" s="95">
        <f t="shared" si="3"/>
        <v>6198546.4066283796</v>
      </c>
      <c r="AE15" s="95">
        <f t="shared" si="3"/>
        <v>6353510.0667940881</v>
      </c>
      <c r="AF15" s="95">
        <f t="shared" si="3"/>
        <v>6512347.8184639402</v>
      </c>
      <c r="AG15" s="95">
        <f t="shared" si="3"/>
        <v>6675156.5139255384</v>
      </c>
      <c r="AH15" s="95">
        <f t="shared" si="3"/>
        <v>6842035.4267736757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315</v>
      </c>
      <c r="C19" s="1713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1755837.6</v>
      </c>
      <c r="F21" s="95">
        <f t="shared" si="8"/>
        <v>1786503.5399999998</v>
      </c>
      <c r="G21" s="95">
        <f t="shared" si="8"/>
        <v>1817406.9284999995</v>
      </c>
      <c r="H21" s="95">
        <f t="shared" si="8"/>
        <v>1848535.1797124995</v>
      </c>
      <c r="I21" s="95">
        <f t="shared" si="8"/>
        <v>1879874.7449353118</v>
      </c>
      <c r="J21" s="95">
        <f t="shared" si="8"/>
        <v>1911411.0657892444</v>
      </c>
      <c r="K21" s="95">
        <f t="shared" si="8"/>
        <v>1943128.5254925946</v>
      </c>
      <c r="L21" s="95">
        <f t="shared" si="8"/>
        <v>1975010.3980955803</v>
      </c>
      <c r="M21" s="95">
        <f t="shared" si="8"/>
        <v>2007038.795594939</v>
      </c>
      <c r="N21" s="95">
        <f t="shared" si="8"/>
        <v>2039194.6128459256</v>
      </c>
      <c r="O21" s="95">
        <f t="shared" si="8"/>
        <v>2071457.4701858261</v>
      </c>
      <c r="P21" s="95">
        <f t="shared" si="8"/>
        <v>2103805.6536798794</v>
      </c>
      <c r="Q21" s="95">
        <f t="shared" si="8"/>
        <v>2136216.0528971651</v>
      </c>
      <c r="R21" s="95">
        <f t="shared" si="8"/>
        <v>2168664.0961205163</v>
      </c>
      <c r="S21" s="96">
        <f t="shared" si="8"/>
        <v>2201123.6828909852</v>
      </c>
      <c r="T21" s="95">
        <f t="shared" si="8"/>
        <v>2233567.1137835751</v>
      </c>
      <c r="U21" s="95">
        <f t="shared" si="8"/>
        <v>2265965.0173071916</v>
      </c>
      <c r="V21" s="95">
        <f t="shared" si="8"/>
        <v>2298286.2738176649</v>
      </c>
      <c r="W21" s="95">
        <f t="shared" si="8"/>
        <v>2330497.936328622</v>
      </c>
      <c r="X21" s="95">
        <f t="shared" si="8"/>
        <v>2362565.1481006467</v>
      </c>
      <c r="Y21" s="95">
        <f t="shared" si="8"/>
        <v>2394451.0568847056</v>
      </c>
      <c r="Z21" s="95">
        <f t="shared" si="8"/>
        <v>2426116.7256912189</v>
      </c>
      <c r="AA21" s="95">
        <f t="shared" si="8"/>
        <v>2457521.0399513487</v>
      </c>
      <c r="AB21" s="95">
        <f t="shared" si="8"/>
        <v>2488620.610932108</v>
      </c>
      <c r="AC21" s="95">
        <f t="shared" si="8"/>
        <v>2519369.6752617536</v>
      </c>
      <c r="AD21" s="95">
        <f t="shared" si="8"/>
        <v>2549719.9904166134</v>
      </c>
      <c r="AE21" s="95">
        <f t="shared" si="8"/>
        <v>2579620.7260149103</v>
      </c>
      <c r="AF21" s="95">
        <f t="shared" si="8"/>
        <v>2609018.3507574913</v>
      </c>
      <c r="AG21" s="95">
        <f t="shared" si="8"/>
        <v>2637856.5148493643</v>
      </c>
      <c r="AH21" s="95">
        <f t="shared" si="8"/>
        <v>2666075.9277298357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-1463198.0000000002</v>
      </c>
      <c r="F22" s="95">
        <f t="shared" ref="F22:AH22" si="9">$E$22</f>
        <v>-1463198.0000000002</v>
      </c>
      <c r="G22" s="95">
        <f t="shared" si="9"/>
        <v>-1463198.0000000002</v>
      </c>
      <c r="H22" s="95">
        <f t="shared" si="9"/>
        <v>-1463198.0000000002</v>
      </c>
      <c r="I22" s="95">
        <f t="shared" si="9"/>
        <v>-1463198.0000000002</v>
      </c>
      <c r="J22" s="95">
        <f t="shared" si="9"/>
        <v>-1463198.0000000002</v>
      </c>
      <c r="K22" s="95">
        <f t="shared" si="9"/>
        <v>-1463198.0000000002</v>
      </c>
      <c r="L22" s="95">
        <f t="shared" si="9"/>
        <v>-1463198.0000000002</v>
      </c>
      <c r="M22" s="95">
        <f t="shared" si="9"/>
        <v>-1463198.0000000002</v>
      </c>
      <c r="N22" s="95">
        <f t="shared" si="9"/>
        <v>-1463198.0000000002</v>
      </c>
      <c r="O22" s="95">
        <f t="shared" si="9"/>
        <v>-1463198.0000000002</v>
      </c>
      <c r="P22" s="95">
        <f t="shared" si="9"/>
        <v>-1463198.0000000002</v>
      </c>
      <c r="Q22" s="95">
        <f t="shared" si="9"/>
        <v>-1463198.0000000002</v>
      </c>
      <c r="R22" s="95">
        <f t="shared" si="9"/>
        <v>-1463198.0000000002</v>
      </c>
      <c r="S22" s="96">
        <f t="shared" si="9"/>
        <v>-1463198.0000000002</v>
      </c>
      <c r="T22" s="95">
        <f t="shared" si="9"/>
        <v>-1463198.0000000002</v>
      </c>
      <c r="U22" s="95">
        <f t="shared" si="9"/>
        <v>-1463198.0000000002</v>
      </c>
      <c r="V22" s="95">
        <f t="shared" si="9"/>
        <v>-1463198.0000000002</v>
      </c>
      <c r="W22" s="95">
        <f t="shared" si="9"/>
        <v>-1463198.0000000002</v>
      </c>
      <c r="X22" s="95">
        <f t="shared" si="9"/>
        <v>-1463198.0000000002</v>
      </c>
      <c r="Y22" s="95">
        <f t="shared" si="9"/>
        <v>-1463198.0000000002</v>
      </c>
      <c r="Z22" s="95">
        <f t="shared" si="9"/>
        <v>-1463198.0000000002</v>
      </c>
      <c r="AA22" s="95">
        <f t="shared" si="9"/>
        <v>-1463198.0000000002</v>
      </c>
      <c r="AB22" s="95">
        <f t="shared" si="9"/>
        <v>-1463198.0000000002</v>
      </c>
      <c r="AC22" s="95">
        <f t="shared" si="9"/>
        <v>-1463198.0000000002</v>
      </c>
      <c r="AD22" s="95">
        <f t="shared" si="9"/>
        <v>-1463198.0000000002</v>
      </c>
      <c r="AE22" s="95">
        <f t="shared" si="9"/>
        <v>-1463198.0000000002</v>
      </c>
      <c r="AF22" s="95">
        <f t="shared" si="9"/>
        <v>-1463198.0000000002</v>
      </c>
      <c r="AG22" s="95">
        <f t="shared" si="9"/>
        <v>-1463198.0000000002</v>
      </c>
      <c r="AH22" s="95">
        <f t="shared" si="9"/>
        <v>-1463198.0000000002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292639.59999999986</v>
      </c>
      <c r="F25" s="119">
        <f t="shared" ref="F25:AH25" si="11">+F21+F22+F23</f>
        <v>323305.53999999957</v>
      </c>
      <c r="G25" s="119">
        <f t="shared" si="11"/>
        <v>354208.92849999922</v>
      </c>
      <c r="H25" s="119">
        <f t="shared" si="11"/>
        <v>385337.17971249926</v>
      </c>
      <c r="I25" s="119">
        <f t="shared" si="11"/>
        <v>416676.74493531161</v>
      </c>
      <c r="J25" s="119">
        <f t="shared" si="11"/>
        <v>448213.06578924414</v>
      </c>
      <c r="K25" s="119">
        <f t="shared" si="11"/>
        <v>479930.52549259434</v>
      </c>
      <c r="L25" s="119">
        <f t="shared" si="11"/>
        <v>511812.39809558005</v>
      </c>
      <c r="M25" s="119">
        <f t="shared" si="11"/>
        <v>543840.7955949388</v>
      </c>
      <c r="N25" s="119">
        <f t="shared" si="11"/>
        <v>575996.61284592538</v>
      </c>
      <c r="O25" s="119">
        <f t="shared" si="11"/>
        <v>608259.47018582583</v>
      </c>
      <c r="P25" s="119">
        <f t="shared" si="11"/>
        <v>640607.65367987915</v>
      </c>
      <c r="Q25" s="119">
        <f t="shared" si="11"/>
        <v>673018.05289716483</v>
      </c>
      <c r="R25" s="119">
        <f t="shared" si="11"/>
        <v>705466.09612051607</v>
      </c>
      <c r="S25" s="160">
        <f t="shared" si="11"/>
        <v>737925.68289098493</v>
      </c>
      <c r="T25" s="119">
        <f t="shared" si="11"/>
        <v>770369.1137835749</v>
      </c>
      <c r="U25" s="119">
        <f t="shared" si="11"/>
        <v>802767.01730719139</v>
      </c>
      <c r="V25" s="119">
        <f t="shared" si="11"/>
        <v>835088.27381766471</v>
      </c>
      <c r="W25" s="119">
        <f t="shared" si="11"/>
        <v>867299.93632862181</v>
      </c>
      <c r="X25" s="119">
        <f t="shared" si="11"/>
        <v>899367.14810064645</v>
      </c>
      <c r="Y25" s="119">
        <f t="shared" si="11"/>
        <v>931253.05688470532</v>
      </c>
      <c r="Z25" s="119">
        <f t="shared" si="11"/>
        <v>962918.72569121863</v>
      </c>
      <c r="AA25" s="119">
        <f t="shared" si="11"/>
        <v>994323.03995134844</v>
      </c>
      <c r="AB25" s="119">
        <f t="shared" si="11"/>
        <v>1025422.6109321078</v>
      </c>
      <c r="AC25" s="119">
        <f t="shared" si="11"/>
        <v>1056171.6752617534</v>
      </c>
      <c r="AD25" s="119">
        <f t="shared" si="11"/>
        <v>1086521.9904166132</v>
      </c>
      <c r="AE25" s="119">
        <f t="shared" si="11"/>
        <v>1116422.72601491</v>
      </c>
      <c r="AF25" s="119">
        <f t="shared" si="11"/>
        <v>1145820.3507574911</v>
      </c>
      <c r="AG25" s="119">
        <f t="shared" si="11"/>
        <v>1174658.5148493641</v>
      </c>
      <c r="AH25" s="119">
        <f t="shared" si="11"/>
        <v>1202877.9277298355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1.2209581615065079</v>
      </c>
      <c r="G27" s="122">
        <f t="shared" si="12"/>
        <v>1.2420786035109392</v>
      </c>
      <c r="H27" s="122">
        <f t="shared" si="12"/>
        <v>1.2633527244518508</v>
      </c>
      <c r="I27" s="122">
        <f t="shared" si="12"/>
        <v>1.2847712646786775</v>
      </c>
      <c r="J27" s="122">
        <f t="shared" si="12"/>
        <v>1.3063242744927508</v>
      </c>
      <c r="K27" s="122">
        <f t="shared" si="12"/>
        <v>1.3280010808466074</v>
      </c>
      <c r="L27" s="122">
        <f t="shared" si="12"/>
        <v>1.3497902526490468</v>
      </c>
      <c r="M27" s="122">
        <f t="shared" si="12"/>
        <v>1.3716795646214242</v>
      </c>
      <c r="N27" s="122">
        <f t="shared" si="12"/>
        <v>1.3936559596486089</v>
      </c>
      <c r="O27" s="122">
        <f t="shared" si="12"/>
        <v>1.4157055095659137</v>
      </c>
      <c r="P27" s="122">
        <f t="shared" si="12"/>
        <v>1.4378133743210959</v>
      </c>
      <c r="Q27" s="122">
        <f t="shared" si="12"/>
        <v>1.4599637594482529</v>
      </c>
      <c r="R27" s="122">
        <f t="shared" si="12"/>
        <v>1.4821398717880396</v>
      </c>
      <c r="S27" s="161">
        <f t="shared" si="12"/>
        <v>1.5043238733862299</v>
      </c>
      <c r="T27" s="122">
        <f t="shared" si="12"/>
        <v>1.5264968335000286</v>
      </c>
      <c r="U27" s="122">
        <f t="shared" si="12"/>
        <v>1.5486386786389752</v>
      </c>
      <c r="V27" s="122">
        <f t="shared" si="12"/>
        <v>1.5707281405644791</v>
      </c>
      <c r="W27" s="122">
        <f t="shared" si="12"/>
        <v>1.592742702169236</v>
      </c>
      <c r="X27" s="122">
        <f t="shared" si="12"/>
        <v>1.6146585411548173</v>
      </c>
      <c r="Y27" s="122">
        <f t="shared" si="12"/>
        <v>1.6364504714226682</v>
      </c>
      <c r="Z27" s="122">
        <f t="shared" si="12"/>
        <v>1.6580918820906114</v>
      </c>
      <c r="AA27" s="122">
        <f t="shared" si="12"/>
        <v>1.6795546740436689</v>
      </c>
      <c r="AB27" s="122">
        <f t="shared" si="12"/>
        <v>1.7008091939246142</v>
      </c>
      <c r="AC27" s="122">
        <f t="shared" si="12"/>
        <v>1.7218241654661592</v>
      </c>
      <c r="AD27" s="122">
        <f t="shared" si="12"/>
        <v>1.7425666180630461</v>
      </c>
      <c r="AE27" s="122">
        <f t="shared" si="12"/>
        <v>1.7630018124784956</v>
      </c>
      <c r="AF27" s="122">
        <f t="shared" si="12"/>
        <v>1.7830931635756</v>
      </c>
      <c r="AG27" s="122">
        <f t="shared" si="12"/>
        <v>1.8028021599601447</v>
      </c>
      <c r="AH27" s="122">
        <f t="shared" si="12"/>
        <v>1.8220882804171652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292639.59999999986</v>
      </c>
      <c r="F41" s="129">
        <f t="shared" ref="F41:S41" si="20">F25+F37</f>
        <v>323305.53999999957</v>
      </c>
      <c r="G41" s="129">
        <f t="shared" si="20"/>
        <v>354208.92849999922</v>
      </c>
      <c r="H41" s="129">
        <f t="shared" si="20"/>
        <v>385337.17971249926</v>
      </c>
      <c r="I41" s="129">
        <f t="shared" si="20"/>
        <v>416676.74493531161</v>
      </c>
      <c r="J41" s="129">
        <f t="shared" si="20"/>
        <v>448213.06578924414</v>
      </c>
      <c r="K41" s="129">
        <f t="shared" si="20"/>
        <v>479930.52549259434</v>
      </c>
      <c r="L41" s="129">
        <f t="shared" si="20"/>
        <v>511812.39809558005</v>
      </c>
      <c r="M41" s="129">
        <f t="shared" si="20"/>
        <v>543840.7955949388</v>
      </c>
      <c r="N41" s="129">
        <f t="shared" si="20"/>
        <v>575996.61284592538</v>
      </c>
      <c r="O41" s="129">
        <f t="shared" si="20"/>
        <v>608259.47018582583</v>
      </c>
      <c r="P41" s="129">
        <f t="shared" si="20"/>
        <v>640607.65367987915</v>
      </c>
      <c r="Q41" s="129">
        <f t="shared" si="20"/>
        <v>673018.05289716483</v>
      </c>
      <c r="R41" s="129">
        <f t="shared" si="20"/>
        <v>705466.09612051607</v>
      </c>
      <c r="S41" s="130">
        <f t="shared" si="20"/>
        <v>737925.68289098493</v>
      </c>
      <c r="T41" s="130">
        <f t="shared" ref="T41:AH41" si="21">T25+T37</f>
        <v>770369.1137835749</v>
      </c>
      <c r="U41" s="130">
        <f t="shared" si="21"/>
        <v>802767.01730719139</v>
      </c>
      <c r="V41" s="130">
        <f t="shared" si="21"/>
        <v>835088.27381766471</v>
      </c>
      <c r="W41" s="130">
        <f t="shared" si="21"/>
        <v>867299.93632862181</v>
      </c>
      <c r="X41" s="130">
        <f t="shared" si="21"/>
        <v>899367.14810064645</v>
      </c>
      <c r="Y41" s="130">
        <f t="shared" si="21"/>
        <v>931253.05688470532</v>
      </c>
      <c r="Z41" s="130">
        <f t="shared" si="21"/>
        <v>962918.72569121863</v>
      </c>
      <c r="AA41" s="130">
        <f t="shared" si="21"/>
        <v>994323.03995134844</v>
      </c>
      <c r="AB41" s="130">
        <f t="shared" si="21"/>
        <v>1025422.6109321078</v>
      </c>
      <c r="AC41" s="130">
        <f t="shared" si="21"/>
        <v>1056171.6752617534</v>
      </c>
      <c r="AD41" s="130">
        <f t="shared" si="21"/>
        <v>1086521.9904166132</v>
      </c>
      <c r="AE41" s="130">
        <f t="shared" si="21"/>
        <v>1116422.72601491</v>
      </c>
      <c r="AF41" s="130">
        <f t="shared" si="21"/>
        <v>1145820.3507574911</v>
      </c>
      <c r="AG41" s="130">
        <f t="shared" si="21"/>
        <v>1174658.5148493641</v>
      </c>
      <c r="AH41" s="130">
        <f t="shared" si="21"/>
        <v>1202877.9277298355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248743.65999999992</v>
      </c>
      <c r="F42" s="129">
        <f t="shared" ref="F42:S42" si="22">((F41*$C$42))</f>
        <v>274809.70899999968</v>
      </c>
      <c r="G42" s="129">
        <f t="shared" si="22"/>
        <v>301077.58922499936</v>
      </c>
      <c r="H42" s="129">
        <f t="shared" si="22"/>
        <v>327536.60275562439</v>
      </c>
      <c r="I42" s="129">
        <f t="shared" si="22"/>
        <v>354175.23319501488</v>
      </c>
      <c r="J42" s="129">
        <f t="shared" si="22"/>
        <v>380981.10592085758</v>
      </c>
      <c r="K42" s="129">
        <f t="shared" si="22"/>
        <v>407940.94666870526</v>
      </c>
      <c r="L42" s="129">
        <f t="shared" si="22"/>
        <v>435040.53838124307</v>
      </c>
      <c r="M42" s="129">
        <f t="shared" si="22"/>
        <v>462264.67625569802</v>
      </c>
      <c r="N42" s="129">
        <f t="shared" si="22"/>
        <v>489597.12091903662</v>
      </c>
      <c r="O42" s="129">
        <f t="shared" si="22"/>
        <v>517020.54965795204</v>
      </c>
      <c r="P42" s="129">
        <f t="shared" si="22"/>
        <v>544516.50562789734</v>
      </c>
      <c r="Q42" s="129">
        <f t="shared" si="22"/>
        <v>572065.34496259014</v>
      </c>
      <c r="R42" s="129">
        <f t="shared" si="22"/>
        <v>599646.18170243874</v>
      </c>
      <c r="S42" s="129">
        <f t="shared" si="22"/>
        <v>627236.8304573372</v>
      </c>
      <c r="T42" s="129">
        <f t="shared" ref="T42:AH42" si="23">((T41*$C$42))</f>
        <v>654813.74671603867</v>
      </c>
      <c r="U42" s="129">
        <f t="shared" si="23"/>
        <v>682351.96471111279</v>
      </c>
      <c r="V42" s="129">
        <f t="shared" si="23"/>
        <v>709825.03274501511</v>
      </c>
      <c r="W42" s="129">
        <f t="shared" si="23"/>
        <v>737204.94587932865</v>
      </c>
      <c r="X42" s="129">
        <f t="shared" si="23"/>
        <v>764462.07588554954</v>
      </c>
      <c r="Y42" s="129">
        <f t="shared" si="23"/>
        <v>791565.09835199965</v>
      </c>
      <c r="Z42" s="129">
        <f t="shared" si="23"/>
        <v>818480.91683753591</v>
      </c>
      <c r="AA42" s="129">
        <f t="shared" si="23"/>
        <v>845174.58395864628</v>
      </c>
      <c r="AB42" s="129">
        <f t="shared" si="23"/>
        <v>871609.21929229167</v>
      </c>
      <c r="AC42" s="129">
        <f t="shared" si="23"/>
        <v>897745.92397249048</v>
      </c>
      <c r="AD42" s="129">
        <f t="shared" si="23"/>
        <v>923543.69185412128</v>
      </c>
      <c r="AE42" s="129">
        <f t="shared" si="23"/>
        <v>948959.31711267366</v>
      </c>
      <c r="AF42" s="129">
        <f t="shared" si="23"/>
        <v>973947.29814386752</v>
      </c>
      <c r="AG42" s="129">
        <f t="shared" si="23"/>
        <v>998459.73762195953</v>
      </c>
      <c r="AH42" s="129">
        <f t="shared" si="23"/>
        <v>1022446.2385703602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43895.939999999988</v>
      </c>
      <c r="F43" s="108">
        <f t="shared" ref="F43:S43" si="24">$C$43*(F41)</f>
        <v>48495.83099999994</v>
      </c>
      <c r="G43" s="108">
        <f t="shared" si="24"/>
        <v>53131.339274999889</v>
      </c>
      <c r="H43" s="108">
        <f t="shared" si="24"/>
        <v>57800.576956874895</v>
      </c>
      <c r="I43" s="108">
        <f t="shared" si="24"/>
        <v>62501.511740296752</v>
      </c>
      <c r="J43" s="108">
        <f t="shared" si="24"/>
        <v>67231.959868386635</v>
      </c>
      <c r="K43" s="108">
        <f t="shared" si="24"/>
        <v>71989.578823889169</v>
      </c>
      <c r="L43" s="108">
        <f t="shared" si="24"/>
        <v>76771.859714337013</v>
      </c>
      <c r="M43" s="108">
        <f t="shared" si="24"/>
        <v>81576.119339240831</v>
      </c>
      <c r="N43" s="108">
        <f t="shared" si="24"/>
        <v>86399.491926888819</v>
      </c>
      <c r="O43" s="108">
        <f t="shared" si="24"/>
        <v>91238.920527873895</v>
      </c>
      <c r="P43" s="108">
        <f t="shared" si="24"/>
        <v>96091.148051981887</v>
      </c>
      <c r="Q43" s="108">
        <f t="shared" si="24"/>
        <v>100952.70793457473</v>
      </c>
      <c r="R43" s="108">
        <f t="shared" si="24"/>
        <v>105819.91441807743</v>
      </c>
      <c r="S43" s="108">
        <f t="shared" si="24"/>
        <v>110688.85243364776</v>
      </c>
      <c r="T43" s="108">
        <f t="shared" ref="T43:AH43" si="25">$C$43*(T41)</f>
        <v>115555.36706753625</v>
      </c>
      <c r="U43" s="108">
        <f t="shared" si="25"/>
        <v>120415.05259607872</v>
      </c>
      <c r="V43" s="108">
        <f t="shared" si="25"/>
        <v>125263.24107264972</v>
      </c>
      <c r="W43" s="108">
        <f t="shared" si="25"/>
        <v>130094.9904492933</v>
      </c>
      <c r="X43" s="108">
        <f t="shared" si="25"/>
        <v>134905.072215097</v>
      </c>
      <c r="Y43" s="108">
        <f t="shared" si="25"/>
        <v>139687.95853270582</v>
      </c>
      <c r="Z43" s="108">
        <f t="shared" si="25"/>
        <v>144437.80885368283</v>
      </c>
      <c r="AA43" s="108">
        <f t="shared" si="25"/>
        <v>149148.45599270228</v>
      </c>
      <c r="AB43" s="108">
        <f t="shared" si="25"/>
        <v>153813.3916398162</v>
      </c>
      <c r="AC43" s="108">
        <f t="shared" si="25"/>
        <v>158425.75128926302</v>
      </c>
      <c r="AD43" s="108">
        <f t="shared" si="25"/>
        <v>162978.29856249201</v>
      </c>
      <c r="AE43" s="108">
        <f t="shared" si="25"/>
        <v>167463.40890223652</v>
      </c>
      <c r="AF43" s="108">
        <f t="shared" si="25"/>
        <v>171873.05261362367</v>
      </c>
      <c r="AG43" s="108">
        <f t="shared" si="25"/>
        <v>176198.77722740464</v>
      </c>
      <c r="AH43" s="108">
        <f t="shared" si="25"/>
        <v>180431.68915947535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4.0703750884352151E-3</v>
      </c>
      <c r="F47" s="142">
        <f>F41/GapCalc!$H$33</f>
        <v>4.496912980912678E-3</v>
      </c>
      <c r="G47" s="142">
        <f>G41/GapCalc!$H$33</f>
        <v>4.9267535858705646E-3</v>
      </c>
      <c r="H47" s="142">
        <f>H41/GapCalc!$H$33</f>
        <v>5.3597218454017881E-3</v>
      </c>
      <c r="I47" s="142">
        <f>I41/GapCalc!$H$33</f>
        <v>5.7956293082514028E-3</v>
      </c>
      <c r="J47" s="142">
        <f>J41/GapCalc!$H$33</f>
        <v>6.2342734793914226E-3</v>
      </c>
      <c r="K47" s="142">
        <f>K41/GapCalc!$H$33</f>
        <v>6.6754371422892821E-3</v>
      </c>
      <c r="L47" s="142">
        <f>L41/GapCalc!$H$33</f>
        <v>7.1188876528007041E-3</v>
      </c>
      <c r="M47" s="142">
        <f>M41/GapCalc!$H$33</f>
        <v>7.5643762035774642E-3</v>
      </c>
      <c r="N47" s="142">
        <f>N41/GapCalc!$H$33</f>
        <v>8.0116370578387844E-3</v>
      </c>
      <c r="O47" s="142">
        <f>O41/GapCalc!$H$33</f>
        <v>8.4603867513118151E-3</v>
      </c>
      <c r="P47" s="142">
        <f>P41/GapCalc!$H$33</f>
        <v>8.9103232611017595E-3</v>
      </c>
      <c r="Q47" s="142">
        <f>Q41/GapCalc!$H$33</f>
        <v>9.3611251402058865E-3</v>
      </c>
      <c r="R47" s="142">
        <f>R41/GapCalc!$H$33</f>
        <v>9.8124506163369297E-3</v>
      </c>
      <c r="S47" s="142">
        <f>S41/GapCalc!$H$33</f>
        <v>1.0263936653672335E-2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3.4598188251699332E-3</v>
      </c>
      <c r="F48" s="142">
        <f>F43/GapCalc!$H$32</f>
        <v>3.8223760337757766E-3</v>
      </c>
      <c r="G48" s="142">
        <f>G43/GapCalc!$H$32</f>
        <v>4.1877405479899803E-3</v>
      </c>
      <c r="H48" s="142">
        <f>H43/GapCalc!$H$32</f>
        <v>4.5557635685915202E-3</v>
      </c>
      <c r="I48" s="142">
        <f>I43/GapCalc!$H$32</f>
        <v>4.9262849120136933E-3</v>
      </c>
      <c r="J48" s="142">
        <f>J43/GapCalc!$H$32</f>
        <v>5.2991324574827104E-3</v>
      </c>
      <c r="K48" s="142">
        <f>K43/GapCalc!$H$32</f>
        <v>5.6741215709458911E-3</v>
      </c>
      <c r="L48" s="142">
        <f>L43/GapCalc!$H$32</f>
        <v>6.0510545048805984E-3</v>
      </c>
      <c r="M48" s="142">
        <f>M43/GapCalc!$H$32</f>
        <v>6.4297197730408453E-3</v>
      </c>
      <c r="N48" s="142">
        <f>N43/GapCalc!$H$32</f>
        <v>6.8098914991629672E-3</v>
      </c>
      <c r="O48" s="142">
        <f>O43/GapCalc!$H$32</f>
        <v>7.1913287386150436E-3</v>
      </c>
      <c r="P48" s="142">
        <f>P43/GapCalc!$H$32</f>
        <v>7.5737747719364975E-3</v>
      </c>
      <c r="Q48" s="142">
        <f>Q43/GapCalc!$H$32</f>
        <v>7.9569563691750042E-3</v>
      </c>
      <c r="R48" s="142">
        <f>R43/GapCalc!$H$32</f>
        <v>8.3405830238863915E-3</v>
      </c>
      <c r="S48" s="142">
        <f>S43/GapCalc!$H$32</f>
        <v>8.7243461556214853E-3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8127380.29531404</v>
      </c>
      <c r="D66" s="1544"/>
      <c r="E66" s="1564" t="s">
        <v>285</v>
      </c>
      <c r="G66" s="1520" t="s">
        <v>1073</v>
      </c>
      <c r="H66" s="1565">
        <f>H70/1.63</f>
        <v>1434243.5815260073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2295264.8467652011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405046.73766444728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10952365.034596683</v>
      </c>
      <c r="D69" s="1546">
        <v>0.9</v>
      </c>
      <c r="G69" s="1521" t="s">
        <v>1075</v>
      </c>
      <c r="H69" s="1568">
        <f>'Debt Calc'!E59*C43</f>
        <v>1932770.3002229442</v>
      </c>
      <c r="I69" s="1546">
        <v>0.9</v>
      </c>
    </row>
    <row r="70" spans="2:10">
      <c r="B70" s="1523" t="s">
        <v>1042</v>
      </c>
      <c r="C70" s="1577">
        <f>C67+C68+C69</f>
        <v>13247629.881361885</v>
      </c>
      <c r="D70" s="1545" t="s">
        <v>68</v>
      </c>
      <c r="G70" s="1523" t="s">
        <v>1042</v>
      </c>
      <c r="H70" s="1577">
        <f>H67+H68+H69</f>
        <v>2337817.0378873916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0.63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0.09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71894995.827644989</v>
      </c>
      <c r="D74" s="1549"/>
      <c r="F74" s="1559"/>
      <c r="G74" s="1578" t="s">
        <v>1082</v>
      </c>
      <c r="H74" s="1581">
        <f>GapCalc!H32</f>
        <v>12687352.204878528</v>
      </c>
      <c r="I74" s="1549"/>
    </row>
    <row r="75" spans="2:10">
      <c r="B75" s="70" t="s">
        <v>1081</v>
      </c>
      <c r="C75" s="1579">
        <f>(C70-C74)/C74</f>
        <v>-0.81573641212636494</v>
      </c>
      <c r="G75" s="70" t="s">
        <v>1081</v>
      </c>
      <c r="H75" s="1579">
        <f>(H70-H74)/H74</f>
        <v>-0.81573641212636505</v>
      </c>
    </row>
    <row r="76" spans="2:10">
      <c r="B76" s="70" t="s">
        <v>1045</v>
      </c>
      <c r="C76" s="1579">
        <f>C75/7</f>
        <v>-0.11653377316090928</v>
      </c>
      <c r="G76" s="70" t="s">
        <v>1045</v>
      </c>
      <c r="H76" s="1579">
        <f>H75/7</f>
        <v>-0.11653377316090929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2045648.434622877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3682167.1823211787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3682167.1823211787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11044140.39999686</v>
      </c>
      <c r="D93" s="1544"/>
      <c r="E93" s="1564" t="s">
        <v>288</v>
      </c>
      <c r="G93" s="1520" t="s">
        <v>1073</v>
      </c>
      <c r="H93" s="1565">
        <f>H97/1.63</f>
        <v>1584395.4042134099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3682167.1823211787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649794.20864491398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14319781.6696737</v>
      </c>
      <c r="D96" s="1546">
        <v>0.9</v>
      </c>
      <c r="G96" s="1521" t="s">
        <v>1075</v>
      </c>
      <c r="H96" s="1568">
        <f>'Debt Calc'!E59*C43</f>
        <v>1932770.3002229442</v>
      </c>
      <c r="I96" s="1546">
        <v>0.9</v>
      </c>
    </row>
    <row r="97" spans="2:9">
      <c r="B97" s="1523" t="s">
        <v>1042</v>
      </c>
      <c r="C97" s="1577">
        <f>C94+C95+C96</f>
        <v>18001948.85199488</v>
      </c>
      <c r="D97" s="1545" t="s">
        <v>68</v>
      </c>
      <c r="G97" s="1523" t="s">
        <v>1042</v>
      </c>
      <c r="H97" s="1577">
        <f>H94+H95+H96</f>
        <v>2582564.508867858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0.62999999999999978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8.9999999999999969E-2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71894995.827644989</v>
      </c>
      <c r="D101" s="1549"/>
      <c r="G101" s="1578" t="s">
        <v>1082</v>
      </c>
      <c r="H101" s="1581">
        <f>GapCalc!H32</f>
        <v>12687352.204878528</v>
      </c>
      <c r="I101" s="1549"/>
    </row>
    <row r="102" spans="2:9">
      <c r="B102" s="70" t="s">
        <v>1081</v>
      </c>
      <c r="C102" s="1579">
        <f>(C97-C101)/C101</f>
        <v>-0.74960776275512642</v>
      </c>
      <c r="G102" s="70" t="s">
        <v>1081</v>
      </c>
      <c r="H102" s="1579">
        <f>(H97-H101)/H101</f>
        <v>-0.79644574634928056</v>
      </c>
    </row>
    <row r="103" spans="2:9">
      <c r="B103" s="70" t="s">
        <v>1045</v>
      </c>
      <c r="C103" s="1579">
        <f>C102/10</f>
        <v>-7.4960776275512647E-2</v>
      </c>
      <c r="G103" s="70" t="s">
        <v>1045</v>
      </c>
      <c r="H103" s="1579">
        <f>H102/10</f>
        <v>-7.964457463492805E-2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176760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35352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212112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212112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212112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126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126</v>
      </c>
      <c r="D49" s="876"/>
      <c r="E49" s="855" t="s">
        <v>577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126</v>
      </c>
      <c r="D55" s="855"/>
      <c r="E55" s="855"/>
      <c r="F55" s="937"/>
      <c r="G55" s="855"/>
      <c r="H55" s="872" t="s">
        <v>685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E58" sqref="E58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1463198.0000000002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27170053.841731261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27170000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12538048.995567486</v>
      </c>
    </row>
    <row r="15" spans="2:36">
      <c r="B15" s="556"/>
      <c r="C15" s="560" t="s">
        <v>634</v>
      </c>
      <c r="H15" s="561">
        <f>12*PMT(Data!C24/12,Data!C29*12,-'Debt Calc'!H14)</f>
        <v>1463195.100443251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5033870.5379105024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5033870.5379105024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27170000</v>
      </c>
      <c r="E21" s="561">
        <f>$H$15</f>
        <v>1463195.100443251</v>
      </c>
      <c r="F21" s="561">
        <f>E21-G21</f>
        <v>0</v>
      </c>
      <c r="G21" s="561">
        <f>D21-H21</f>
        <v>1463195.1004432514</v>
      </c>
      <c r="H21" s="561">
        <f>D21-E21</f>
        <v>25706804.899556749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25706804.899556749</v>
      </c>
      <c r="E22" s="561">
        <f t="shared" ref="E22:E50" si="1">$H$15</f>
        <v>1463195.100443251</v>
      </c>
      <c r="F22" s="561">
        <f t="shared" ref="F22:F50" si="2">E22-G22</f>
        <v>0</v>
      </c>
      <c r="G22" s="561">
        <f t="shared" ref="G22:G50" si="3">D22-H22</f>
        <v>1463195.1004432514</v>
      </c>
      <c r="H22" s="561">
        <f t="shared" ref="H22:H39" si="4">D22-E22</f>
        <v>24243609.799113497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24243609.799113497</v>
      </c>
      <c r="E23" s="561">
        <f t="shared" si="1"/>
        <v>1463195.100443251</v>
      </c>
      <c r="F23" s="561">
        <f t="shared" si="2"/>
        <v>0</v>
      </c>
      <c r="G23" s="561">
        <f t="shared" si="3"/>
        <v>1463195.1004432514</v>
      </c>
      <c r="H23" s="561">
        <f t="shared" si="4"/>
        <v>22780414.698670246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22780414.698670246</v>
      </c>
      <c r="E24" s="561">
        <f t="shared" si="1"/>
        <v>1463195.100443251</v>
      </c>
      <c r="F24" s="561">
        <f t="shared" si="2"/>
        <v>0</v>
      </c>
      <c r="G24" s="561">
        <f t="shared" si="3"/>
        <v>1463195.1004432514</v>
      </c>
      <c r="H24" s="561">
        <f t="shared" si="4"/>
        <v>21317219.598226994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21317219.598226994</v>
      </c>
      <c r="E25" s="561">
        <f t="shared" si="1"/>
        <v>1463195.100443251</v>
      </c>
      <c r="F25" s="561">
        <f t="shared" si="2"/>
        <v>0</v>
      </c>
      <c r="G25" s="561">
        <f t="shared" si="3"/>
        <v>1463195.1004432514</v>
      </c>
      <c r="H25" s="561">
        <f t="shared" si="4"/>
        <v>19854024.497783743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19854024.497783743</v>
      </c>
      <c r="E26" s="561">
        <f t="shared" si="1"/>
        <v>1463195.100443251</v>
      </c>
      <c r="F26" s="561">
        <f t="shared" si="2"/>
        <v>0</v>
      </c>
      <c r="G26" s="561">
        <f t="shared" si="3"/>
        <v>1463195.1004432514</v>
      </c>
      <c r="H26" s="561">
        <f t="shared" si="4"/>
        <v>18390829.397340491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18390829.397340491</v>
      </c>
      <c r="E27" s="561">
        <f t="shared" si="1"/>
        <v>1463195.100443251</v>
      </c>
      <c r="F27" s="561">
        <f t="shared" si="2"/>
        <v>0</v>
      </c>
      <c r="G27" s="561">
        <f t="shared" si="3"/>
        <v>1463195.1004432514</v>
      </c>
      <c r="H27" s="561">
        <f t="shared" si="4"/>
        <v>16927634.29689724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16927634.29689724</v>
      </c>
      <c r="E28" s="561">
        <f t="shared" si="1"/>
        <v>1463195.100443251</v>
      </c>
      <c r="F28" s="561">
        <f t="shared" si="2"/>
        <v>0</v>
      </c>
      <c r="G28" s="561">
        <f t="shared" si="3"/>
        <v>1463195.1004432514</v>
      </c>
      <c r="H28" s="561">
        <f t="shared" si="4"/>
        <v>15464439.196453989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15464439.196453989</v>
      </c>
      <c r="E29" s="561">
        <f t="shared" si="1"/>
        <v>1463195.100443251</v>
      </c>
      <c r="F29" s="561">
        <f t="shared" si="2"/>
        <v>0</v>
      </c>
      <c r="G29" s="561">
        <f t="shared" si="3"/>
        <v>1463195.1004432514</v>
      </c>
      <c r="H29" s="561">
        <f t="shared" si="4"/>
        <v>14001244.096010737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14001244.096010737</v>
      </c>
      <c r="E30" s="561">
        <f t="shared" si="1"/>
        <v>1463195.100443251</v>
      </c>
      <c r="F30" s="561">
        <f t="shared" si="2"/>
        <v>0</v>
      </c>
      <c r="G30" s="561">
        <f t="shared" si="3"/>
        <v>1463195.1004432514</v>
      </c>
      <c r="H30" s="561">
        <f>D30-E30</f>
        <v>12538048.995567486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12538048.995567486</v>
      </c>
      <c r="E31" s="561">
        <f t="shared" si="1"/>
        <v>1463195.100443251</v>
      </c>
      <c r="F31" s="561">
        <f t="shared" si="2"/>
        <v>0</v>
      </c>
      <c r="G31" s="561">
        <f t="shared" si="3"/>
        <v>1463195.1004432514</v>
      </c>
      <c r="H31" s="561">
        <f t="shared" si="4"/>
        <v>11074853.895124234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11074853.895124234</v>
      </c>
      <c r="E32" s="561">
        <f t="shared" si="1"/>
        <v>1463195.100443251</v>
      </c>
      <c r="F32" s="561">
        <f t="shared" si="2"/>
        <v>0</v>
      </c>
      <c r="G32" s="561">
        <f t="shared" si="3"/>
        <v>1463195.1004432514</v>
      </c>
      <c r="H32" s="561">
        <f t="shared" si="4"/>
        <v>9611658.7946809828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9611658.7946809828</v>
      </c>
      <c r="E33" s="561">
        <f t="shared" si="1"/>
        <v>1463195.100443251</v>
      </c>
      <c r="F33" s="561">
        <f t="shared" si="2"/>
        <v>0</v>
      </c>
      <c r="G33" s="561">
        <f t="shared" si="3"/>
        <v>1463195.1004432514</v>
      </c>
      <c r="H33" s="561">
        <f t="shared" si="4"/>
        <v>8148463.6942377314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8148463.6942377314</v>
      </c>
      <c r="E34" s="561">
        <f t="shared" si="1"/>
        <v>1463195.100443251</v>
      </c>
      <c r="F34" s="561">
        <f t="shared" si="2"/>
        <v>0</v>
      </c>
      <c r="G34" s="561">
        <f t="shared" si="3"/>
        <v>1463195.1004432514</v>
      </c>
      <c r="H34" s="561">
        <f t="shared" si="4"/>
        <v>6685268.59379448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6685268.59379448</v>
      </c>
      <c r="E35" s="561">
        <f t="shared" si="1"/>
        <v>1463195.100443251</v>
      </c>
      <c r="F35" s="561">
        <f t="shared" si="2"/>
        <v>0</v>
      </c>
      <c r="G35" s="561">
        <f t="shared" si="3"/>
        <v>1463195.1004432514</v>
      </c>
      <c r="H35" s="561">
        <f t="shared" si="4"/>
        <v>5222073.4933512285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5222073.4933512285</v>
      </c>
      <c r="E36" s="561">
        <f t="shared" si="1"/>
        <v>1463195.100443251</v>
      </c>
      <c r="F36" s="561">
        <f t="shared" si="2"/>
        <v>0</v>
      </c>
      <c r="G36" s="561">
        <f t="shared" si="3"/>
        <v>1463195.100443251</v>
      </c>
      <c r="H36" s="561">
        <f t="shared" si="4"/>
        <v>3758878.3929079776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3758878.3929079776</v>
      </c>
      <c r="E37" s="561">
        <f t="shared" si="1"/>
        <v>1463195.100443251</v>
      </c>
      <c r="F37" s="561">
        <f t="shared" si="2"/>
        <v>0</v>
      </c>
      <c r="G37" s="561">
        <f t="shared" si="3"/>
        <v>1463195.100443251</v>
      </c>
      <c r="H37" s="561">
        <f t="shared" si="4"/>
        <v>2295683.2924647266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2295683.2924647266</v>
      </c>
      <c r="E38" s="561">
        <f t="shared" si="1"/>
        <v>1463195.100443251</v>
      </c>
      <c r="F38" s="561">
        <f t="shared" si="2"/>
        <v>0</v>
      </c>
      <c r="G38" s="561">
        <f t="shared" si="3"/>
        <v>1463195.100443251</v>
      </c>
      <c r="H38" s="561">
        <f>D38-E38</f>
        <v>832488.19202147564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832488.19202147564</v>
      </c>
      <c r="E39" s="561">
        <f t="shared" si="1"/>
        <v>1463195.100443251</v>
      </c>
      <c r="F39" s="561">
        <f t="shared" si="2"/>
        <v>0</v>
      </c>
      <c r="G39" s="561">
        <f t="shared" si="3"/>
        <v>1463195.100443251</v>
      </c>
      <c r="H39" s="561">
        <f t="shared" si="4"/>
        <v>-630706.90842177533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-630706.90842177533</v>
      </c>
      <c r="E40" s="561">
        <f t="shared" si="1"/>
        <v>1463195.100443251</v>
      </c>
      <c r="F40" s="561">
        <f t="shared" si="2"/>
        <v>2093902.0088650263</v>
      </c>
      <c r="G40" s="561">
        <f t="shared" si="3"/>
        <v>-630706.90842177533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1463195.100443251</v>
      </c>
      <c r="F41" s="561">
        <f t="shared" si="2"/>
        <v>1463195.100443251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1463195.100443251</v>
      </c>
      <c r="F42" s="561">
        <f t="shared" si="2"/>
        <v>1463195.100443251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1463195.100443251</v>
      </c>
      <c r="F43" s="561">
        <f t="shared" si="2"/>
        <v>1463195.100443251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1463195.100443251</v>
      </c>
      <c r="F44" s="561">
        <f t="shared" si="2"/>
        <v>1463195.100443251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1463195.100443251</v>
      </c>
      <c r="F45" s="561">
        <f t="shared" si="2"/>
        <v>1463195.100443251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1463195.100443251</v>
      </c>
      <c r="F46" s="561">
        <f t="shared" si="2"/>
        <v>1463195.100443251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1463195.100443251</v>
      </c>
      <c r="F47" s="561">
        <f t="shared" si="2"/>
        <v>1463195.100443251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1463195.100443251</v>
      </c>
      <c r="F48" s="561">
        <f t="shared" si="2"/>
        <v>1463195.100443251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1463195.100443251</v>
      </c>
      <c r="F49" s="561">
        <f t="shared" si="2"/>
        <v>1463195.100443251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1463195.100443251</v>
      </c>
      <c r="F50" s="561">
        <f t="shared" si="2"/>
        <v>1463195.100443251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1089</v>
      </c>
      <c r="H54" s="1659"/>
    </row>
    <row r="55" spans="2:28">
      <c r="D55" s="1655" t="s">
        <v>1064</v>
      </c>
      <c r="E55" s="1664">
        <f>'Cash Flow'!K15/0.05</f>
        <v>77547251.578510031</v>
      </c>
      <c r="F55" s="561"/>
      <c r="G55" s="1663" t="s">
        <v>1064</v>
      </c>
      <c r="H55" s="1667">
        <f>'Cash Flow'!N15/0.05</f>
        <v>83509908.219413877</v>
      </c>
    </row>
    <row r="56" spans="2:28">
      <c r="D56" s="1653" t="s">
        <v>1065</v>
      </c>
      <c r="E56" s="1665">
        <f>'Cash Flow'!K21/1.2</f>
        <v>1619273.7712438288</v>
      </c>
      <c r="F56" s="561"/>
      <c r="G56" s="1661" t="s">
        <v>1065</v>
      </c>
      <c r="H56" s="1668">
        <f>'Cash Flow'!N21/1.2</f>
        <v>1699328.8440382713</v>
      </c>
    </row>
    <row r="57" spans="2:28">
      <c r="D57" s="1653" t="s">
        <v>1066</v>
      </c>
      <c r="E57" s="1665">
        <f>E55*0.6</f>
        <v>46528350.947106019</v>
      </c>
      <c r="F57" s="561"/>
      <c r="G57" s="1661" t="s">
        <v>1066</v>
      </c>
      <c r="H57" s="1668">
        <f>H55*0.6</f>
        <v>50105944.931648321</v>
      </c>
    </row>
    <row r="58" spans="2:28">
      <c r="D58" s="1653" t="s">
        <v>1067</v>
      </c>
      <c r="E58" s="1665">
        <f>-PV(4%,34,E56)</f>
        <v>29812769.631716866</v>
      </c>
      <c r="F58" s="561"/>
      <c r="G58" s="1661" t="s">
        <v>1067</v>
      </c>
      <c r="H58" s="1668">
        <f>-PV(4%,30,H56)</f>
        <v>29384850.959889483</v>
      </c>
    </row>
    <row r="59" spans="2:28">
      <c r="D59" s="1652" t="s">
        <v>1068</v>
      </c>
      <c r="E59" s="1665">
        <f>E58-H27</f>
        <v>12885135.334819626</v>
      </c>
      <c r="F59" s="561"/>
      <c r="G59" s="1660" t="s">
        <v>1068</v>
      </c>
      <c r="H59" s="1668">
        <f>H58-H30</f>
        <v>16846801.964321997</v>
      </c>
    </row>
    <row r="60" spans="2:28" ht="13.5" thickBot="1">
      <c r="D60" s="1654" t="s">
        <v>1069</v>
      </c>
      <c r="E60" s="1666">
        <f>E59*GapCalc!I33</f>
        <v>10952365.034596683</v>
      </c>
      <c r="F60" s="561"/>
      <c r="G60" s="1662" t="s">
        <v>1069</v>
      </c>
      <c r="H60" s="1669">
        <f>H59*GapCalc!I33</f>
        <v>14319781.6696737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70793329.5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849093.77815640997</v>
      </c>
      <c r="D7" s="1409">
        <f>(1-'Rental Income'!O19)</f>
        <v>7.9365079365079083E-3</v>
      </c>
    </row>
    <row r="8" spans="1:5">
      <c r="A8" s="1410" t="s">
        <v>980</v>
      </c>
      <c r="B8" s="1417">
        <f>B7*D7</f>
        <v>0</v>
      </c>
      <c r="C8" s="1417">
        <f>C7*D7</f>
        <v>6738.839509177833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6738.839509177833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3513828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-175970.40000000002</v>
      </c>
      <c r="E18" s="50"/>
      <c r="F18" s="55">
        <v>0.05</v>
      </c>
    </row>
    <row r="19" spans="1:25">
      <c r="A19" s="40" t="s">
        <v>165</v>
      </c>
      <c r="D19" s="57">
        <f>SUM(D15:D18)</f>
        <v>3343437.6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131433</v>
      </c>
      <c r="E22" s="48">
        <v>1043</v>
      </c>
      <c r="F22" s="453" t="s">
        <v>172</v>
      </c>
      <c r="N22" s="428">
        <f>D22*0.8</f>
        <v>105146.40000000001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174</v>
      </c>
      <c r="D23" s="48">
        <f>(E23*$D$10-20)/2</f>
        <v>168074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23466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121351.36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183</v>
      </c>
      <c r="D26" s="51">
        <f>SUM(D22:D25)</f>
        <v>444324.36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46872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192</v>
      </c>
      <c r="D31" s="48">
        <f>E31*$D$10</f>
        <v>41328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194</v>
      </c>
      <c r="C32" s="43"/>
      <c r="D32" s="50">
        <f>E32*$D$10</f>
        <v>7560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120960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133560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202</v>
      </c>
      <c r="D37" s="48">
        <f>E37*$D$10</f>
        <v>199080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106092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438732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92988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66982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99792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34272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214200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13860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391164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6738.839509177833</v>
      </c>
      <c r="Y56" s="1309">
        <f>X56/'Rental Income'!D15</f>
        <v>26.741426623721559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436.27870666666666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211680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158.73015873015873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79322.972842511168</v>
      </c>
    </row>
    <row r="65" spans="1:25">
      <c r="B65" t="s">
        <v>250</v>
      </c>
      <c r="D65" s="48">
        <f>E65*$D$10</f>
        <v>37800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301480</v>
      </c>
      <c r="E67" s="48">
        <f>SUM(E62:E66)</f>
        <v>1333.7301587301588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75600</v>
      </c>
      <c r="E69" s="426">
        <v>300</v>
      </c>
    </row>
    <row r="70" spans="1:25">
      <c r="V70" s="40" t="s">
        <v>256</v>
      </c>
      <c r="X70" s="1307">
        <f>SUM(X68,X64,X54,X39,X31)</f>
        <v>526565.95284251112</v>
      </c>
      <c r="Y70" s="1307">
        <f>X70/D10</f>
        <v>2089.5474319147265</v>
      </c>
    </row>
    <row r="71" spans="1:25">
      <c r="A71" s="40" t="s">
        <v>257</v>
      </c>
      <c r="D71" s="48">
        <f>E71*$D$10</f>
        <v>126000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-3910.4525680852735</v>
      </c>
    </row>
    <row r="75" spans="1:25">
      <c r="A75" s="44" t="s">
        <v>260</v>
      </c>
      <c r="B75" s="45"/>
      <c r="C75" s="45"/>
      <c r="D75" s="52">
        <f>D19-D73</f>
        <v>1175265.0059200004</v>
      </c>
      <c r="E75" s="52">
        <f>D75/D10</f>
        <v>4663.7500234920653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212112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88641661.874999985</v>
      </c>
      <c r="C7" s="465">
        <f>'Dev Summary_5-20'!B8</f>
        <v>3190331</v>
      </c>
      <c r="D7" s="465">
        <f t="shared" ref="D7:D14" si="0">B7-C7</f>
        <v>85451330.874999985</v>
      </c>
      <c r="E7" s="477">
        <f t="shared" ref="E7:E15" si="1">D7/B7</f>
        <v>0.96400867343282759</v>
      </c>
      <c r="F7" s="477"/>
      <c r="G7" s="472" t="e">
        <f t="shared" ref="G7:G14" si="2">B7/$B$15</f>
        <v>#REF!</v>
      </c>
      <c r="I7" s="147">
        <f>B7/$H$4</f>
        <v>805833.28977272718</v>
      </c>
      <c r="J7" s="53">
        <f>B7/$H$5</f>
        <v>417.9002690795428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183833.02157460368</v>
      </c>
      <c r="C9" s="446">
        <f>'Dev Summary_5-20'!B10</f>
        <v>50000</v>
      </c>
      <c r="D9" s="446">
        <f t="shared" si="0"/>
        <v>133833.02157460368</v>
      </c>
      <c r="E9" s="477">
        <f t="shared" si="1"/>
        <v>0.72801404463828145</v>
      </c>
      <c r="F9" s="477"/>
      <c r="G9" s="473" t="e">
        <f t="shared" si="2"/>
        <v>#REF!</v>
      </c>
      <c r="I9" s="53">
        <f t="shared" si="3"/>
        <v>1671.2092870418517</v>
      </c>
      <c r="J9" s="53">
        <f t="shared" si="4"/>
        <v>0.86667902605512037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0.15086369465188201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657075</v>
      </c>
      <c r="C14" s="467">
        <f>'Dev Summary_5-20'!B14</f>
        <v>282276.62941911275</v>
      </c>
      <c r="D14" s="467">
        <f t="shared" si="0"/>
        <v>374798.37058088725</v>
      </c>
      <c r="E14" s="478">
        <f t="shared" si="1"/>
        <v>0.57040424697467906</v>
      </c>
      <c r="F14" s="478"/>
      <c r="G14" s="474" t="e">
        <f t="shared" si="2"/>
        <v>#REF!</v>
      </c>
      <c r="I14" s="53">
        <f t="shared" si="3"/>
        <v>5973.409090909091</v>
      </c>
      <c r="J14" s="53">
        <f t="shared" si="4"/>
        <v>3.097773817605793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27170053.841731261</v>
      </c>
      <c r="C21" s="48">
        <v>18731659</v>
      </c>
      <c r="D21" s="48">
        <f>B21-C21</f>
        <v>8438394.8417312615</v>
      </c>
      <c r="E21" s="55">
        <f>D21/B21</f>
        <v>0.3105770378993688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6891424.8306326037</v>
      </c>
      <c r="C26" s="48">
        <v>12677529</v>
      </c>
      <c r="D26" s="48">
        <f t="shared" si="5"/>
        <v>-5786104.1693673963</v>
      </c>
      <c r="E26" s="55">
        <f t="shared" si="6"/>
        <v>-0.83960926971850269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97505828.062499985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88255.245256249997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79429.720730625006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706543.22743229161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97505828.062499985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22426.340454375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896654.53387354163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78004662.449999988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107062.23818749998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78004662.449999988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114149.73818749998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1061899.9424999999</v>
      </c>
      <c r="E10" s="748">
        <f>'PreDev Flow of Funds'!Y10+'PreDev Flow of Funds'!Y12</f>
        <v>1395966</v>
      </c>
      <c r="F10" s="748">
        <f>(D10-E10)/18</f>
        <v>-18559.225416666672</v>
      </c>
      <c r="G10" s="748">
        <f>$F$10</f>
        <v>-18559.225416666672</v>
      </c>
      <c r="H10" s="748">
        <f t="shared" ref="H10:W10" si="2">$F$10</f>
        <v>-18559.225416666672</v>
      </c>
      <c r="I10" s="748">
        <f t="shared" si="2"/>
        <v>-18559.225416666672</v>
      </c>
      <c r="J10" s="748">
        <f t="shared" si="2"/>
        <v>-18559.225416666672</v>
      </c>
      <c r="K10" s="748">
        <f t="shared" si="2"/>
        <v>-18559.225416666672</v>
      </c>
      <c r="L10" s="748">
        <f t="shared" si="2"/>
        <v>-18559.225416666672</v>
      </c>
      <c r="M10" s="748">
        <f t="shared" si="2"/>
        <v>-18559.225416666672</v>
      </c>
      <c r="N10" s="748">
        <f t="shared" si="2"/>
        <v>-18559.225416666672</v>
      </c>
      <c r="O10" s="748">
        <f t="shared" si="2"/>
        <v>-18559.225416666672</v>
      </c>
      <c r="P10" s="748">
        <f t="shared" si="2"/>
        <v>-18559.225416666672</v>
      </c>
      <c r="Q10" s="748">
        <f t="shared" si="2"/>
        <v>-18559.225416666672</v>
      </c>
      <c r="R10" s="748">
        <f t="shared" si="2"/>
        <v>-18559.225416666672</v>
      </c>
      <c r="S10" s="748">
        <f t="shared" si="2"/>
        <v>-18559.225416666672</v>
      </c>
      <c r="T10" s="748">
        <f t="shared" si="2"/>
        <v>-18559.225416666672</v>
      </c>
      <c r="U10" s="748">
        <f t="shared" si="2"/>
        <v>-18559.225416666672</v>
      </c>
      <c r="V10" s="748">
        <f t="shared" si="2"/>
        <v>-18559.225416666672</v>
      </c>
      <c r="W10" s="748">
        <f t="shared" si="2"/>
        <v>-18559.225416666672</v>
      </c>
      <c r="X10" s="748"/>
      <c r="Y10" s="748">
        <f>SUM(E10:W10)</f>
        <v>1061899.9425000013</v>
      </c>
    </row>
    <row r="11" spans="1:25" ht="15">
      <c r="A11" s="402"/>
      <c r="B11" s="403" t="s">
        <v>388</v>
      </c>
      <c r="C11" s="748"/>
      <c r="D11" s="748">
        <f>'Development Budget'!G41</f>
        <v>1061899.9424999999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88641661.874999985</v>
      </c>
      <c r="E13" s="748">
        <f>'PreDev Flow of Funds'!Y14</f>
        <v>69798.3</v>
      </c>
      <c r="F13" s="748">
        <f>(D13-E13)/18</f>
        <v>4920659.0874999994</v>
      </c>
      <c r="G13" s="748">
        <f>$F$13</f>
        <v>4920659.0874999994</v>
      </c>
      <c r="H13" s="748">
        <f t="shared" ref="H13:W13" si="5">$F$13</f>
        <v>4920659.0874999994</v>
      </c>
      <c r="I13" s="748">
        <f t="shared" si="5"/>
        <v>4920659.0874999994</v>
      </c>
      <c r="J13" s="748">
        <f t="shared" si="5"/>
        <v>4920659.0874999994</v>
      </c>
      <c r="K13" s="748">
        <f t="shared" si="5"/>
        <v>4920659.0874999994</v>
      </c>
      <c r="L13" s="748">
        <f t="shared" si="5"/>
        <v>4920659.0874999994</v>
      </c>
      <c r="M13" s="748">
        <f t="shared" si="5"/>
        <v>4920659.0874999994</v>
      </c>
      <c r="N13" s="748">
        <f t="shared" si="5"/>
        <v>4920659.0874999994</v>
      </c>
      <c r="O13" s="748">
        <f t="shared" si="5"/>
        <v>4920659.0874999994</v>
      </c>
      <c r="P13" s="748">
        <f t="shared" si="5"/>
        <v>4920659.0874999994</v>
      </c>
      <c r="Q13" s="748">
        <f t="shared" si="5"/>
        <v>4920659.0874999994</v>
      </c>
      <c r="R13" s="748">
        <f t="shared" si="5"/>
        <v>4920659.0874999994</v>
      </c>
      <c r="S13" s="748">
        <f t="shared" si="5"/>
        <v>4920659.0874999994</v>
      </c>
      <c r="T13" s="748">
        <f t="shared" si="5"/>
        <v>4920659.0874999994</v>
      </c>
      <c r="U13" s="748">
        <f t="shared" si="5"/>
        <v>4920659.0874999994</v>
      </c>
      <c r="V13" s="748">
        <f t="shared" si="5"/>
        <v>4920659.0874999994</v>
      </c>
      <c r="W13" s="748">
        <f t="shared" si="5"/>
        <v>4920659.0874999994</v>
      </c>
      <c r="X13" s="748"/>
      <c r="Y13" s="748">
        <f t="shared" si="3"/>
        <v>88641661.875000015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88641661.874999985</v>
      </c>
      <c r="E15" s="748">
        <f>'PreDev Flow of Funds'!Y16+'PreDev Flow of Funds'!Y17+'PreDev Flow of Funds'!Y19</f>
        <v>72500</v>
      </c>
      <c r="F15" s="748">
        <f>(D15-E15)/18</f>
        <v>4920508.993055555</v>
      </c>
      <c r="G15" s="748">
        <f>$F$15</f>
        <v>4920508.993055555</v>
      </c>
      <c r="H15" s="748">
        <f t="shared" ref="H15:W15" si="7">$F$15</f>
        <v>4920508.993055555</v>
      </c>
      <c r="I15" s="748">
        <f t="shared" si="7"/>
        <v>4920508.993055555</v>
      </c>
      <c r="J15" s="748">
        <f t="shared" si="7"/>
        <v>4920508.993055555</v>
      </c>
      <c r="K15" s="748">
        <f t="shared" si="7"/>
        <v>4920508.993055555</v>
      </c>
      <c r="L15" s="748">
        <f t="shared" si="7"/>
        <v>4920508.993055555</v>
      </c>
      <c r="M15" s="748">
        <f t="shared" si="7"/>
        <v>4920508.993055555</v>
      </c>
      <c r="N15" s="748">
        <f t="shared" si="7"/>
        <v>4920508.993055555</v>
      </c>
      <c r="O15" s="748">
        <f t="shared" si="7"/>
        <v>4920508.993055555</v>
      </c>
      <c r="P15" s="748">
        <f t="shared" si="7"/>
        <v>4920508.993055555</v>
      </c>
      <c r="Q15" s="748">
        <f t="shared" si="7"/>
        <v>4920508.993055555</v>
      </c>
      <c r="R15" s="748">
        <f t="shared" si="7"/>
        <v>4920508.993055555</v>
      </c>
      <c r="S15" s="748">
        <f t="shared" si="7"/>
        <v>4920508.993055555</v>
      </c>
      <c r="T15" s="748">
        <f t="shared" si="7"/>
        <v>4920508.993055555</v>
      </c>
      <c r="U15" s="748">
        <f t="shared" si="7"/>
        <v>4920508.993055555</v>
      </c>
      <c r="V15" s="748">
        <f t="shared" si="7"/>
        <v>4920508.993055555</v>
      </c>
      <c r="W15" s="748">
        <f t="shared" si="7"/>
        <v>4920508.993055555</v>
      </c>
      <c r="X15" s="748"/>
      <c r="Y15" s="748">
        <f t="shared" si="3"/>
        <v>88641661.87499997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70793329.5</v>
      </c>
      <c r="E33" s="748">
        <v>0</v>
      </c>
      <c r="F33" s="748">
        <f>D33</f>
        <v>70793329.5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70793329.5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221604.15468749998</v>
      </c>
      <c r="E43" s="748">
        <f>D43</f>
        <v>221604.15468749998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221604.15468749998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412604.15468749998</v>
      </c>
      <c r="E52" s="748">
        <f>D52</f>
        <v>412604.15468749998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412604.15468749998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657075</v>
      </c>
      <c r="E58" s="748">
        <f>'PreDev Flow of Funds'!Y46</f>
        <v>96238.814999999988</v>
      </c>
      <c r="F58" s="748">
        <f>(D58-E58)/18</f>
        <v>31157.565833333338</v>
      </c>
      <c r="G58" s="748">
        <f>$F$58</f>
        <v>31157.565833333338</v>
      </c>
      <c r="H58" s="748">
        <f t="shared" ref="H58:W58" si="18">$F$58</f>
        <v>31157.565833333338</v>
      </c>
      <c r="I58" s="748">
        <f t="shared" si="18"/>
        <v>31157.565833333338</v>
      </c>
      <c r="J58" s="748">
        <f t="shared" si="18"/>
        <v>31157.565833333338</v>
      </c>
      <c r="K58" s="748">
        <f t="shared" si="18"/>
        <v>31157.565833333338</v>
      </c>
      <c r="L58" s="748">
        <f t="shared" si="18"/>
        <v>31157.565833333338</v>
      </c>
      <c r="M58" s="748">
        <f t="shared" si="18"/>
        <v>31157.565833333338</v>
      </c>
      <c r="N58" s="748">
        <f t="shared" si="18"/>
        <v>31157.565833333338</v>
      </c>
      <c r="O58" s="748">
        <f t="shared" si="18"/>
        <v>31157.565833333338</v>
      </c>
      <c r="P58" s="748">
        <f t="shared" si="18"/>
        <v>31157.565833333338</v>
      </c>
      <c r="Q58" s="748">
        <f t="shared" si="18"/>
        <v>31157.565833333338</v>
      </c>
      <c r="R58" s="748">
        <f t="shared" si="18"/>
        <v>31157.565833333338</v>
      </c>
      <c r="S58" s="748">
        <f t="shared" si="18"/>
        <v>31157.565833333338</v>
      </c>
      <c r="T58" s="748">
        <f t="shared" si="18"/>
        <v>31157.565833333338</v>
      </c>
      <c r="U58" s="748">
        <f t="shared" si="18"/>
        <v>31157.565833333338</v>
      </c>
      <c r="V58" s="748">
        <f t="shared" si="18"/>
        <v>31157.565833333338</v>
      </c>
      <c r="W58" s="748">
        <f t="shared" si="18"/>
        <v>31157.565833333338</v>
      </c>
      <c r="X58" s="748"/>
      <c r="Y58" s="748">
        <f t="shared" si="3"/>
        <v>657075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183833.02157460368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15479361.384374997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73112886.045948625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-9861415.1357540768</v>
      </c>
      <c r="E87" s="749">
        <f>E80-E84-E85-E86-E88-E89-E90-E91</f>
        <v>638208.30937499553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15479361.384374997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-967710.44437499985</v>
      </c>
      <c r="K103" s="162">
        <f>J103+(C116*0.25)/2</f>
        <v>-1935420.8887499997</v>
      </c>
      <c r="L103" s="162">
        <f>K103+((C116-K103)/4)</f>
        <v>-3386986.5553124994</v>
      </c>
      <c r="M103" s="162">
        <f>L103+((C116-K103)/4)</f>
        <v>-4838552.2218749989</v>
      </c>
      <c r="N103" s="162">
        <f>M103+((C116-K103)/4)</f>
        <v>-6290117.8884374984</v>
      </c>
      <c r="O103" s="162">
        <f>N103+((C116-K103)/4)</f>
        <v>-7741683.5549999978</v>
      </c>
      <c r="P103" s="162">
        <f>O103</f>
        <v>-7741683.5549999978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9486304.5633333344</v>
      </c>
      <c r="K104" s="371">
        <f>((C117-1033493)/6)+J104</f>
        <v>18972609.126666669</v>
      </c>
      <c r="L104" s="371">
        <f>((C117-1033493)/6)+K104</f>
        <v>28458913.690000005</v>
      </c>
      <c r="M104" s="371">
        <f>((C117-1033493)/6)+L104</f>
        <v>37945218.253333338</v>
      </c>
      <c r="N104" s="371">
        <f>((C117-1033493)/6)+M104</f>
        <v>47431522.81666667</v>
      </c>
      <c r="O104" s="371">
        <f>((C117-1033493)/6)+N104</f>
        <v>56917827.380000003</v>
      </c>
      <c r="P104" s="371">
        <f>(286645+100000+646848)+O104</f>
        <v>57951320.380000003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8518594.1189583354</v>
      </c>
      <c r="K110" s="371">
        <f t="shared" ref="K110:P110" si="9">SUM(K103:K104)</f>
        <v>17037188.237916671</v>
      </c>
      <c r="L110" s="371">
        <f t="shared" si="9"/>
        <v>25071927.134687506</v>
      </c>
      <c r="M110" s="371">
        <f t="shared" si="9"/>
        <v>33106666.031458341</v>
      </c>
      <c r="N110" s="371">
        <f t="shared" si="9"/>
        <v>41141404.928229168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-7741683.5549999988</v>
      </c>
      <c r="D116" s="1769"/>
    </row>
    <row r="117" spans="2:19" ht="16.5" thickBot="1">
      <c r="B117" s="398" t="s">
        <v>602</v>
      </c>
      <c r="C117" s="1772">
        <f>C118-C114-C116-C115</f>
        <v>57951320.380000003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