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Prevailing Wage Example\"/>
    </mc:Choice>
  </mc:AlternateContent>
  <xr:revisionPtr revIDLastSave="0" documentId="13_ncr:1_{9DA031D7-9844-4AB3-B275-8FBD606AE2E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34" i="26"/>
  <c r="C21" i="26" l="1"/>
  <c r="C22" i="26" s="1"/>
  <c r="C36" i="26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F44" i="5" s="1"/>
  <c r="K46" i="5"/>
  <c r="E56" i="23"/>
  <c r="E58" i="23" s="1"/>
  <c r="E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AG44" i="5"/>
  <c r="AH44" i="5"/>
  <c r="K101" i="11"/>
  <c r="J105" i="11"/>
  <c r="J112" i="11" s="1"/>
  <c r="I88" i="15"/>
  <c r="I95" i="15"/>
  <c r="H99" i="5" l="1"/>
  <c r="H100" i="5" s="1"/>
  <c r="H98" i="5"/>
  <c r="I47" i="2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18" i="28" s="1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<sst xmlns="http://schemas.openxmlformats.org/spreadsheetml/2006/main" count="1992" uniqueCount="1105">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</sst>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8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1" workbookViewId="0">
      <selection activeCell="D28" sqref="D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129972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129972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1102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9.1249795293503383E-2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9.1249795293503411E-2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153720.77111706603</v>
      </c>
      <c r="E18" s="1754">
        <f ca="1">ABS(D18/D28)</f>
        <v>1.8785266681492984E-3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1158.9403973509934</v>
      </c>
    </row>
    <row r="22" spans="1:6">
      <c r="A22" s="64"/>
      <c r="B22" s="4" t="s">
        <v>16</v>
      </c>
      <c r="C22" s="4"/>
      <c r="D22" s="1531">
        <f>'Development Budget'!G44</f>
        <v>61886700</v>
      </c>
      <c r="E22" s="1531">
        <f t="shared" ref="E22:E28" si="0">D22/$D$10</f>
        <v>409845.6953642384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494475</v>
      </c>
      <c r="E24" s="1531">
        <f t="shared" si="0"/>
        <v>3274.6688741721855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4021490.7932186192</v>
      </c>
      <c r="E25" s="1531">
        <f t="shared" si="0"/>
        <v>26632.389359063702</v>
      </c>
    </row>
    <row r="26" spans="1:6">
      <c r="A26" s="64"/>
      <c r="B26" s="4" t="s">
        <v>20</v>
      </c>
      <c r="C26" s="4"/>
      <c r="D26" s="1531">
        <f>'Development Budget'!G181</f>
        <v>3553425</v>
      </c>
      <c r="E26" s="1531">
        <f t="shared" si="0"/>
        <v>23532.615894039736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9835686.3316957057</v>
      </c>
      <c r="E27" s="1532">
        <f t="shared" si="0"/>
        <v>65136.995574143744</v>
      </c>
    </row>
    <row r="28" spans="1:6" ht="16.5" thickTop="1">
      <c r="A28" s="4"/>
      <c r="B28" s="4"/>
      <c r="C28" s="150" t="s">
        <v>14</v>
      </c>
      <c r="D28" s="1533">
        <f>SUM(D21:D27)</f>
        <v>81830497.124914318</v>
      </c>
      <c r="E28" s="1531">
        <f t="shared" si="0"/>
        <v>541923.82201930007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53189823.131194308</v>
      </c>
      <c r="E32" s="1586">
        <f t="shared" si="1"/>
        <v>352250.4843125451</v>
      </c>
    </row>
    <row r="33" spans="1:5">
      <c r="A33" s="64"/>
      <c r="B33" s="4" t="s">
        <v>1051</v>
      </c>
      <c r="C33" s="4"/>
      <c r="D33" s="1587">
        <f>GapCalc!D29</f>
        <v>4296101.0990580013</v>
      </c>
      <c r="E33" s="1586">
        <f>D33/$D$10</f>
        <v>28451.000656013253</v>
      </c>
    </row>
    <row r="34" spans="1:5">
      <c r="A34" s="65"/>
      <c r="B34" s="4" t="s">
        <v>26</v>
      </c>
      <c r="C34" s="4"/>
      <c r="D34" s="1587">
        <f>GapCalc!D30</f>
        <v>24344572.894662015</v>
      </c>
      <c r="E34" s="1586">
        <f>D34/$D$10</f>
        <v>161222.33705074183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81830497.124914318</v>
      </c>
      <c r="E36" s="1586">
        <f>D36/$D$10</f>
        <v>541923.82201930007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61777511.572187603</v>
      </c>
      <c r="E40" s="1586">
        <f t="shared" ref="E40" si="2">D40/$D$10</f>
        <v>409122.59319329535</v>
      </c>
    </row>
    <row r="41" spans="1:5">
      <c r="A41" s="60"/>
      <c r="B41" s="4" t="s">
        <v>1051</v>
      </c>
      <c r="C41" s="4"/>
      <c r="D41" s="1591">
        <f>GapCalc!D29+GapCalc!D38</f>
        <v>4296101.0990580013</v>
      </c>
      <c r="E41" s="1586">
        <f>D41/$D$10</f>
        <v>28451.000656013253</v>
      </c>
    </row>
    <row r="42" spans="1:5">
      <c r="A42" s="60"/>
      <c r="B42" s="1557" t="s">
        <v>26</v>
      </c>
      <c r="C42" s="4"/>
      <c r="D42" s="1592">
        <f>GapCalc!D30+GapCalc!D39</f>
        <v>24344572.894662015</v>
      </c>
      <c r="E42" s="1586">
        <f>D42/$D$10</f>
        <v>161222.33705074183</v>
      </c>
    </row>
    <row r="43" spans="1:5">
      <c r="A43" s="60"/>
      <c r="B43" s="1714" t="s">
        <v>1101</v>
      </c>
      <c r="C43" s="4"/>
      <c r="D43" s="1592">
        <f>IF(D32-D40&gt;0,0,D32-D40)</f>
        <v>-8587688.4409932941</v>
      </c>
      <c r="E43" s="1586">
        <f>D43/$D$10</f>
        <v>-56872.108880750289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81830497.124914333</v>
      </c>
      <c r="E45" s="1588">
        <f>D45/$D$10</f>
        <v>541923.82201930019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5" zoomScaleNormal="100" workbookViewId="0">
      <selection activeCell="N40" sqref="N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129972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129972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1158.9403973509934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61886700</v>
      </c>
      <c r="E18" s="1531">
        <f t="shared" ref="E18:E24" si="0">D18/$D$11</f>
        <v>409845.6953642384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494475</v>
      </c>
      <c r="E20" s="1531">
        <f t="shared" si="0"/>
        <v>3274.6688741721855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4021490.7932186192</v>
      </c>
      <c r="E21" s="1531">
        <f t="shared" si="0"/>
        <v>26632.389359063702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3553425</v>
      </c>
      <c r="E22" s="1531">
        <f t="shared" si="0"/>
        <v>23532.615894039736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9835686.3316957057</v>
      </c>
      <c r="E23" s="1532">
        <f t="shared" si="0"/>
        <v>65136.995574143744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81830497.124914318</v>
      </c>
      <c r="E24" s="1531">
        <f t="shared" si="0"/>
        <v>541923.82201930007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53189823.131194308</v>
      </c>
      <c r="E28" s="1586">
        <f t="shared" si="1"/>
        <v>352250.4843125451</v>
      </c>
      <c r="F28" s="62"/>
      <c r="G28" s="1419" t="s">
        <v>608</v>
      </c>
      <c r="H28" s="1608">
        <f>H32/D11</f>
        <v>28451.000656013253</v>
      </c>
      <c r="I28" s="703"/>
    </row>
    <row r="29" spans="1:10" ht="15.75">
      <c r="A29" s="64"/>
      <c r="B29" s="4" t="s">
        <v>1051</v>
      </c>
      <c r="C29" s="4"/>
      <c r="D29" s="1587">
        <v>4296101.0990580013</v>
      </c>
      <c r="E29" s="1586">
        <f>D29/$D$11</f>
        <v>28451.000656013253</v>
      </c>
      <c r="F29" s="520"/>
      <c r="G29" s="1420" t="s">
        <v>971</v>
      </c>
      <c r="H29" s="1609">
        <f>H33/D11</f>
        <v>161222.33705074183</v>
      </c>
      <c r="I29" s="703"/>
    </row>
    <row r="30" spans="1:10" ht="16.5" thickBot="1">
      <c r="A30" s="65"/>
      <c r="B30" s="4" t="s">
        <v>26</v>
      </c>
      <c r="C30" s="4"/>
      <c r="D30" s="1587">
        <v>24344572.894662015</v>
      </c>
      <c r="E30" s="1586">
        <f>D30/$D$11</f>
        <v>161222.33705074183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4296101.0990580013</v>
      </c>
      <c r="I32" s="1346">
        <f>H32/H34</f>
        <v>0.14999999999999997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81830497.124914318</v>
      </c>
      <c r="E33" s="1586">
        <f>D33/$D$11</f>
        <v>541923.82201930007</v>
      </c>
      <c r="F33" s="62"/>
      <c r="G33" s="1441" t="s">
        <v>971</v>
      </c>
      <c r="H33" s="1611">
        <f>D30+D39</f>
        <v>24344572.894662015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28640673.993720017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0.35000000000000009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61777511.572187603</v>
      </c>
      <c r="E37" s="1586">
        <f t="shared" ref="E37" si="2">D37/$D$11</f>
        <v>409122.59319329535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0</v>
      </c>
      <c r="E38" s="1586">
        <f>D38/$D$11</f>
        <v>0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608</v>
      </c>
      <c r="H39" s="1616">
        <f>-D32*0.15</f>
        <v>0</v>
      </c>
      <c r="I39" s="1596">
        <f>D29+H39</f>
        <v>4296101.0990580013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24344572.894662015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8587688.4409932941</v>
      </c>
      <c r="E41" s="1588">
        <f>D41/$D$11</f>
        <v>56872.108880750289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61777511.572187603</v>
      </c>
      <c r="E42" s="1586">
        <f>D42/$D$11</f>
        <v>409122.59319329535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-1288153.266148994</v>
      </c>
      <c r="I43" s="1596">
        <f>D38+H43</f>
        <v>-1288153.266148994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-7299535.1748442994</v>
      </c>
      <c r="I44" s="1596">
        <f>D39+H44</f>
        <v>-7299535.1748442994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24475235.550111521</v>
      </c>
      <c r="J46" s="1582" t="s">
        <v>1083</v>
      </c>
      <c r="K46" s="1583">
        <f>'Cash Flow'!C76</f>
        <v>9.1249795293503383E-2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9265919.1233546995</v>
      </c>
      <c r="J47" s="1584" t="s">
        <v>1098</v>
      </c>
      <c r="K47" s="1607">
        <f>'Cash Flow'!C70</f>
        <v>39894633.946681775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130662.6554495059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4319159.2147255614</v>
      </c>
      <c r="J51" s="1585" t="s">
        <v>1083</v>
      </c>
      <c r="K51" s="1618">
        <f>'Cash Flow'!H76</f>
        <v>9.1249795293503411E-2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4296101.0990580013</v>
      </c>
      <c r="J52" s="1584" t="s">
        <v>1097</v>
      </c>
      <c r="K52" s="1607">
        <f>'Cash Flow'!H70</f>
        <v>7040229.520002665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23058.115667560138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153720.77111706603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32140208.92272684</v>
      </c>
      <c r="J58" s="1582" t="s">
        <v>1083</v>
      </c>
      <c r="K58" s="1583">
        <f>'Cash Flow'!C103</f>
        <v>0.1151959731260345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52388540.544044748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7795636.0280648246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4721897.7109317621</v>
      </c>
      <c r="J63" s="1585" t="s">
        <v>1083</v>
      </c>
      <c r="K63" s="1618">
        <f>'Cash Flow'!H103</f>
        <v>7.9155310625869862E-2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4296101.0990580013</v>
      </c>
      <c r="J64" s="1584" t="s">
        <v>1097</v>
      </c>
      <c r="K64" s="1607">
        <f>'Cash Flow'!H97</f>
        <v>7696693.2688187715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425796.61187376082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8221432.6399385855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2" zoomScale="130" zoomScaleNormal="130" workbookViewId="0">
      <selection activeCell="M10" sqref="M10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0.59602649006622521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0.39735099337748342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53</v>
      </c>
      <c r="E9" s="278">
        <f>IF(D9="","",D9/D$15)</f>
        <v>0.35099337748344372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90</v>
      </c>
      <c r="O9" s="332">
        <f t="shared" si="0"/>
        <v>0.59602649006622521</v>
      </c>
    </row>
    <row r="10" spans="2:19" ht="12.75" customHeight="1">
      <c r="B10" s="268"/>
      <c r="C10" s="209" t="s">
        <v>53</v>
      </c>
      <c r="D10" s="210">
        <f>SUM(E24,E33,E42,E51,E60,E78,E69,E87,E96,E116,E106)</f>
        <v>33</v>
      </c>
      <c r="E10" s="278">
        <f>IF(D10="","",D10/D$15)</f>
        <v>0.2185430463576159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65</v>
      </c>
      <c r="E11" s="278">
        <f>IF(D11="","",D11/D$15)</f>
        <v>0.43046357615894038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60</v>
      </c>
      <c r="O13" s="332">
        <f>N13/$N$18</f>
        <v>0.39735099337748342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108310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433185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0.59602649006622521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45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18000</v>
      </c>
      <c r="K41" s="292">
        <f>E41*I41</f>
        <v>87345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25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16750</v>
      </c>
      <c r="K42" s="292">
        <f>E42*I42</f>
        <v>52000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20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20000</v>
      </c>
      <c r="K43" s="292">
        <f>E43*I43</f>
        <v>49920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90</v>
      </c>
      <c r="F46" s="203"/>
      <c r="G46" s="203"/>
      <c r="H46" s="246"/>
      <c r="I46" s="247"/>
      <c r="J46" s="296">
        <f>SUM(J41:J45)</f>
        <v>54750</v>
      </c>
      <c r="K46" s="297">
        <f>SUM(K41:K45)</f>
        <v>189265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8</v>
      </c>
      <c r="F50" s="223"/>
      <c r="G50" s="308">
        <f>H9*$C$47</f>
        <v>2911.2</v>
      </c>
      <c r="H50" s="308">
        <f>$K$9</f>
        <v>0</v>
      </c>
      <c r="I50" s="228">
        <v>2400</v>
      </c>
      <c r="J50" s="284">
        <f>D50*E50</f>
        <v>3200</v>
      </c>
      <c r="K50" s="292">
        <f>E50*I50</f>
        <v>19200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8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5360</v>
      </c>
      <c r="K51" s="292">
        <f>E51*I51</f>
        <v>24960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44</v>
      </c>
      <c r="F52" s="223"/>
      <c r="G52" s="308">
        <f>H11*$C$47</f>
        <v>3744</v>
      </c>
      <c r="H52" s="228">
        <f>$K$11</f>
        <v>0</v>
      </c>
      <c r="I52" s="228">
        <v>4540</v>
      </c>
      <c r="J52" s="284">
        <f>D52*E52</f>
        <v>44000</v>
      </c>
      <c r="K52" s="292">
        <f>E52*I52</f>
        <v>199760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60</v>
      </c>
      <c r="F55" s="247"/>
      <c r="G55" s="247"/>
      <c r="H55" s="246"/>
      <c r="I55" s="247"/>
      <c r="J55" s="296">
        <f>SUM(J50:J54)</f>
        <v>52560</v>
      </c>
      <c r="K55" s="297">
        <f>SUM(K50:K54)</f>
        <v>243920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5" zoomScaleNormal="100" workbookViewId="0">
      <selection activeCell="E34" sqref="E34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8587688.4409932941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9815000</v>
      </c>
      <c r="N18" s="1674"/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1158.9403973509934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49389360</v>
      </c>
      <c r="H32" s="1039"/>
      <c r="I32" s="950">
        <f t="shared" si="0"/>
        <v>327081.85430463578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54328296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380</v>
      </c>
      <c r="F33" s="1064">
        <f>E33*'Construction Calculation'!C14</f>
        <v>49389360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4938936</v>
      </c>
      <c r="G36" s="854">
        <f>F36</f>
        <v>4938936</v>
      </c>
      <c r="H36" s="950"/>
      <c r="I36" s="950">
        <f t="shared" si="0"/>
        <v>32708.185430463574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3457255.2</v>
      </c>
      <c r="H37" s="1072"/>
      <c r="I37" s="950">
        <f t="shared" si="0"/>
        <v>22895.729801324505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3457255.2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2469468</v>
      </c>
      <c r="H38" s="1072"/>
      <c r="I38" s="950">
        <f t="shared" si="0"/>
        <v>16354.092715231787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2469468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740840.4</v>
      </c>
      <c r="H40" s="1072"/>
      <c r="I40" s="950">
        <f t="shared" si="0"/>
        <v>4906.2278145695363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740840.4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740840.4</v>
      </c>
      <c r="H41" s="1072"/>
      <c r="I41" s="950">
        <f t="shared" si="0"/>
        <v>4906.2278145695363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740840.4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61886700</v>
      </c>
      <c r="H44" s="1324"/>
      <c r="I44" s="1325">
        <f t="shared" si="0"/>
        <v>409845.6953642384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61886700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61886700</v>
      </c>
      <c r="H46" s="1333"/>
      <c r="I46" s="1325">
        <f t="shared" si="0"/>
        <v>409845.6953642384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61886700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6188670</v>
      </c>
      <c r="H47" s="1039"/>
      <c r="I47" s="950">
        <f t="shared" si="0"/>
        <v>40984.569536423842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6188670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1518003.25</v>
      </c>
      <c r="H59" s="1128"/>
      <c r="I59" s="950">
        <f t="shared" si="0"/>
        <v>10053.001655629139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154716.75</v>
      </c>
      <c r="H67" s="1039"/>
      <c r="I67" s="950">
        <f t="shared" si="0"/>
        <v>1024.614238410596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154716.75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345716.75</v>
      </c>
      <c r="H80" s="1101"/>
      <c r="I80" s="950">
        <f t="shared" si="0"/>
        <v>2289.5149006622519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345716.75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394475</v>
      </c>
      <c r="H90" s="1111"/>
      <c r="I90" s="950">
        <f t="shared" si="3"/>
        <v>2612.4172185430461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394475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/>
      <c r="G91" s="1110">
        <v>100000</v>
      </c>
      <c r="H91" s="1111"/>
      <c r="I91" s="950">
        <f t="shared" si="3"/>
        <v>662.25165562913912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/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/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/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1779837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494475</v>
      </c>
      <c r="H97" s="1101"/>
      <c r="I97" s="950">
        <f t="shared" si="3"/>
        <v>3274.6688741721855</v>
      </c>
      <c r="J97" s="1102"/>
      <c r="K97" s="1166">
        <f>I97/I250</f>
        <v>6.0426737875633775E-3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494475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246217.89320770215</v>
      </c>
      <c r="H102" s="1111"/>
      <c r="I102" s="950">
        <f t="shared" si="3"/>
        <v>1630.5820742231931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246217.89320770215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231217.89320770215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2437733.0652749212</v>
      </c>
      <c r="N103" s="1172">
        <v>4624357.8641540427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246217.89320770215</v>
      </c>
      <c r="H114" s="1101"/>
      <c r="I114" s="950">
        <f t="shared" si="3"/>
        <v>1630.5820742231931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246217.89320770215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2351450.4421853353</v>
      </c>
      <c r="H116" s="1177"/>
      <c r="I116" s="950">
        <f t="shared" si="3"/>
        <v>15572.519484671095</v>
      </c>
      <c r="J116" s="1178"/>
      <c r="K116" s="1179" t="s">
        <v>822</v>
      </c>
      <c r="L116" s="1073"/>
      <c r="M116" s="1180">
        <f>0.5*Data!C20*Data!C17/12*Data!C19</f>
        <v>2127592.9252477726</v>
      </c>
      <c r="N116" s="1181">
        <v>2351450.4421853353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2351450.4421853353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587862.61054633383</v>
      </c>
      <c r="H117" s="1094"/>
      <c r="I117" s="950">
        <f t="shared" si="3"/>
        <v>3893.1298711677737</v>
      </c>
      <c r="J117" s="1015"/>
      <c r="K117" s="1184" t="s">
        <v>824</v>
      </c>
      <c r="L117" s="1185"/>
      <c r="M117" s="1186">
        <f>0.01*Data!C20</f>
        <v>531898.23131194315</v>
      </c>
      <c r="N117" s="1172">
        <v>587862.61054633383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587862.61054633383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858598.3489049999</v>
      </c>
      <c r="H121" s="1117"/>
      <c r="I121" s="950">
        <f t="shared" si="3"/>
        <v>5686.0817808278143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858598.3489049999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858598.3489049999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98179.391581950069</v>
      </c>
      <c r="H125" s="1111"/>
      <c r="I125" s="950">
        <f t="shared" si="3"/>
        <v>650.19464623807994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98179.391581950069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88179.391581950069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79784.734696791464</v>
      </c>
      <c r="N126" s="1172">
        <v>88179.391581950069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3911490.7932186192</v>
      </c>
      <c r="H148" s="1128"/>
      <c r="I148" s="950">
        <f t="shared" si="6"/>
        <v>25903.912537871649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3911490.7932186192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731177.79427903413</v>
      </c>
      <c r="H151" s="1093"/>
      <c r="I151" s="950">
        <f t="shared" ref="I151:I158" si="7">G151/$F$9</f>
        <v>4842.2370482055239</v>
      </c>
      <c r="J151" s="1094"/>
      <c r="K151" s="1244" t="s">
        <v>862</v>
      </c>
      <c r="L151" s="1245"/>
      <c r="M151" s="1558">
        <f>Data!C31*Data!C30</f>
        <v>617775.11572187603</v>
      </c>
      <c r="N151" s="1345">
        <v>731177.79427903413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4787084.0818074876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3553425</v>
      </c>
      <c r="H178" s="1093"/>
      <c r="I178" s="950">
        <f t="shared" si="6"/>
        <v>23532.615894039736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3553425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3553425</v>
      </c>
      <c r="H181" s="1128"/>
      <c r="I181" s="950">
        <f t="shared" si="6"/>
        <v>23532.615894039736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3553425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456253.7718213161</v>
      </c>
      <c r="H233" s="1111"/>
      <c r="I233" s="950">
        <f t="shared" si="8"/>
        <v>3021.5481577570604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456253.7718213161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895003.7718213161</v>
      </c>
      <c r="H234" s="1282"/>
      <c r="I234" s="950">
        <f t="shared" si="8"/>
        <v>5927.1772968299083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895003.7718213161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81830497.124914318</v>
      </c>
      <c r="H250" s="1298"/>
      <c r="I250" s="1299">
        <f>G250/F9</f>
        <v>541923.82201930007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629.600968861865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129972</v>
      </c>
      <c r="D5" t="s">
        <v>427</v>
      </c>
      <c r="G5" s="510"/>
    </row>
    <row r="6" spans="1:15">
      <c r="B6" s="1350" t="s">
        <v>12</v>
      </c>
      <c r="C6" s="700">
        <f>'Construction Calculation'!C14</f>
        <v>129972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21662</v>
      </c>
      <c r="D8" t="s">
        <v>427</v>
      </c>
      <c r="G8" s="510"/>
    </row>
    <row r="9" spans="1:15">
      <c r="B9" s="1350" t="s">
        <v>429</v>
      </c>
      <c r="C9" s="700">
        <f>'Construction Calculation'!C47</f>
        <v>75.5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1099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53189823.131194308</v>
      </c>
      <c r="D20" s="1375">
        <f>MIN(D22,GapCalc!D24)</f>
        <v>53189823.131194308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53189823.131194308</v>
      </c>
      <c r="G22" s="147"/>
    </row>
    <row r="23" spans="1:13">
      <c r="A23" s="1430" t="s">
        <v>438</v>
      </c>
      <c r="B23" s="1370"/>
      <c r="C23" s="1370" t="s">
        <v>68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0.04</v>
      </c>
      <c r="D24" s="1425">
        <f>PMT(C24/12,C25*12,C30)*12</f>
        <v>-3326925.0000000419</v>
      </c>
      <c r="E24" s="1384"/>
      <c r="G24" s="1377"/>
      <c r="H24" s="1385"/>
      <c r="K24" s="1425"/>
    </row>
    <row r="25" spans="1:13">
      <c r="A25" s="1371"/>
      <c r="B25" t="s">
        <v>1100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3326925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59323320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61777511.572187603</v>
      </c>
      <c r="D30" s="1376">
        <f>-PV($C$24/12,$C$29*12,C27/12)</f>
        <v>61777511.572187603</v>
      </c>
      <c r="E30" s="1384"/>
      <c r="F30" t="s">
        <v>437</v>
      </c>
      <c r="G30" s="1381"/>
      <c r="H30" s="1376">
        <f>PV(G23,G29,-'Cash Flow'!E41*H28,)</f>
        <v>5363461.1708985679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1100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3326925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0</v>
      </c>
      <c r="D38" s="516" t="s">
        <v>1038</v>
      </c>
      <c r="E38" s="1391">
        <f>C37*GapCalc!D24</f>
        <v>65464397.699931458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54717147.827962577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D28" sqref="D28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5198220</v>
      </c>
      <c r="F12" s="89">
        <f>E12*(1+$D$12)</f>
        <v>5328175.5</v>
      </c>
      <c r="G12" s="89">
        <f t="shared" ref="G12:AH12" si="0">F12*(1+$D$12)</f>
        <v>5461379.8874999993</v>
      </c>
      <c r="H12" s="89">
        <f t="shared" si="0"/>
        <v>5597914.3846874991</v>
      </c>
      <c r="I12" s="89">
        <f t="shared" si="0"/>
        <v>5737862.2443046859</v>
      </c>
      <c r="J12" s="89">
        <f t="shared" si="0"/>
        <v>5881308.8004123028</v>
      </c>
      <c r="K12" s="89">
        <f t="shared" si="0"/>
        <v>6028341.5204226095</v>
      </c>
      <c r="L12" s="89">
        <f t="shared" si="0"/>
        <v>6179050.0584331742</v>
      </c>
      <c r="M12" s="89">
        <f t="shared" si="0"/>
        <v>6333526.309894003</v>
      </c>
      <c r="N12" s="89">
        <f t="shared" si="0"/>
        <v>6491864.4676413527</v>
      </c>
      <c r="O12" s="89">
        <f t="shared" si="0"/>
        <v>6654161.0793323861</v>
      </c>
      <c r="P12" s="89">
        <f t="shared" si="0"/>
        <v>6820515.1063156947</v>
      </c>
      <c r="Q12" s="89">
        <f t="shared" si="0"/>
        <v>6991027.9839735869</v>
      </c>
      <c r="R12" s="89">
        <f t="shared" si="0"/>
        <v>7165803.6835729256</v>
      </c>
      <c r="S12" s="90">
        <f t="shared" si="0"/>
        <v>7344948.775662248</v>
      </c>
      <c r="T12" s="89">
        <f t="shared" si="0"/>
        <v>7528572.4950538035</v>
      </c>
      <c r="U12" s="89">
        <f t="shared" si="0"/>
        <v>7716786.8074301481</v>
      </c>
      <c r="V12" s="89">
        <f t="shared" si="0"/>
        <v>7909706.4776159013</v>
      </c>
      <c r="W12" s="89">
        <f t="shared" si="0"/>
        <v>8107449.139556298</v>
      </c>
      <c r="X12" s="89">
        <f t="shared" si="0"/>
        <v>8310135.3680452043</v>
      </c>
      <c r="Y12" s="89">
        <f t="shared" si="0"/>
        <v>8517888.7522463333</v>
      </c>
      <c r="Z12" s="89">
        <f t="shared" si="0"/>
        <v>8730835.9710524902</v>
      </c>
      <c r="AA12" s="89">
        <f t="shared" si="0"/>
        <v>8949106.8703288008</v>
      </c>
      <c r="AB12" s="89">
        <f t="shared" si="0"/>
        <v>9172834.5420870204</v>
      </c>
      <c r="AC12" s="89">
        <f t="shared" si="0"/>
        <v>9402155.4056391958</v>
      </c>
      <c r="AD12" s="89">
        <f t="shared" si="0"/>
        <v>9637209.2907801755</v>
      </c>
      <c r="AE12" s="89">
        <f t="shared" si="0"/>
        <v>9878139.5230496787</v>
      </c>
      <c r="AF12" s="89">
        <f t="shared" si="0"/>
        <v>10125093.01112592</v>
      </c>
      <c r="AG12" s="89">
        <f t="shared" si="0"/>
        <v>10378220.336404067</v>
      </c>
      <c r="AH12" s="89">
        <f t="shared" si="0"/>
        <v>10637675.844814166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-260190</v>
      </c>
      <c r="F14" s="100">
        <f t="shared" ref="F14:AH14" si="2">-((F12+F13)*$C$14)</f>
        <v>-266694.75</v>
      </c>
      <c r="G14" s="100">
        <f t="shared" si="2"/>
        <v>-273362.11874999997</v>
      </c>
      <c r="H14" s="100">
        <f t="shared" si="2"/>
        <v>-280196.17171874997</v>
      </c>
      <c r="I14" s="100">
        <f t="shared" si="2"/>
        <v>-287201.07601171866</v>
      </c>
      <c r="J14" s="100">
        <f t="shared" si="2"/>
        <v>-294381.10291201161</v>
      </c>
      <c r="K14" s="100">
        <f t="shared" si="2"/>
        <v>-301740.6304848119</v>
      </c>
      <c r="L14" s="100">
        <f t="shared" si="2"/>
        <v>-309284.14624693216</v>
      </c>
      <c r="M14" s="100">
        <f t="shared" si="2"/>
        <v>-317016.24990310543</v>
      </c>
      <c r="N14" s="100">
        <f t="shared" si="2"/>
        <v>-324941.65615068306</v>
      </c>
      <c r="O14" s="100">
        <f t="shared" si="2"/>
        <v>-333065.19755445013</v>
      </c>
      <c r="P14" s="100">
        <f t="shared" si="2"/>
        <v>-341391.82749331131</v>
      </c>
      <c r="Q14" s="100">
        <f t="shared" si="2"/>
        <v>-349926.62318064412</v>
      </c>
      <c r="R14" s="100">
        <f t="shared" si="2"/>
        <v>-358674.7887601601</v>
      </c>
      <c r="S14" s="101">
        <f t="shared" si="2"/>
        <v>-367641.65847916412</v>
      </c>
      <c r="T14" s="100">
        <f t="shared" si="2"/>
        <v>-376832.69994114316</v>
      </c>
      <c r="U14" s="100">
        <f t="shared" si="2"/>
        <v>-386253.51743967173</v>
      </c>
      <c r="V14" s="100">
        <f t="shared" si="2"/>
        <v>-395909.85537566349</v>
      </c>
      <c r="W14" s="100">
        <f t="shared" si="2"/>
        <v>-405807.60176005505</v>
      </c>
      <c r="X14" s="100">
        <f t="shared" si="2"/>
        <v>-415952.79180405638</v>
      </c>
      <c r="Y14" s="100">
        <f t="shared" si="2"/>
        <v>-426351.61159915768</v>
      </c>
      <c r="Z14" s="100">
        <f t="shared" si="2"/>
        <v>-437010.40188913653</v>
      </c>
      <c r="AA14" s="100">
        <f t="shared" si="2"/>
        <v>-447935.66193636489</v>
      </c>
      <c r="AB14" s="100">
        <f t="shared" si="2"/>
        <v>-459134.05348477402</v>
      </c>
      <c r="AC14" s="100">
        <f t="shared" si="2"/>
        <v>-470612.40482189332</v>
      </c>
      <c r="AD14" s="100">
        <f t="shared" si="2"/>
        <v>-482377.71494244068</v>
      </c>
      <c r="AE14" s="100">
        <f t="shared" si="2"/>
        <v>-494437.15781600162</v>
      </c>
      <c r="AF14" s="100">
        <f t="shared" si="2"/>
        <v>-506798.08676140162</v>
      </c>
      <c r="AG14" s="100">
        <f t="shared" si="2"/>
        <v>-519468.0389304366</v>
      </c>
      <c r="AH14" s="100">
        <f t="shared" si="2"/>
        <v>-532454.73990369739</v>
      </c>
    </row>
    <row r="15" spans="1:34">
      <c r="A15" s="76"/>
      <c r="B15" s="102" t="s">
        <v>311</v>
      </c>
      <c r="C15" s="76"/>
      <c r="D15" s="76"/>
      <c r="E15" s="95">
        <f>SUM(E12:E14)</f>
        <v>4943610</v>
      </c>
      <c r="F15" s="95">
        <f t="shared" ref="F15:AH15" si="3">SUM(F12:F14)</f>
        <v>5067200.25</v>
      </c>
      <c r="G15" s="103">
        <f t="shared" si="3"/>
        <v>5193880.2562499987</v>
      </c>
      <c r="H15" s="104">
        <f t="shared" si="3"/>
        <v>5323727.2626562491</v>
      </c>
      <c r="I15" s="104">
        <f t="shared" si="3"/>
        <v>5456820.4442226551</v>
      </c>
      <c r="J15" s="95">
        <f t="shared" si="3"/>
        <v>5593240.9553282205</v>
      </c>
      <c r="K15" s="103">
        <f t="shared" si="3"/>
        <v>5733071.9792114254</v>
      </c>
      <c r="L15" s="95">
        <f t="shared" si="3"/>
        <v>5876398.77869171</v>
      </c>
      <c r="M15" s="95">
        <f t="shared" si="3"/>
        <v>6023308.7481590034</v>
      </c>
      <c r="N15" s="95">
        <f t="shared" si="3"/>
        <v>6173891.4668629775</v>
      </c>
      <c r="O15" s="95">
        <f t="shared" si="3"/>
        <v>6328238.7535345517</v>
      </c>
      <c r="P15" s="95">
        <f t="shared" si="3"/>
        <v>6486444.7223729147</v>
      </c>
      <c r="Q15" s="95">
        <f t="shared" si="3"/>
        <v>6648605.8404322378</v>
      </c>
      <c r="R15" s="95">
        <f t="shared" si="3"/>
        <v>6814820.9864430418</v>
      </c>
      <c r="S15" s="96">
        <f t="shared" si="3"/>
        <v>6985191.5111041171</v>
      </c>
      <c r="T15" s="95">
        <f t="shared" si="3"/>
        <v>7159821.2988817198</v>
      </c>
      <c r="U15" s="95">
        <f t="shared" si="3"/>
        <v>7338816.8313537622</v>
      </c>
      <c r="V15" s="95">
        <f t="shared" si="3"/>
        <v>7522287.252137606</v>
      </c>
      <c r="W15" s="95">
        <f t="shared" si="3"/>
        <v>7710344.4334410457</v>
      </c>
      <c r="X15" s="95">
        <f t="shared" si="3"/>
        <v>7903103.0442770701</v>
      </c>
      <c r="Y15" s="95">
        <f t="shared" si="3"/>
        <v>8100680.6203839956</v>
      </c>
      <c r="Z15" s="95">
        <f t="shared" si="3"/>
        <v>8303197.6358935945</v>
      </c>
      <c r="AA15" s="95">
        <f t="shared" si="3"/>
        <v>8510777.5767909326</v>
      </c>
      <c r="AB15" s="95">
        <f t="shared" si="3"/>
        <v>8723547.0162107069</v>
      </c>
      <c r="AC15" s="95">
        <f t="shared" si="3"/>
        <v>8941635.6916159727</v>
      </c>
      <c r="AD15" s="95">
        <f t="shared" si="3"/>
        <v>9165176.583906373</v>
      </c>
      <c r="AE15" s="95">
        <f t="shared" si="3"/>
        <v>9394305.9985040296</v>
      </c>
      <c r="AF15" s="95">
        <f t="shared" si="3"/>
        <v>9629163.6484666299</v>
      </c>
      <c r="AG15" s="95">
        <f t="shared" si="3"/>
        <v>9869892.7396782953</v>
      </c>
      <c r="AH15" s="95">
        <f t="shared" si="3"/>
        <v>10116640.05817025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314</v>
      </c>
      <c r="C19" s="1713" t="s">
        <v>1103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3992310</v>
      </c>
      <c r="F21" s="95">
        <f t="shared" si="8"/>
        <v>4084190.25</v>
      </c>
      <c r="G21" s="95">
        <f t="shared" si="8"/>
        <v>4178050.4062499991</v>
      </c>
      <c r="H21" s="95">
        <f t="shared" si="8"/>
        <v>4273928.8679062491</v>
      </c>
      <c r="I21" s="95">
        <f t="shared" si="8"/>
        <v>4371864.6056564059</v>
      </c>
      <c r="J21" s="95">
        <f t="shared" si="8"/>
        <v>4471897.1624121517</v>
      </c>
      <c r="K21" s="95">
        <f t="shared" si="8"/>
        <v>4574066.6535432953</v>
      </c>
      <c r="L21" s="95">
        <f t="shared" si="8"/>
        <v>4678413.7666251948</v>
      </c>
      <c r="M21" s="95">
        <f t="shared" si="8"/>
        <v>4784979.7606701609</v>
      </c>
      <c r="N21" s="95">
        <f t="shared" si="8"/>
        <v>4893806.4648120254</v>
      </c>
      <c r="O21" s="95">
        <f t="shared" si="8"/>
        <v>5004936.2764118165</v>
      </c>
      <c r="P21" s="95">
        <f t="shared" si="8"/>
        <v>5118412.1585508836</v>
      </c>
      <c r="Q21" s="95">
        <f t="shared" si="8"/>
        <v>5234277.636876436</v>
      </c>
      <c r="R21" s="95">
        <f t="shared" si="8"/>
        <v>5352576.7957627866</v>
      </c>
      <c r="S21" s="96">
        <f t="shared" si="8"/>
        <v>5473354.2737500537</v>
      </c>
      <c r="T21" s="95">
        <f t="shared" si="8"/>
        <v>5596655.2582202638</v>
      </c>
      <c r="U21" s="95">
        <f t="shared" si="8"/>
        <v>5722525.4792691553</v>
      </c>
      <c r="V21" s="95">
        <f t="shared" si="8"/>
        <v>5851011.2027300382</v>
      </c>
      <c r="W21" s="95">
        <f t="shared" si="8"/>
        <v>5982159.2223042129</v>
      </c>
      <c r="X21" s="95">
        <f t="shared" si="8"/>
        <v>6116016.8507504482</v>
      </c>
      <c r="Y21" s="95">
        <f t="shared" si="8"/>
        <v>6252631.9100839421</v>
      </c>
      <c r="Z21" s="95">
        <f t="shared" si="8"/>
        <v>6392052.7207330391</v>
      </c>
      <c r="AA21" s="95">
        <f t="shared" si="8"/>
        <v>6534328.0895997584</v>
      </c>
      <c r="AB21" s="95">
        <f t="shared" si="8"/>
        <v>6679507.2969678417</v>
      </c>
      <c r="AC21" s="95">
        <f t="shared" si="8"/>
        <v>6827640.082199607</v>
      </c>
      <c r="AD21" s="95">
        <f t="shared" si="8"/>
        <v>6978776.6281604348</v>
      </c>
      <c r="AE21" s="95">
        <f t="shared" si="8"/>
        <v>7132967.5443069842</v>
      </c>
      <c r="AF21" s="95">
        <f t="shared" si="8"/>
        <v>7290263.8483726876</v>
      </c>
      <c r="AG21" s="95">
        <f t="shared" si="8"/>
        <v>7450716.9465810657</v>
      </c>
      <c r="AH21" s="95">
        <f t="shared" si="8"/>
        <v>7614378.6123146173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-3326925</v>
      </c>
      <c r="F22" s="95">
        <f t="shared" ref="F22:AH22" si="9">$E$22</f>
        <v>-3326925</v>
      </c>
      <c r="G22" s="95">
        <f t="shared" si="9"/>
        <v>-3326925</v>
      </c>
      <c r="H22" s="95">
        <f t="shared" si="9"/>
        <v>-3326925</v>
      </c>
      <c r="I22" s="95">
        <f t="shared" si="9"/>
        <v>-3326925</v>
      </c>
      <c r="J22" s="95">
        <f t="shared" si="9"/>
        <v>-3326925</v>
      </c>
      <c r="K22" s="95">
        <f t="shared" si="9"/>
        <v>-3326925</v>
      </c>
      <c r="L22" s="95">
        <f t="shared" si="9"/>
        <v>-3326925</v>
      </c>
      <c r="M22" s="95">
        <f t="shared" si="9"/>
        <v>-3326925</v>
      </c>
      <c r="N22" s="95">
        <f t="shared" si="9"/>
        <v>-3326925</v>
      </c>
      <c r="O22" s="95">
        <f t="shared" si="9"/>
        <v>-3326925</v>
      </c>
      <c r="P22" s="95">
        <f t="shared" si="9"/>
        <v>-3326925</v>
      </c>
      <c r="Q22" s="95">
        <f t="shared" si="9"/>
        <v>-3326925</v>
      </c>
      <c r="R22" s="95">
        <f t="shared" si="9"/>
        <v>-3326925</v>
      </c>
      <c r="S22" s="96">
        <f t="shared" si="9"/>
        <v>-3326925</v>
      </c>
      <c r="T22" s="95">
        <f t="shared" si="9"/>
        <v>-3326925</v>
      </c>
      <c r="U22" s="95">
        <f t="shared" si="9"/>
        <v>-3326925</v>
      </c>
      <c r="V22" s="95">
        <f t="shared" si="9"/>
        <v>-3326925</v>
      </c>
      <c r="W22" s="95">
        <f t="shared" si="9"/>
        <v>-3326925</v>
      </c>
      <c r="X22" s="95">
        <f t="shared" si="9"/>
        <v>-3326925</v>
      </c>
      <c r="Y22" s="95">
        <f t="shared" si="9"/>
        <v>-3326925</v>
      </c>
      <c r="Z22" s="95">
        <f t="shared" si="9"/>
        <v>-3326925</v>
      </c>
      <c r="AA22" s="95">
        <f t="shared" si="9"/>
        <v>-3326925</v>
      </c>
      <c r="AB22" s="95">
        <f t="shared" si="9"/>
        <v>-3326925</v>
      </c>
      <c r="AC22" s="95">
        <f t="shared" si="9"/>
        <v>-3326925</v>
      </c>
      <c r="AD22" s="95">
        <f t="shared" si="9"/>
        <v>-3326925</v>
      </c>
      <c r="AE22" s="95">
        <f t="shared" si="9"/>
        <v>-3326925</v>
      </c>
      <c r="AF22" s="95">
        <f t="shared" si="9"/>
        <v>-3326925</v>
      </c>
      <c r="AG22" s="95">
        <f t="shared" si="9"/>
        <v>-3326925</v>
      </c>
      <c r="AH22" s="95">
        <f t="shared" si="9"/>
        <v>-3326925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665385</v>
      </c>
      <c r="F25" s="119">
        <f t="shared" ref="F25:AH25" si="11">+F21+F22+F23</f>
        <v>757265.25</v>
      </c>
      <c r="G25" s="119">
        <f t="shared" si="11"/>
        <v>851125.40624999907</v>
      </c>
      <c r="H25" s="119">
        <f t="shared" si="11"/>
        <v>947003.86790624913</v>
      </c>
      <c r="I25" s="119">
        <f t="shared" si="11"/>
        <v>1044939.6056564059</v>
      </c>
      <c r="J25" s="119">
        <f t="shared" si="11"/>
        <v>1144972.1624121517</v>
      </c>
      <c r="K25" s="119">
        <f t="shared" si="11"/>
        <v>1247141.6535432953</v>
      </c>
      <c r="L25" s="119">
        <f t="shared" si="11"/>
        <v>1351488.7666251948</v>
      </c>
      <c r="M25" s="119">
        <f t="shared" si="11"/>
        <v>1458054.7606701609</v>
      </c>
      <c r="N25" s="119">
        <f t="shared" si="11"/>
        <v>1566881.4648120254</v>
      </c>
      <c r="O25" s="119">
        <f t="shared" si="11"/>
        <v>1678011.2764118165</v>
      </c>
      <c r="P25" s="119">
        <f t="shared" si="11"/>
        <v>1791487.1585508836</v>
      </c>
      <c r="Q25" s="119">
        <f t="shared" si="11"/>
        <v>1907352.636876436</v>
      </c>
      <c r="R25" s="119">
        <f t="shared" si="11"/>
        <v>2025651.7957627866</v>
      </c>
      <c r="S25" s="160">
        <f t="shared" si="11"/>
        <v>2146429.2737500537</v>
      </c>
      <c r="T25" s="119">
        <f t="shared" si="11"/>
        <v>2269730.2582202638</v>
      </c>
      <c r="U25" s="119">
        <f t="shared" si="11"/>
        <v>2395600.4792691553</v>
      </c>
      <c r="V25" s="119">
        <f t="shared" si="11"/>
        <v>2524086.2027300382</v>
      </c>
      <c r="W25" s="119">
        <f t="shared" si="11"/>
        <v>2655234.2223042129</v>
      </c>
      <c r="X25" s="119">
        <f t="shared" si="11"/>
        <v>2789091.8507504482</v>
      </c>
      <c r="Y25" s="119">
        <f t="shared" si="11"/>
        <v>2925706.9100839421</v>
      </c>
      <c r="Z25" s="119">
        <f t="shared" si="11"/>
        <v>3065127.7207330391</v>
      </c>
      <c r="AA25" s="119">
        <f t="shared" si="11"/>
        <v>3207403.0895997584</v>
      </c>
      <c r="AB25" s="119">
        <f t="shared" si="11"/>
        <v>3352582.2969678417</v>
      </c>
      <c r="AC25" s="119">
        <f t="shared" si="11"/>
        <v>3500715.082199607</v>
      </c>
      <c r="AD25" s="119">
        <f t="shared" si="11"/>
        <v>3651851.6281604348</v>
      </c>
      <c r="AE25" s="119">
        <f t="shared" si="11"/>
        <v>3806042.5443069842</v>
      </c>
      <c r="AF25" s="119">
        <f t="shared" si="11"/>
        <v>3963338.8483726876</v>
      </c>
      <c r="AG25" s="119">
        <f t="shared" si="11"/>
        <v>4123791.9465810657</v>
      </c>
      <c r="AH25" s="119">
        <f t="shared" si="11"/>
        <v>4287453.6123146173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1.2276171690074167</v>
      </c>
      <c r="G27" s="122">
        <f t="shared" si="12"/>
        <v>1.2558294540003154</v>
      </c>
      <c r="H27" s="122">
        <f t="shared" si="12"/>
        <v>1.2846483969149438</v>
      </c>
      <c r="I27" s="122">
        <f t="shared" si="12"/>
        <v>1.3140857114772369</v>
      </c>
      <c r="J27" s="122">
        <f t="shared" si="12"/>
        <v>1.3441532834110033</v>
      </c>
      <c r="K27" s="122">
        <f t="shared" si="12"/>
        <v>1.3748631705082908</v>
      </c>
      <c r="L27" s="122">
        <f t="shared" si="12"/>
        <v>1.4062276025534675</v>
      </c>
      <c r="M27" s="122">
        <f t="shared" si="12"/>
        <v>1.438258981092198</v>
      </c>
      <c r="N27" s="122">
        <f t="shared" si="12"/>
        <v>1.4709698790360544</v>
      </c>
      <c r="O27" s="122">
        <f t="shared" si="12"/>
        <v>1.5043730400931239</v>
      </c>
      <c r="P27" s="122">
        <f t="shared" si="12"/>
        <v>1.5384813780144979</v>
      </c>
      <c r="Q27" s="122">
        <f t="shared" si="12"/>
        <v>1.5733079756461104</v>
      </c>
      <c r="R27" s="122">
        <f t="shared" si="12"/>
        <v>1.6088660837748932</v>
      </c>
      <c r="S27" s="161">
        <f t="shared" si="12"/>
        <v>1.6451691197577505</v>
      </c>
      <c r="T27" s="122">
        <f t="shared" si="12"/>
        <v>1.6822306659213129</v>
      </c>
      <c r="U27" s="122">
        <f t="shared" si="12"/>
        <v>1.7200644677199382</v>
      </c>
      <c r="V27" s="122">
        <f t="shared" si="12"/>
        <v>1.758684431638837</v>
      </c>
      <c r="W27" s="122">
        <f t="shared" si="12"/>
        <v>1.7981046228286519</v>
      </c>
      <c r="X27" s="122">
        <f t="shared" si="12"/>
        <v>1.8383392624572084</v>
      </c>
      <c r="Y27" s="122">
        <f t="shared" si="12"/>
        <v>1.8794027247635405</v>
      </c>
      <c r="Z27" s="122">
        <f t="shared" si="12"/>
        <v>1.9213095337986397</v>
      </c>
      <c r="AA27" s="122">
        <f t="shared" si="12"/>
        <v>1.9640743598367136</v>
      </c>
      <c r="AB27" s="122">
        <f t="shared" si="12"/>
        <v>2.0077120154400361</v>
      </c>
      <c r="AC27" s="122">
        <f t="shared" si="12"/>
        <v>2.0522374511597365</v>
      </c>
      <c r="AD27" s="122">
        <f t="shared" si="12"/>
        <v>2.0976657508541474</v>
      </c>
      <c r="AE27" s="122">
        <f t="shared" si="12"/>
        <v>2.1440121266054941</v>
      </c>
      <c r="AF27" s="122">
        <f t="shared" si="12"/>
        <v>2.191291913214962</v>
      </c>
      <c r="AG27" s="122">
        <f t="shared" si="12"/>
        <v>2.2395205622552554</v>
      </c>
      <c r="AH27" s="122">
        <f t="shared" si="12"/>
        <v>2.2887136356589397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665385</v>
      </c>
      <c r="F41" s="129">
        <f t="shared" ref="F41:S41" si="20">F25+F37</f>
        <v>757265.25</v>
      </c>
      <c r="G41" s="129">
        <f t="shared" si="20"/>
        <v>851125.40624999907</v>
      </c>
      <c r="H41" s="129">
        <f t="shared" si="20"/>
        <v>947003.86790624913</v>
      </c>
      <c r="I41" s="129">
        <f t="shared" si="20"/>
        <v>1044939.6056564059</v>
      </c>
      <c r="J41" s="129">
        <f t="shared" si="20"/>
        <v>1144972.1624121517</v>
      </c>
      <c r="K41" s="129">
        <f t="shared" si="20"/>
        <v>1247141.6535432953</v>
      </c>
      <c r="L41" s="129">
        <f t="shared" si="20"/>
        <v>1351488.7666251948</v>
      </c>
      <c r="M41" s="129">
        <f t="shared" si="20"/>
        <v>1458054.7606701609</v>
      </c>
      <c r="N41" s="129">
        <f t="shared" si="20"/>
        <v>1566881.4648120254</v>
      </c>
      <c r="O41" s="129">
        <f t="shared" si="20"/>
        <v>1678011.2764118165</v>
      </c>
      <c r="P41" s="129">
        <f t="shared" si="20"/>
        <v>1791487.1585508836</v>
      </c>
      <c r="Q41" s="129">
        <f t="shared" si="20"/>
        <v>1907352.636876436</v>
      </c>
      <c r="R41" s="129">
        <f t="shared" si="20"/>
        <v>2025651.7957627866</v>
      </c>
      <c r="S41" s="130">
        <f t="shared" si="20"/>
        <v>2146429.2737500537</v>
      </c>
      <c r="T41" s="130">
        <f t="shared" ref="T41:AH41" si="21">T25+T37</f>
        <v>2269730.2582202638</v>
      </c>
      <c r="U41" s="130">
        <f t="shared" si="21"/>
        <v>2395600.4792691553</v>
      </c>
      <c r="V41" s="130">
        <f t="shared" si="21"/>
        <v>2524086.2027300382</v>
      </c>
      <c r="W41" s="130">
        <f t="shared" si="21"/>
        <v>2655234.2223042129</v>
      </c>
      <c r="X41" s="130">
        <f t="shared" si="21"/>
        <v>2789091.8507504482</v>
      </c>
      <c r="Y41" s="130">
        <f t="shared" si="21"/>
        <v>2925706.9100839421</v>
      </c>
      <c r="Z41" s="130">
        <f t="shared" si="21"/>
        <v>3065127.7207330391</v>
      </c>
      <c r="AA41" s="130">
        <f t="shared" si="21"/>
        <v>3207403.0895997584</v>
      </c>
      <c r="AB41" s="130">
        <f t="shared" si="21"/>
        <v>3352582.2969678417</v>
      </c>
      <c r="AC41" s="130">
        <f t="shared" si="21"/>
        <v>3500715.082199607</v>
      </c>
      <c r="AD41" s="130">
        <f t="shared" si="21"/>
        <v>3651851.6281604348</v>
      </c>
      <c r="AE41" s="130">
        <f t="shared" si="21"/>
        <v>3806042.5443069842</v>
      </c>
      <c r="AF41" s="130">
        <f t="shared" si="21"/>
        <v>3963338.8483726876</v>
      </c>
      <c r="AG41" s="130">
        <f t="shared" si="21"/>
        <v>4123791.9465810657</v>
      </c>
      <c r="AH41" s="130">
        <f t="shared" si="21"/>
        <v>4287453.6123146173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565577.25</v>
      </c>
      <c r="F42" s="129">
        <f t="shared" ref="F42:S42" si="22">((F41*$C$42))</f>
        <v>643675.46250000002</v>
      </c>
      <c r="G42" s="129">
        <f t="shared" si="22"/>
        <v>723456.59531249921</v>
      </c>
      <c r="H42" s="129">
        <f t="shared" si="22"/>
        <v>804953.28772031178</v>
      </c>
      <c r="I42" s="129">
        <f t="shared" si="22"/>
        <v>888198.66480794502</v>
      </c>
      <c r="J42" s="129">
        <f t="shared" si="22"/>
        <v>973226.33805032889</v>
      </c>
      <c r="K42" s="129">
        <f t="shared" si="22"/>
        <v>1060070.4055118009</v>
      </c>
      <c r="L42" s="129">
        <f t="shared" si="22"/>
        <v>1148765.4516314156</v>
      </c>
      <c r="M42" s="129">
        <f t="shared" si="22"/>
        <v>1239346.5465696368</v>
      </c>
      <c r="N42" s="129">
        <f t="shared" si="22"/>
        <v>1331849.2450902215</v>
      </c>
      <c r="O42" s="129">
        <f t="shared" si="22"/>
        <v>1426309.5849500441</v>
      </c>
      <c r="P42" s="129">
        <f t="shared" si="22"/>
        <v>1522764.0847682511</v>
      </c>
      <c r="Q42" s="129">
        <f t="shared" si="22"/>
        <v>1621249.7413449704</v>
      </c>
      <c r="R42" s="129">
        <f t="shared" si="22"/>
        <v>1721804.0263983686</v>
      </c>
      <c r="S42" s="129">
        <f t="shared" si="22"/>
        <v>1824464.8826875456</v>
      </c>
      <c r="T42" s="129">
        <f t="shared" ref="T42:AH42" si="23">((T41*$C$42))</f>
        <v>1929270.7194872242</v>
      </c>
      <c r="U42" s="129">
        <f t="shared" si="23"/>
        <v>2036260.4073787821</v>
      </c>
      <c r="V42" s="129">
        <f t="shared" si="23"/>
        <v>2145473.2723205322</v>
      </c>
      <c r="W42" s="129">
        <f t="shared" si="23"/>
        <v>2256949.088958581</v>
      </c>
      <c r="X42" s="129">
        <f t="shared" si="23"/>
        <v>2370728.0731378808</v>
      </c>
      <c r="Y42" s="129">
        <f t="shared" si="23"/>
        <v>2486850.8735713507</v>
      </c>
      <c r="Z42" s="129">
        <f t="shared" si="23"/>
        <v>2605358.5626230831</v>
      </c>
      <c r="AA42" s="129">
        <f t="shared" si="23"/>
        <v>2726292.6261597946</v>
      </c>
      <c r="AB42" s="129">
        <f t="shared" si="23"/>
        <v>2849694.9524226654</v>
      </c>
      <c r="AC42" s="129">
        <f t="shared" si="23"/>
        <v>2975607.8198696659</v>
      </c>
      <c r="AD42" s="129">
        <f t="shared" si="23"/>
        <v>3104073.8839363693</v>
      </c>
      <c r="AE42" s="129">
        <f t="shared" si="23"/>
        <v>3235136.1626609364</v>
      </c>
      <c r="AF42" s="129">
        <f t="shared" si="23"/>
        <v>3368838.0211167843</v>
      </c>
      <c r="AG42" s="129">
        <f t="shared" si="23"/>
        <v>3505223.1545939059</v>
      </c>
      <c r="AH42" s="129">
        <f t="shared" si="23"/>
        <v>3644335.5704674246</v>
      </c>
    </row>
    <row r="43" spans="1:34">
      <c r="A43" s="86"/>
      <c r="B43" s="132" t="s">
        <v>330</v>
      </c>
      <c r="C43" s="324">
        <f>GapCalc!I32</f>
        <v>0.14999999999999997</v>
      </c>
      <c r="D43" s="133" t="s">
        <v>1048</v>
      </c>
      <c r="E43" s="108">
        <f>$C$43*(E41)</f>
        <v>99807.749999999971</v>
      </c>
      <c r="F43" s="108">
        <f t="shared" ref="F43:S43" si="24">$C$43*(F41)</f>
        <v>113589.78749999998</v>
      </c>
      <c r="G43" s="108">
        <f t="shared" si="24"/>
        <v>127668.81093749983</v>
      </c>
      <c r="H43" s="108">
        <f t="shared" si="24"/>
        <v>142050.58018593735</v>
      </c>
      <c r="I43" s="108">
        <f t="shared" si="24"/>
        <v>156740.94084846086</v>
      </c>
      <c r="J43" s="108">
        <f t="shared" si="24"/>
        <v>171745.82436182271</v>
      </c>
      <c r="K43" s="108">
        <f t="shared" si="24"/>
        <v>187071.24803149427</v>
      </c>
      <c r="L43" s="108">
        <f t="shared" si="24"/>
        <v>202723.31499377917</v>
      </c>
      <c r="M43" s="108">
        <f t="shared" si="24"/>
        <v>218708.21410052408</v>
      </c>
      <c r="N43" s="108">
        <f t="shared" si="24"/>
        <v>235032.21972180376</v>
      </c>
      <c r="O43" s="108">
        <f t="shared" si="24"/>
        <v>251701.69146177243</v>
      </c>
      <c r="P43" s="108">
        <f t="shared" si="24"/>
        <v>268723.07378263248</v>
      </c>
      <c r="Q43" s="108">
        <f t="shared" si="24"/>
        <v>286102.89553146536</v>
      </c>
      <c r="R43" s="108">
        <f t="shared" si="24"/>
        <v>303847.76936441794</v>
      </c>
      <c r="S43" s="108">
        <f t="shared" si="24"/>
        <v>321964.39106250799</v>
      </c>
      <c r="T43" s="108">
        <f t="shared" ref="T43:AH43" si="25">$C$43*(T41)</f>
        <v>340459.53873303952</v>
      </c>
      <c r="U43" s="108">
        <f t="shared" si="25"/>
        <v>359340.07189037319</v>
      </c>
      <c r="V43" s="108">
        <f t="shared" si="25"/>
        <v>378612.93040950567</v>
      </c>
      <c r="W43" s="108">
        <f t="shared" si="25"/>
        <v>398285.13334563182</v>
      </c>
      <c r="X43" s="108">
        <f t="shared" si="25"/>
        <v>418363.77761256712</v>
      </c>
      <c r="Y43" s="108">
        <f t="shared" si="25"/>
        <v>438856.03651259124</v>
      </c>
      <c r="Z43" s="108">
        <f t="shared" si="25"/>
        <v>459769.15810995578</v>
      </c>
      <c r="AA43" s="108">
        <f t="shared" si="25"/>
        <v>481110.46343996364</v>
      </c>
      <c r="AB43" s="108">
        <f t="shared" si="25"/>
        <v>502887.34454517614</v>
      </c>
      <c r="AC43" s="108">
        <f t="shared" si="25"/>
        <v>525107.26232994092</v>
      </c>
      <c r="AD43" s="108">
        <f t="shared" si="25"/>
        <v>547777.7442240651</v>
      </c>
      <c r="AE43" s="108">
        <f t="shared" si="25"/>
        <v>570906.38164604746</v>
      </c>
      <c r="AF43" s="108">
        <f t="shared" si="25"/>
        <v>594500.82725590304</v>
      </c>
      <c r="AG43" s="108">
        <f t="shared" si="25"/>
        <v>618568.79198715976</v>
      </c>
      <c r="AH43" s="108">
        <f t="shared" si="25"/>
        <v>643118.04184719245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2.7331964412729445E-2</v>
      </c>
      <c r="F47" s="142">
        <f>F41/GapCalc!$H$33</f>
        <v>3.1106121815184691E-2</v>
      </c>
      <c r="G47" s="142">
        <f>G41/GapCalc!$H$33</f>
        <v>3.4961607662323112E-2</v>
      </c>
      <c r="H47" s="142">
        <f>H41/GapCalc!$H$33</f>
        <v>3.8899999273098639E-2</v>
      </c>
      <c r="I47" s="142">
        <f>I41/GapCalc!$H$33</f>
        <v>4.2922897443213211E-2</v>
      </c>
      <c r="J47" s="142">
        <f>J41/GapCalc!$H$33</f>
        <v>4.7031926473567645E-2</v>
      </c>
      <c r="K47" s="142">
        <f>K41/GapCalc!$H$33</f>
        <v>5.1228734179877666E-2</v>
      </c>
      <c r="L47" s="142">
        <f>L41/GapCalc!$H$33</f>
        <v>5.5514991882298866E-2</v>
      </c>
      <c r="M47" s="142">
        <f>M41/GapCalc!$H$33</f>
        <v>5.9892394373855108E-2</v>
      </c>
      <c r="N47" s="142">
        <f>N41/GapCalc!$H$33</f>
        <v>6.4362659866404659E-2</v>
      </c>
      <c r="O47" s="142">
        <f>O41/GapCalc!$H$33</f>
        <v>6.8927529912827121E-2</v>
      </c>
      <c r="P47" s="142">
        <f>P41/GapCalc!$H$33</f>
        <v>7.358876930404884E-2</v>
      </c>
      <c r="Q47" s="142">
        <f>Q41/GapCalc!$H$33</f>
        <v>7.8348165939467238E-2</v>
      </c>
      <c r="R47" s="142">
        <f>R41/GapCalc!$H$33</f>
        <v>8.320753066926663E-2</v>
      </c>
      <c r="S47" s="142">
        <f>S41/GapCalc!$H$33</f>
        <v>8.8168697107054064E-2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2.3232169750820028E-2</v>
      </c>
      <c r="F48" s="142">
        <f>F43/GapCalc!$H$32</f>
        <v>2.6440203542906989E-2</v>
      </c>
      <c r="G48" s="142">
        <f>G43/GapCalc!$H$32</f>
        <v>2.9717366512974647E-2</v>
      </c>
      <c r="H48" s="142">
        <f>H43/GapCalc!$H$32</f>
        <v>3.3064999382133843E-2</v>
      </c>
      <c r="I48" s="142">
        <f>I43/GapCalc!$H$32</f>
        <v>3.6484462826731234E-2</v>
      </c>
      <c r="J48" s="142">
        <f>J43/GapCalc!$H$32</f>
        <v>3.9977137502532498E-2</v>
      </c>
      <c r="K48" s="142">
        <f>K43/GapCalc!$H$32</f>
        <v>4.3544424052896019E-2</v>
      </c>
      <c r="L48" s="142">
        <f>L43/GapCalc!$H$32</f>
        <v>4.7187743099954042E-2</v>
      </c>
      <c r="M48" s="142">
        <f>M43/GapCalc!$H$32</f>
        <v>5.090853521777685E-2</v>
      </c>
      <c r="N48" s="142">
        <f>N43/GapCalc!$H$32</f>
        <v>5.4708260886443962E-2</v>
      </c>
      <c r="O48" s="142">
        <f>O43/GapCalc!$H$32</f>
        <v>5.8588400425903062E-2</v>
      </c>
      <c r="P48" s="142">
        <f>P43/GapCalc!$H$32</f>
        <v>6.2550453908441522E-2</v>
      </c>
      <c r="Q48" s="142">
        <f>Q43/GapCalc!$H$32</f>
        <v>6.6595941048547172E-2</v>
      </c>
      <c r="R48" s="142">
        <f>R43/GapCalc!$H$32</f>
        <v>7.0726401068876635E-2</v>
      </c>
      <c r="S48" s="142">
        <f>S43/GapCalc!$H$32</f>
        <v>7.4943392540995968E-2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24475235.550111521</v>
      </c>
      <c r="D66" s="1544"/>
      <c r="E66" s="1564" t="s">
        <v>284</v>
      </c>
      <c r="G66" s="1520" t="s">
        <v>1072</v>
      </c>
      <c r="H66" s="1565">
        <f>H70/1.63</f>
        <v>4319159.2147255614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5659158.0039028861</v>
      </c>
      <c r="D67" s="1545" t="s">
        <v>68</v>
      </c>
      <c r="G67" s="1521" t="s">
        <v>1073</v>
      </c>
      <c r="H67" s="1560">
        <f>SUMIFS(E43:AH43, E50:AH50, "&lt;=" &amp; VALUE(RIGHT(E66, LEN(E66)-FIND(" ", E66))))</f>
        <v>998674.94186521485</v>
      </c>
      <c r="I67" s="1545" t="s">
        <v>68</v>
      </c>
    </row>
    <row r="68" spans="2:10">
      <c r="B68" s="1521" t="s">
        <v>1077</v>
      </c>
      <c r="C68" s="1568">
        <f>IF(GapCalc!D41*C42&lt; 0,0,GapCalc!D41*C42)</f>
        <v>7299535.1748442994</v>
      </c>
      <c r="D68" s="1545" t="s">
        <v>68</v>
      </c>
      <c r="G68" s="1521" t="s">
        <v>1078</v>
      </c>
      <c r="H68" s="1568">
        <f>IF(GapCalc!D41*C43&lt; 0,0,GapCalc!D41*C43)</f>
        <v>1288153.2661489937</v>
      </c>
      <c r="I68" s="1545" t="s">
        <v>68</v>
      </c>
    </row>
    <row r="69" spans="2:10">
      <c r="B69" s="1521" t="s">
        <v>1058</v>
      </c>
      <c r="C69" s="1568">
        <f>'Debt Calc'!E60</f>
        <v>26935940.767934591</v>
      </c>
      <c r="D69" s="1546">
        <v>0.9</v>
      </c>
      <c r="G69" s="1521" t="s">
        <v>1074</v>
      </c>
      <c r="H69" s="1568">
        <f>'Debt Calc'!E59*C43</f>
        <v>4753401.3119884562</v>
      </c>
      <c r="I69" s="1546">
        <v>0.9</v>
      </c>
    </row>
    <row r="70" spans="2:10">
      <c r="B70" s="1523" t="s">
        <v>1041</v>
      </c>
      <c r="C70" s="1577">
        <f>C67+C68+C69</f>
        <v>39894633.946681775</v>
      </c>
      <c r="D70" s="1545" t="s">
        <v>68</v>
      </c>
      <c r="G70" s="1523" t="s">
        <v>1041</v>
      </c>
      <c r="H70" s="1577">
        <f>H67+H68+H69</f>
        <v>7040229.520002665</v>
      </c>
      <c r="I70" s="1545" t="s">
        <v>68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0.62999999999999978</v>
      </c>
      <c r="D72" s="1548"/>
      <c r="G72" s="1521" t="s">
        <v>1043</v>
      </c>
      <c r="H72" s="1524">
        <f>(H70-H66)/H66</f>
        <v>0.63</v>
      </c>
      <c r="I72" s="1548"/>
    </row>
    <row r="73" spans="2:10">
      <c r="B73" s="1523" t="s">
        <v>1044</v>
      </c>
      <c r="C73" s="1566">
        <f>C72/7</f>
        <v>8.9999999999999969E-2</v>
      </c>
      <c r="D73" s="1548"/>
      <c r="G73" s="1523" t="s">
        <v>1044</v>
      </c>
      <c r="H73" s="1566">
        <f>H72/7</f>
        <v>0.09</v>
      </c>
      <c r="I73" s="1548"/>
    </row>
    <row r="74" spans="2:10" ht="13.5" thickBot="1">
      <c r="B74" s="1578" t="s">
        <v>1079</v>
      </c>
      <c r="C74" s="1581">
        <f>GapCalc!H33</f>
        <v>24344572.894662015</v>
      </c>
      <c r="D74" s="1549"/>
      <c r="F74" s="1559"/>
      <c r="G74" s="1578" t="s">
        <v>1081</v>
      </c>
      <c r="H74" s="1581">
        <f>GapCalc!H32</f>
        <v>4296101.0990580013</v>
      </c>
      <c r="I74" s="1549"/>
    </row>
    <row r="75" spans="2:10">
      <c r="B75" s="70" t="s">
        <v>1080</v>
      </c>
      <c r="C75" s="1579">
        <f>(C70-C74)/C74</f>
        <v>0.63874856705452365</v>
      </c>
      <c r="G75" s="70" t="s">
        <v>1080</v>
      </c>
      <c r="H75" s="1579">
        <f>(H70-H74)/H74</f>
        <v>0.63874856705452387</v>
      </c>
    </row>
    <row r="76" spans="2:10">
      <c r="B76" s="70" t="s">
        <v>1044</v>
      </c>
      <c r="C76" s="1579">
        <f>C75/7</f>
        <v>9.1249795293503383E-2</v>
      </c>
      <c r="G76" s="70" t="s">
        <v>1044</v>
      </c>
      <c r="H76" s="1579">
        <f>H75/7</f>
        <v>9.1249795293503411E-2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9265919.1233546995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9379119.2471941598</v>
      </c>
      <c r="D81" s="1545" t="s">
        <v>68</v>
      </c>
    </row>
    <row r="82" spans="2:10">
      <c r="B82" s="1521" t="s">
        <v>1058</v>
      </c>
      <c r="C82" s="1568">
        <f>C68</f>
        <v>7299535.1748442994</v>
      </c>
      <c r="D82" s="1545" t="s">
        <v>68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16678654.422038458</v>
      </c>
      <c r="D84" s="1545" t="s">
        <v>68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0.79999999999999993</v>
      </c>
      <c r="D86" s="1548"/>
    </row>
    <row r="87" spans="2:10">
      <c r="B87" s="1523" t="s">
        <v>1044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32140208.92272684</v>
      </c>
      <c r="D93" s="1544"/>
      <c r="E93" s="1564" t="s">
        <v>287</v>
      </c>
      <c r="G93" s="1520" t="s">
        <v>1072</v>
      </c>
      <c r="H93" s="1565">
        <f>H97/1.63</f>
        <v>4721897.7109317621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9379119.2471941598</v>
      </c>
      <c r="D94" s="1545" t="s">
        <v>68</v>
      </c>
      <c r="G94" s="1521" t="s">
        <v>1073</v>
      </c>
      <c r="H94" s="1560">
        <f>SUMIFS(E43:AH43, E50:AH50, "&lt;=" &amp; VALUE(RIGHT(J93, LEN(J93)-FIND(" ", J93))))</f>
        <v>1655138.6906813218</v>
      </c>
      <c r="I94" s="1545" t="s">
        <v>68</v>
      </c>
    </row>
    <row r="95" spans="2:10">
      <c r="B95" s="1521" t="s">
        <v>1077</v>
      </c>
      <c r="C95" s="1568">
        <f>IF(GapCalc!D41*C42&lt; 0,0,GapCalc!D41*C42)</f>
        <v>7299535.1748442994</v>
      </c>
      <c r="D95" s="1545" t="s">
        <v>68</v>
      </c>
      <c r="G95" s="1521" t="s">
        <v>1078</v>
      </c>
      <c r="H95" s="1568">
        <f>IF(GapCalc!D41*C43&lt; 0,0,GapCalc!D41*C43)</f>
        <v>1288153.2661489937</v>
      </c>
      <c r="I95" s="1545" t="s">
        <v>68</v>
      </c>
    </row>
    <row r="96" spans="2:10">
      <c r="B96" s="1521" t="s">
        <v>1058</v>
      </c>
      <c r="C96" s="1568">
        <f>'Debt Calc'!H60</f>
        <v>35709886.12200629</v>
      </c>
      <c r="D96" s="1546">
        <v>0.9</v>
      </c>
      <c r="G96" s="1521" t="s">
        <v>1074</v>
      </c>
      <c r="H96" s="1568">
        <f>'Debt Calc'!E59*C43</f>
        <v>4753401.3119884562</v>
      </c>
      <c r="I96" s="1546">
        <v>0.9</v>
      </c>
    </row>
    <row r="97" spans="2:9">
      <c r="B97" s="1523" t="s">
        <v>1041</v>
      </c>
      <c r="C97" s="1577">
        <f>C94+C95+C96</f>
        <v>52388540.544044748</v>
      </c>
      <c r="D97" s="1545" t="s">
        <v>68</v>
      </c>
      <c r="G97" s="1523" t="s">
        <v>1041</v>
      </c>
      <c r="H97" s="1577">
        <f>H94+H95+H96</f>
        <v>7696693.2688187715</v>
      </c>
      <c r="I97" s="1545" t="s">
        <v>68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0.63</v>
      </c>
      <c r="D99" s="1548"/>
      <c r="G99" s="1521" t="s">
        <v>1043</v>
      </c>
      <c r="H99" s="1524">
        <f>(H97-H93)/H93</f>
        <v>0.62999999999999978</v>
      </c>
      <c r="I99" s="1548"/>
    </row>
    <row r="100" spans="2:9">
      <c r="B100" s="1523" t="s">
        <v>1044</v>
      </c>
      <c r="C100" s="1566">
        <f>C99/7</f>
        <v>0.09</v>
      </c>
      <c r="D100" s="1548"/>
      <c r="G100" s="1523" t="s">
        <v>1044</v>
      </c>
      <c r="H100" s="1566">
        <f>H99/7</f>
        <v>8.9999999999999969E-2</v>
      </c>
      <c r="I100" s="1548"/>
    </row>
    <row r="101" spans="2:9" ht="13.5" thickBot="1">
      <c r="B101" s="1578" t="s">
        <v>1079</v>
      </c>
      <c r="C101" s="1581">
        <f>GapCalc!H33</f>
        <v>24344572.894662015</v>
      </c>
      <c r="D101" s="1549"/>
      <c r="G101" s="1578" t="s">
        <v>1081</v>
      </c>
      <c r="H101" s="1581">
        <f>GapCalc!H32</f>
        <v>4296101.0990580013</v>
      </c>
      <c r="I101" s="1549"/>
    </row>
    <row r="102" spans="2:9">
      <c r="B102" s="70" t="s">
        <v>1080</v>
      </c>
      <c r="C102" s="1579">
        <f>(C97-C101)/C101</f>
        <v>1.1519597312603449</v>
      </c>
      <c r="G102" s="70" t="s">
        <v>1080</v>
      </c>
      <c r="H102" s="1579">
        <f>(H97-H101)/H101</f>
        <v>0.79155310625869868</v>
      </c>
    </row>
    <row r="103" spans="2:9">
      <c r="B103" s="70" t="s">
        <v>1044</v>
      </c>
      <c r="C103" s="1579">
        <f>C102/10</f>
        <v>0.1151959731260345</v>
      </c>
      <c r="G103" s="70" t="s">
        <v>1044</v>
      </c>
      <c r="H103" s="1579">
        <f>H102/10</f>
        <v>7.9155310625869862E-2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108310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21662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129972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129972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129972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75.5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75.5</v>
      </c>
      <c r="D49" s="876"/>
      <c r="E49" s="855" t="s">
        <v>576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0</v>
      </c>
      <c r="D55" s="855"/>
      <c r="E55" s="855"/>
      <c r="F55" s="937"/>
      <c r="G55" s="855"/>
      <c r="H55" s="872" t="s">
        <v>684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75.5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2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3326925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61777511.572187603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61777500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28508256.232008487</v>
      </c>
    </row>
    <row r="15" spans="2:36">
      <c r="B15" s="556"/>
      <c r="C15" s="560" t="s">
        <v>633</v>
      </c>
      <c r="H15" s="561">
        <f>12*PMT(Data!C24/12,Data!C29*12,-'Debt Calc'!H14)</f>
        <v>3326924.3767991504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-10936336.698530499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-10936336.698530499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61777500</v>
      </c>
      <c r="E21" s="561">
        <f>$H$15</f>
        <v>3326924.3767991504</v>
      </c>
      <c r="F21" s="561">
        <f>E21-G21</f>
        <v>0</v>
      </c>
      <c r="G21" s="561">
        <f>D21-H21</f>
        <v>3326924.3767991513</v>
      </c>
      <c r="H21" s="561">
        <f>D21-E21</f>
        <v>58450575.623200849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58450575.623200849</v>
      </c>
      <c r="E22" s="561">
        <f t="shared" ref="E22:E50" si="1">$H$15</f>
        <v>3326924.3767991504</v>
      </c>
      <c r="F22" s="561">
        <f t="shared" ref="F22:F50" si="2">E22-G22</f>
        <v>0</v>
      </c>
      <c r="G22" s="561">
        <f t="shared" ref="G22:G50" si="3">D22-H22</f>
        <v>3326924.3767991513</v>
      </c>
      <c r="H22" s="561">
        <f t="shared" ref="H22:H39" si="4">D22-E22</f>
        <v>55123651.246401697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55123651.246401697</v>
      </c>
      <c r="E23" s="561">
        <f t="shared" si="1"/>
        <v>3326924.3767991504</v>
      </c>
      <c r="F23" s="561">
        <f t="shared" si="2"/>
        <v>0</v>
      </c>
      <c r="G23" s="561">
        <f t="shared" si="3"/>
        <v>3326924.3767991513</v>
      </c>
      <c r="H23" s="561">
        <f t="shared" si="4"/>
        <v>51796726.869602546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51796726.869602546</v>
      </c>
      <c r="E24" s="561">
        <f t="shared" si="1"/>
        <v>3326924.3767991504</v>
      </c>
      <c r="F24" s="561">
        <f t="shared" si="2"/>
        <v>0</v>
      </c>
      <c r="G24" s="561">
        <f t="shared" si="3"/>
        <v>3326924.3767991513</v>
      </c>
      <c r="H24" s="561">
        <f t="shared" si="4"/>
        <v>48469802.492803395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48469802.492803395</v>
      </c>
      <c r="E25" s="561">
        <f t="shared" si="1"/>
        <v>3326924.3767991504</v>
      </c>
      <c r="F25" s="561">
        <f t="shared" si="2"/>
        <v>0</v>
      </c>
      <c r="G25" s="561">
        <f t="shared" si="3"/>
        <v>3326924.3767991513</v>
      </c>
      <c r="H25" s="561">
        <f t="shared" si="4"/>
        <v>45142878.116004243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45142878.116004243</v>
      </c>
      <c r="E26" s="561">
        <f t="shared" si="1"/>
        <v>3326924.3767991504</v>
      </c>
      <c r="F26" s="561">
        <f t="shared" si="2"/>
        <v>0</v>
      </c>
      <c r="G26" s="561">
        <f t="shared" si="3"/>
        <v>3326924.3767991513</v>
      </c>
      <c r="H26" s="561">
        <f t="shared" si="4"/>
        <v>41815953.739205092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41815953.739205092</v>
      </c>
      <c r="E27" s="561">
        <f t="shared" si="1"/>
        <v>3326924.3767991504</v>
      </c>
      <c r="F27" s="561">
        <f t="shared" si="2"/>
        <v>0</v>
      </c>
      <c r="G27" s="561">
        <f t="shared" si="3"/>
        <v>3326924.3767991513</v>
      </c>
      <c r="H27" s="561">
        <f t="shared" si="4"/>
        <v>38489029.362405941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38489029.362405941</v>
      </c>
      <c r="E28" s="561">
        <f t="shared" si="1"/>
        <v>3326924.3767991504</v>
      </c>
      <c r="F28" s="561">
        <f t="shared" si="2"/>
        <v>0</v>
      </c>
      <c r="G28" s="561">
        <f t="shared" si="3"/>
        <v>3326924.3767991513</v>
      </c>
      <c r="H28" s="561">
        <f t="shared" si="4"/>
        <v>35162104.98560679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35162104.98560679</v>
      </c>
      <c r="E29" s="561">
        <f t="shared" si="1"/>
        <v>3326924.3767991504</v>
      </c>
      <c r="F29" s="561">
        <f t="shared" si="2"/>
        <v>0</v>
      </c>
      <c r="G29" s="561">
        <f t="shared" si="3"/>
        <v>3326924.3767991513</v>
      </c>
      <c r="H29" s="561">
        <f t="shared" si="4"/>
        <v>31835180.608807638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31835180.608807638</v>
      </c>
      <c r="E30" s="561">
        <f t="shared" si="1"/>
        <v>3326924.3767991504</v>
      </c>
      <c r="F30" s="561">
        <f t="shared" si="2"/>
        <v>0</v>
      </c>
      <c r="G30" s="561">
        <f t="shared" si="3"/>
        <v>3326924.3767991513</v>
      </c>
      <c r="H30" s="561">
        <f>D30-E30</f>
        <v>28508256.232008487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28508256.232008487</v>
      </c>
      <c r="E31" s="561">
        <f t="shared" si="1"/>
        <v>3326924.3767991504</v>
      </c>
      <c r="F31" s="561">
        <f t="shared" si="2"/>
        <v>0</v>
      </c>
      <c r="G31" s="561">
        <f t="shared" si="3"/>
        <v>3326924.3767991513</v>
      </c>
      <c r="H31" s="561">
        <f t="shared" si="4"/>
        <v>25181331.855209336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25181331.855209336</v>
      </c>
      <c r="E32" s="561">
        <f t="shared" si="1"/>
        <v>3326924.3767991504</v>
      </c>
      <c r="F32" s="561">
        <f t="shared" si="2"/>
        <v>0</v>
      </c>
      <c r="G32" s="561">
        <f t="shared" si="3"/>
        <v>3326924.3767991513</v>
      </c>
      <c r="H32" s="561">
        <f t="shared" si="4"/>
        <v>21854407.478410184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21854407.478410184</v>
      </c>
      <c r="E33" s="561">
        <f t="shared" si="1"/>
        <v>3326924.3767991504</v>
      </c>
      <c r="F33" s="561">
        <f t="shared" si="2"/>
        <v>0</v>
      </c>
      <c r="G33" s="561">
        <f t="shared" si="3"/>
        <v>3326924.3767991513</v>
      </c>
      <c r="H33" s="561">
        <f t="shared" si="4"/>
        <v>18527483.101611033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18527483.101611033</v>
      </c>
      <c r="E34" s="561">
        <f t="shared" si="1"/>
        <v>3326924.3767991504</v>
      </c>
      <c r="F34" s="561">
        <f t="shared" si="2"/>
        <v>0</v>
      </c>
      <c r="G34" s="561">
        <f t="shared" si="3"/>
        <v>3326924.3767991513</v>
      </c>
      <c r="H34" s="561">
        <f t="shared" si="4"/>
        <v>15200558.724811882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15200558.724811882</v>
      </c>
      <c r="E35" s="561">
        <f t="shared" si="1"/>
        <v>3326924.3767991504</v>
      </c>
      <c r="F35" s="561">
        <f t="shared" si="2"/>
        <v>0</v>
      </c>
      <c r="G35" s="561">
        <f t="shared" si="3"/>
        <v>3326924.3767991513</v>
      </c>
      <c r="H35" s="561">
        <f t="shared" si="4"/>
        <v>11873634.34801273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11873634.34801273</v>
      </c>
      <c r="E36" s="561">
        <f t="shared" si="1"/>
        <v>3326924.3767991504</v>
      </c>
      <c r="F36" s="561">
        <f t="shared" si="2"/>
        <v>0</v>
      </c>
      <c r="G36" s="561">
        <f t="shared" si="3"/>
        <v>3326924.3767991513</v>
      </c>
      <c r="H36" s="561">
        <f t="shared" si="4"/>
        <v>8546709.9712135792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8546709.9712135792</v>
      </c>
      <c r="E37" s="561">
        <f t="shared" si="1"/>
        <v>3326924.3767991504</v>
      </c>
      <c r="F37" s="561">
        <f t="shared" si="2"/>
        <v>0</v>
      </c>
      <c r="G37" s="561">
        <f t="shared" si="3"/>
        <v>3326924.3767991504</v>
      </c>
      <c r="H37" s="561">
        <f t="shared" si="4"/>
        <v>5219785.5944144288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5219785.5944144288</v>
      </c>
      <c r="E38" s="561">
        <f t="shared" si="1"/>
        <v>3326924.3767991504</v>
      </c>
      <c r="F38" s="561">
        <f t="shared" si="2"/>
        <v>0</v>
      </c>
      <c r="G38" s="561">
        <f t="shared" si="3"/>
        <v>3326924.3767991504</v>
      </c>
      <c r="H38" s="561">
        <f>D38-E38</f>
        <v>1892861.2176152784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1892861.2176152784</v>
      </c>
      <c r="E39" s="561">
        <f t="shared" si="1"/>
        <v>3326924.3767991504</v>
      </c>
      <c r="F39" s="561">
        <f t="shared" si="2"/>
        <v>0</v>
      </c>
      <c r="G39" s="561">
        <f t="shared" si="3"/>
        <v>3326924.3767991504</v>
      </c>
      <c r="H39" s="561">
        <f t="shared" si="4"/>
        <v>-1434063.1591838719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-1434063.1591838719</v>
      </c>
      <c r="E40" s="561">
        <f t="shared" si="1"/>
        <v>3326924.3767991504</v>
      </c>
      <c r="F40" s="561">
        <f t="shared" si="2"/>
        <v>4760987.5359830223</v>
      </c>
      <c r="G40" s="561">
        <f t="shared" si="3"/>
        <v>-1434063.1591838719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3326924.3767991504</v>
      </c>
      <c r="F41" s="561">
        <f t="shared" si="2"/>
        <v>3326924.3767991504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3326924.3767991504</v>
      </c>
      <c r="F42" s="561">
        <f t="shared" si="2"/>
        <v>3326924.3767991504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3326924.3767991504</v>
      </c>
      <c r="F43" s="561">
        <f t="shared" si="2"/>
        <v>3326924.3767991504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3326924.3767991504</v>
      </c>
      <c r="F44" s="561">
        <f t="shared" si="2"/>
        <v>3326924.3767991504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3326924.3767991504</v>
      </c>
      <c r="F45" s="561">
        <f t="shared" si="2"/>
        <v>3326924.3767991504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3326924.3767991504</v>
      </c>
      <c r="F46" s="561">
        <f t="shared" si="2"/>
        <v>3326924.3767991504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3326924.3767991504</v>
      </c>
      <c r="F47" s="561">
        <f t="shared" si="2"/>
        <v>3326924.3767991504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3326924.3767991504</v>
      </c>
      <c r="F48" s="561">
        <f t="shared" si="2"/>
        <v>3326924.3767991504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3326924.3767991504</v>
      </c>
      <c r="F49" s="561">
        <f t="shared" si="2"/>
        <v>3326924.3767991504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3326924.3767991504</v>
      </c>
      <c r="F50" s="561">
        <f t="shared" si="2"/>
        <v>3326924.3767991504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114661439.5842285</v>
      </c>
      <c r="F55" s="561"/>
      <c r="G55" s="1663" t="s">
        <v>1063</v>
      </c>
      <c r="H55" s="1667">
        <f>'Cash Flow'!N15/0.05</f>
        <v>123477829.33725955</v>
      </c>
    </row>
    <row r="56" spans="2:28">
      <c r="D56" s="1653" t="s">
        <v>1064</v>
      </c>
      <c r="E56" s="1665">
        <f>'Cash Flow'!K21/1.2</f>
        <v>3811722.2112860796</v>
      </c>
      <c r="F56" s="561"/>
      <c r="G56" s="1661" t="s">
        <v>1064</v>
      </c>
      <c r="H56" s="1668">
        <f>'Cash Flow'!N21/1.2</f>
        <v>4078172.0540100215</v>
      </c>
    </row>
    <row r="57" spans="2:28">
      <c r="D57" s="1653" t="s">
        <v>1065</v>
      </c>
      <c r="E57" s="1665">
        <f>E55*0.6</f>
        <v>68796863.750537097</v>
      </c>
      <c r="F57" s="561"/>
      <c r="G57" s="1661" t="s">
        <v>1065</v>
      </c>
      <c r="H57" s="1668">
        <f>H55*0.6</f>
        <v>74086697.602355719</v>
      </c>
    </row>
    <row r="58" spans="2:28">
      <c r="D58" s="1653" t="s">
        <v>1066</v>
      </c>
      <c r="E58" s="1665">
        <f>-PV(4%,34,E56)</f>
        <v>70178371.44232899</v>
      </c>
      <c r="F58" s="561"/>
      <c r="G58" s="1661" t="s">
        <v>1066</v>
      </c>
      <c r="H58" s="1668">
        <f>-PV(4%,30,H56)</f>
        <v>70519886.963780597</v>
      </c>
    </row>
    <row r="59" spans="2:28">
      <c r="D59" s="1652" t="s">
        <v>1067</v>
      </c>
      <c r="E59" s="1665">
        <f>E58-H27</f>
        <v>31689342.079923049</v>
      </c>
      <c r="F59" s="561"/>
      <c r="G59" s="1660" t="s">
        <v>1067</v>
      </c>
      <c r="H59" s="1668">
        <f>H58-H30</f>
        <v>42011630.73177211</v>
      </c>
    </row>
    <row r="60" spans="2:28" ht="13.5" thickBot="1">
      <c r="D60" s="1654" t="s">
        <v>1068</v>
      </c>
      <c r="E60" s="1666">
        <f>E59*GapCalc!I33</f>
        <v>26935940.767934591</v>
      </c>
      <c r="F60" s="561"/>
      <c r="G60" s="1662" t="s">
        <v>1068</v>
      </c>
      <c r="H60" s="1669">
        <f>H59*GapCalc!I33</f>
        <v>35709886.12200629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49389360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0</v>
      </c>
      <c r="C7" s="1417">
        <f>C4*E4</f>
        <v>592374.99605279998</v>
      </c>
      <c r="D7" s="1409">
        <f>(1-'Rental Income'!O19)</f>
        <v>0.40397350993377479</v>
      </c>
    </row>
    <row r="8" spans="1:5">
      <c r="A8" s="1410" t="s">
        <v>979</v>
      </c>
      <c r="B8" s="1417">
        <f>B7*D7</f>
        <v>0</v>
      </c>
      <c r="C8" s="1417">
        <f>C7*D7</f>
        <v>239303.80635245561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239303.80635245561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0</v>
      </c>
    </row>
    <row r="14" spans="1:5">
      <c r="A14" t="s">
        <v>991</v>
      </c>
      <c r="B14">
        <v>24</v>
      </c>
      <c r="C14" s="1425">
        <f>C3*(E3/12)*B14</f>
        <v>0</v>
      </c>
    </row>
    <row r="15" spans="1:5">
      <c r="A15" s="40" t="s">
        <v>993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5198220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-260190</v>
      </c>
      <c r="E18" s="50"/>
      <c r="F18" s="55">
        <v>0.05</v>
      </c>
    </row>
    <row r="19" spans="1:25">
      <c r="A19" s="40" t="s">
        <v>164</v>
      </c>
      <c r="D19" s="57">
        <f>SUM(D15:D18)</f>
        <v>4943610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78761.5</v>
      </c>
      <c r="E22" s="48">
        <v>1043</v>
      </c>
      <c r="F22" s="453" t="s">
        <v>171</v>
      </c>
      <c r="N22" s="428">
        <f>D22*0.8</f>
        <v>63009.200000000004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173</v>
      </c>
      <c r="D23" s="48">
        <f>(E23*$D$10-20)/2</f>
        <v>100707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14073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79933.279999999999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182</v>
      </c>
      <c r="D26" s="51">
        <f>SUM(D22:D25)</f>
        <v>273474.78000000003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28086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15100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191</v>
      </c>
      <c r="D31" s="48">
        <f>E31*$D$10</f>
        <v>24764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193</v>
      </c>
      <c r="C32" s="43"/>
      <c r="D32" s="50">
        <f>E32*$D$10</f>
        <v>4530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72480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80030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201</v>
      </c>
      <c r="D37" s="48">
        <f>E37*$D$10</f>
        <v>119290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63571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262891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55719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40116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59796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20536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128350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8305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246027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239303.80635245561</v>
      </c>
      <c r="Y56" s="1309">
        <f>X56/'Rental Income'!D15</f>
        <v>1584.7934195526861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728.09426543046357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126840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264.9006622516556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311887.93968578894</v>
      </c>
    </row>
    <row r="65" spans="1:25">
      <c r="B65" t="s">
        <v>249</v>
      </c>
      <c r="D65" s="48">
        <f>E65*$D$10</f>
        <v>22650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201490</v>
      </c>
      <c r="E67" s="48">
        <f>SUM(E62:E66)</f>
        <v>1439.9006622516556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45300</v>
      </c>
      <c r="E69" s="426">
        <v>300</v>
      </c>
    </row>
    <row r="70" spans="1:25">
      <c r="V70" s="40" t="s">
        <v>255</v>
      </c>
      <c r="X70" s="1307">
        <f>SUM(X68,X64,X54,X39,X31)</f>
        <v>668270.6463524556</v>
      </c>
      <c r="Y70" s="1307">
        <f>X70/D10</f>
        <v>4425.6334195526861</v>
      </c>
    </row>
    <row r="71" spans="1:25">
      <c r="A71" s="40" t="s">
        <v>256</v>
      </c>
      <c r="D71" s="48">
        <f>E71*$D$10</f>
        <v>75500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-1574.3665804473139</v>
      </c>
    </row>
    <row r="75" spans="1:25">
      <c r="A75" s="44" t="s">
        <v>259</v>
      </c>
      <c r="B75" s="45"/>
      <c r="C75" s="45"/>
      <c r="D75" s="52">
        <f>D19-D73</f>
        <v>3560669.9859199999</v>
      </c>
      <c r="E75" s="52">
        <f>D75/D10</f>
        <v>23580.595933245033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129972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61886700</v>
      </c>
      <c r="C7" s="465">
        <f>'Dev Summary_5-20'!B8</f>
        <v>3190331</v>
      </c>
      <c r="D7" s="465">
        <f t="shared" ref="D7:D14" si="0">B7-C7</f>
        <v>58696369</v>
      </c>
      <c r="E7" s="477">
        <f t="shared" ref="E7:E15" si="1">D7/B7</f>
        <v>0.94844884280467368</v>
      </c>
      <c r="F7" s="477"/>
      <c r="G7" s="472" t="e">
        <f t="shared" ref="G7:G14" si="2">B7/$B$15</f>
        <v>#REF!</v>
      </c>
      <c r="I7" s="147">
        <f>B7/$H$4</f>
        <v>562606.36363636365</v>
      </c>
      <c r="J7" s="53">
        <f>B7/$H$5</f>
        <v>476.15409472809529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246217.89320770215</v>
      </c>
      <c r="C9" s="446">
        <f>'Dev Summary_5-20'!B10</f>
        <v>50000</v>
      </c>
      <c r="D9" s="446">
        <f t="shared" si="0"/>
        <v>196217.89320770215</v>
      </c>
      <c r="E9" s="477">
        <f t="shared" si="1"/>
        <v>0.79692783758075014</v>
      </c>
      <c r="F9" s="477"/>
      <c r="G9" s="473" t="e">
        <f t="shared" si="2"/>
        <v>#REF!</v>
      </c>
      <c r="I9" s="53">
        <f t="shared" si="3"/>
        <v>2238.344483706383</v>
      </c>
      <c r="J9" s="53">
        <f t="shared" si="4"/>
        <v>1.8943918167582414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0.24620687532699351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394475</v>
      </c>
      <c r="C14" s="467">
        <f>'Dev Summary_5-20'!B14</f>
        <v>282276.62941911275</v>
      </c>
      <c r="D14" s="467">
        <f t="shared" si="0"/>
        <v>112198.37058088725</v>
      </c>
      <c r="E14" s="478">
        <f t="shared" si="1"/>
        <v>0.2844245404167241</v>
      </c>
      <c r="F14" s="478"/>
      <c r="G14" s="474" t="e">
        <f t="shared" si="2"/>
        <v>#REF!</v>
      </c>
      <c r="I14" s="53">
        <f t="shared" si="3"/>
        <v>3586.1363636363635</v>
      </c>
      <c r="J14" s="53">
        <f t="shared" si="4"/>
        <v>3.0350767857692427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61777511.572187603</v>
      </c>
      <c r="C21" s="48">
        <v>18731659</v>
      </c>
      <c r="D21" s="48">
        <f>B21-C21</f>
        <v>43045852.572187603</v>
      </c>
      <c r="E21" s="55">
        <f>D21/B21</f>
        <v>0.69678838588194214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8587688.4409932941</v>
      </c>
      <c r="C28" s="50"/>
      <c r="D28" s="50">
        <f t="shared" si="5"/>
        <v>8587688.4409932941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68075370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61767.832999999999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55591.049700000003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502982.55916666653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68075370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15657.3351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635998.77696666657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54460296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75277.34348000001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54460296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82364.84348000001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740840.4</v>
      </c>
      <c r="E10" s="748">
        <f>'PreDev Flow of Funds'!Y10+'PreDev Flow of Funds'!Y12</f>
        <v>1395966</v>
      </c>
      <c r="F10" s="748">
        <f>(D10-E10)/18</f>
        <v>-36395.866666666669</v>
      </c>
      <c r="G10" s="748">
        <f>$F$10</f>
        <v>-36395.866666666669</v>
      </c>
      <c r="H10" s="748">
        <f t="shared" ref="H10:W10" si="2">$F$10</f>
        <v>-36395.866666666669</v>
      </c>
      <c r="I10" s="748">
        <f t="shared" si="2"/>
        <v>-36395.866666666669</v>
      </c>
      <c r="J10" s="748">
        <f t="shared" si="2"/>
        <v>-36395.866666666669</v>
      </c>
      <c r="K10" s="748">
        <f t="shared" si="2"/>
        <v>-36395.866666666669</v>
      </c>
      <c r="L10" s="748">
        <f t="shared" si="2"/>
        <v>-36395.866666666669</v>
      </c>
      <c r="M10" s="748">
        <f t="shared" si="2"/>
        <v>-36395.866666666669</v>
      </c>
      <c r="N10" s="748">
        <f t="shared" si="2"/>
        <v>-36395.866666666669</v>
      </c>
      <c r="O10" s="748">
        <f t="shared" si="2"/>
        <v>-36395.866666666669</v>
      </c>
      <c r="P10" s="748">
        <f t="shared" si="2"/>
        <v>-36395.866666666669</v>
      </c>
      <c r="Q10" s="748">
        <f t="shared" si="2"/>
        <v>-36395.866666666669</v>
      </c>
      <c r="R10" s="748">
        <f t="shared" si="2"/>
        <v>-36395.866666666669</v>
      </c>
      <c r="S10" s="748">
        <f t="shared" si="2"/>
        <v>-36395.866666666669</v>
      </c>
      <c r="T10" s="748">
        <f t="shared" si="2"/>
        <v>-36395.866666666669</v>
      </c>
      <c r="U10" s="748">
        <f t="shared" si="2"/>
        <v>-36395.866666666669</v>
      </c>
      <c r="V10" s="748">
        <f t="shared" si="2"/>
        <v>-36395.866666666669</v>
      </c>
      <c r="W10" s="748">
        <f t="shared" si="2"/>
        <v>-36395.866666666669</v>
      </c>
      <c r="X10" s="748"/>
      <c r="Y10" s="748">
        <f>SUM(E10:W10)</f>
        <v>740840.39999999944</v>
      </c>
    </row>
    <row r="11" spans="1:25" ht="15">
      <c r="A11" s="402"/>
      <c r="B11" s="403" t="s">
        <v>387</v>
      </c>
      <c r="C11" s="748"/>
      <c r="D11" s="748">
        <f>'Development Budget'!G41</f>
        <v>740840.4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61886700</v>
      </c>
      <c r="E13" s="748">
        <f>'PreDev Flow of Funds'!Y14</f>
        <v>69798.3</v>
      </c>
      <c r="F13" s="748">
        <f>(D13-E13)/18</f>
        <v>3434272.3166666669</v>
      </c>
      <c r="G13" s="748">
        <f>$F$13</f>
        <v>3434272.3166666669</v>
      </c>
      <c r="H13" s="748">
        <f t="shared" ref="H13:W13" si="5">$F$13</f>
        <v>3434272.3166666669</v>
      </c>
      <c r="I13" s="748">
        <f t="shared" si="5"/>
        <v>3434272.3166666669</v>
      </c>
      <c r="J13" s="748">
        <f t="shared" si="5"/>
        <v>3434272.3166666669</v>
      </c>
      <c r="K13" s="748">
        <f t="shared" si="5"/>
        <v>3434272.3166666669</v>
      </c>
      <c r="L13" s="748">
        <f t="shared" si="5"/>
        <v>3434272.3166666669</v>
      </c>
      <c r="M13" s="748">
        <f t="shared" si="5"/>
        <v>3434272.3166666669</v>
      </c>
      <c r="N13" s="748">
        <f t="shared" si="5"/>
        <v>3434272.3166666669</v>
      </c>
      <c r="O13" s="748">
        <f t="shared" si="5"/>
        <v>3434272.3166666669</v>
      </c>
      <c r="P13" s="748">
        <f t="shared" si="5"/>
        <v>3434272.3166666669</v>
      </c>
      <c r="Q13" s="748">
        <f t="shared" si="5"/>
        <v>3434272.3166666669</v>
      </c>
      <c r="R13" s="748">
        <f t="shared" si="5"/>
        <v>3434272.3166666669</v>
      </c>
      <c r="S13" s="748">
        <f t="shared" si="5"/>
        <v>3434272.3166666669</v>
      </c>
      <c r="T13" s="748">
        <f t="shared" si="5"/>
        <v>3434272.3166666669</v>
      </c>
      <c r="U13" s="748">
        <f t="shared" si="5"/>
        <v>3434272.3166666669</v>
      </c>
      <c r="V13" s="748">
        <f t="shared" si="5"/>
        <v>3434272.3166666669</v>
      </c>
      <c r="W13" s="748">
        <f t="shared" si="5"/>
        <v>3434272.3166666669</v>
      </c>
      <c r="X13" s="748"/>
      <c r="Y13" s="748">
        <f t="shared" si="3"/>
        <v>61886700.00000003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61886700</v>
      </c>
      <c r="E15" s="748">
        <f>'PreDev Flow of Funds'!Y16+'PreDev Flow of Funds'!Y17+'PreDev Flow of Funds'!Y19</f>
        <v>72500</v>
      </c>
      <c r="F15" s="748">
        <f>(D15-E15)/18</f>
        <v>3434122.222222222</v>
      </c>
      <c r="G15" s="748">
        <f>$F$15</f>
        <v>3434122.222222222</v>
      </c>
      <c r="H15" s="748">
        <f t="shared" ref="H15:W15" si="7">$F$15</f>
        <v>3434122.222222222</v>
      </c>
      <c r="I15" s="748">
        <f t="shared" si="7"/>
        <v>3434122.222222222</v>
      </c>
      <c r="J15" s="748">
        <f t="shared" si="7"/>
        <v>3434122.222222222</v>
      </c>
      <c r="K15" s="748">
        <f t="shared" si="7"/>
        <v>3434122.222222222</v>
      </c>
      <c r="L15" s="748">
        <f t="shared" si="7"/>
        <v>3434122.222222222</v>
      </c>
      <c r="M15" s="748">
        <f t="shared" si="7"/>
        <v>3434122.222222222</v>
      </c>
      <c r="N15" s="748">
        <f t="shared" si="7"/>
        <v>3434122.222222222</v>
      </c>
      <c r="O15" s="748">
        <f t="shared" si="7"/>
        <v>3434122.222222222</v>
      </c>
      <c r="P15" s="748">
        <f t="shared" si="7"/>
        <v>3434122.222222222</v>
      </c>
      <c r="Q15" s="748">
        <f t="shared" si="7"/>
        <v>3434122.222222222</v>
      </c>
      <c r="R15" s="748">
        <f t="shared" si="7"/>
        <v>3434122.222222222</v>
      </c>
      <c r="S15" s="748">
        <f t="shared" si="7"/>
        <v>3434122.222222222</v>
      </c>
      <c r="T15" s="748">
        <f t="shared" si="7"/>
        <v>3434122.222222222</v>
      </c>
      <c r="U15" s="748">
        <f t="shared" si="7"/>
        <v>3434122.222222222</v>
      </c>
      <c r="V15" s="748">
        <f t="shared" si="7"/>
        <v>3434122.222222222</v>
      </c>
      <c r="W15" s="748">
        <f t="shared" si="7"/>
        <v>3434122.222222222</v>
      </c>
      <c r="X15" s="748"/>
      <c r="Y15" s="748">
        <f t="shared" si="3"/>
        <v>61886700.000000022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49389360</v>
      </c>
      <c r="E33" s="748">
        <v>0</v>
      </c>
      <c r="F33" s="748">
        <f>D33</f>
        <v>49389360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49389360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154716.75</v>
      </c>
      <c r="E43" s="748">
        <f>D43</f>
        <v>154716.75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154716.75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345716.75</v>
      </c>
      <c r="E52" s="748">
        <f>D52</f>
        <v>345716.75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345716.75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394475</v>
      </c>
      <c r="E58" s="748">
        <f>'PreDev Flow of Funds'!Y46</f>
        <v>96238.814999999988</v>
      </c>
      <c r="F58" s="748">
        <f>(D58-E58)/18</f>
        <v>16568.676944444444</v>
      </c>
      <c r="G58" s="748">
        <f>$F$58</f>
        <v>16568.676944444444</v>
      </c>
      <c r="H58" s="748">
        <f t="shared" ref="H58:W58" si="18">$F$58</f>
        <v>16568.676944444444</v>
      </c>
      <c r="I58" s="748">
        <f t="shared" si="18"/>
        <v>16568.676944444444</v>
      </c>
      <c r="J58" s="748">
        <f t="shared" si="18"/>
        <v>16568.676944444444</v>
      </c>
      <c r="K58" s="748">
        <f t="shared" si="18"/>
        <v>16568.676944444444</v>
      </c>
      <c r="L58" s="748">
        <f t="shared" si="18"/>
        <v>16568.676944444444</v>
      </c>
      <c r="M58" s="748">
        <f t="shared" si="18"/>
        <v>16568.676944444444</v>
      </c>
      <c r="N58" s="748">
        <f t="shared" si="18"/>
        <v>16568.676944444444</v>
      </c>
      <c r="O58" s="748">
        <f t="shared" si="18"/>
        <v>16568.676944444444</v>
      </c>
      <c r="P58" s="748">
        <f t="shared" si="18"/>
        <v>16568.676944444444</v>
      </c>
      <c r="Q58" s="748">
        <f t="shared" si="18"/>
        <v>16568.676944444444</v>
      </c>
      <c r="R58" s="748">
        <f t="shared" si="18"/>
        <v>16568.676944444444</v>
      </c>
      <c r="S58" s="748">
        <f t="shared" si="18"/>
        <v>16568.676944444444</v>
      </c>
      <c r="T58" s="748">
        <f t="shared" si="18"/>
        <v>16568.676944444444</v>
      </c>
      <c r="U58" s="748">
        <f t="shared" si="18"/>
        <v>16568.676944444444</v>
      </c>
      <c r="V58" s="748">
        <f t="shared" si="18"/>
        <v>16568.676944444444</v>
      </c>
      <c r="W58" s="748">
        <f t="shared" si="18"/>
        <v>16568.676944444444</v>
      </c>
      <c r="X58" s="748"/>
      <c r="Y58" s="748">
        <f t="shared" si="3"/>
        <v>394474.99999999988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246217.89320770215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15345586.574999997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53189823.131194308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-11361241.410941999</v>
      </c>
      <c r="E87" s="749">
        <f>E80-E84-E85-E86-E88-E89-E90-E91</f>
        <v>504433.49999999627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15345586.574999997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-1154995.1775</v>
      </c>
      <c r="K103" s="162">
        <f>J103+(C116*0.25)/2</f>
        <v>-2309990.355</v>
      </c>
      <c r="L103" s="162">
        <f>K103+((C116-K103)/4)</f>
        <v>-4042483.1212499999</v>
      </c>
      <c r="M103" s="162">
        <f>L103+((C116-K103)/4)</f>
        <v>-5774975.8874999993</v>
      </c>
      <c r="N103" s="162">
        <f>M103+((C116-K103)/4)</f>
        <v>-7507468.6537499987</v>
      </c>
      <c r="O103" s="162">
        <f>N103+((C116-K103)/4)</f>
        <v>-9239961.4199999981</v>
      </c>
      <c r="P103" s="162">
        <f>O103</f>
        <v>-9239961.4199999981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9736017.5408333335</v>
      </c>
      <c r="K104" s="371">
        <f>((C117-1033493)/6)+J104</f>
        <v>19472035.081666667</v>
      </c>
      <c r="L104" s="371">
        <f>((C117-1033493)/6)+K104</f>
        <v>29208052.622500002</v>
      </c>
      <c r="M104" s="371">
        <f>((C117-1033493)/6)+L104</f>
        <v>38944070.163333334</v>
      </c>
      <c r="N104" s="371">
        <f>((C117-1033493)/6)+M104</f>
        <v>48680087.704166666</v>
      </c>
      <c r="O104" s="371">
        <f>((C117-1033493)/6)+N104</f>
        <v>58416105.244999997</v>
      </c>
      <c r="P104" s="371">
        <f>(286645+100000+646848)+O104</f>
        <v>59449598.244999997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8581022.3633333333</v>
      </c>
      <c r="K110" s="371">
        <f t="shared" ref="K110:P110" si="9">SUM(K103:K104)</f>
        <v>17162044.726666667</v>
      </c>
      <c r="L110" s="371">
        <f t="shared" si="9"/>
        <v>25165569.501250003</v>
      </c>
      <c r="M110" s="371">
        <f t="shared" si="9"/>
        <v>33169094.275833335</v>
      </c>
      <c r="N110" s="371">
        <f t="shared" si="9"/>
        <v>41172619.050416663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-9239961.4199999999</v>
      </c>
      <c r="D116" s="1769"/>
    </row>
    <row r="117" spans="2:19" ht="16.5" thickBot="1">
      <c r="B117" s="398" t="s">
        <v>601</v>
      </c>
      <c r="C117" s="1772">
        <f>C118-C114-C116-C115</f>
        <v>59449598.245000005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