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Increase Property Tax Exemption Threshold\"/>
    </mc:Choice>
  </mc:AlternateContent>
  <xr:revisionPtr revIDLastSave="0" documentId="13_ncr:1_{224496AA-5169-4F6C-BA21-86FACF96C08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2" l="1"/>
  <c r="D33" i="2"/>
  <c r="M116" i="1"/>
  <c r="M117" i="1"/>
  <c r="M163" i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E33" i="2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D22" i="6"/>
  <c r="I250" i="1"/>
  <c r="K97" i="1" s="1"/>
  <c r="G254" i="1"/>
  <c r="D23" i="2"/>
  <c r="E28" i="28" l="1"/>
  <c r="E18" i="28"/>
  <c r="E23" i="2"/>
  <c r="D24" i="2"/>
  <c r="D20" i="6" s="1"/>
  <c r="E24" i="2" l="1"/>
  <c r="E38" i="6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<sst xmlns="http://schemas.openxmlformats.org/spreadsheetml/2006/main" count="1995" uniqueCount="1106">
  <si>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</si>
  <si>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</si>
  <si>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</si>
  <si>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</si>
  <si>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</si>
  <si>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</si>
  <si>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</si>
  <si>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</si>
  <si>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</si>
  <si>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</si>
  <si>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</si>
  <si>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</si>
  <si>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</si>
  <si>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</si>
  <si>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</si>
  <si>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</si>
  <si>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</si>
  <si>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</si>
  <si>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</si>
  <si>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</si>
  <si>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</si>
  <si>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</si>
  <si>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</si>
  <si>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</si>
  <si>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</si>
  <si>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</si>
  <si>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</si>
  <si>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</si>
  <si>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</si>
  <si>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</si>
  <si>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</si>
  <si>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</si>
  <si>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</si>
  <si>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</si>
  <si>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</si>
  <si>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</si>
  <si>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</si>
  <si>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</si>
  <si>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</si>
  <si>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</si>
  <si>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</si>
  <si>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</si>
  <si>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</si>
  <si>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</si>
  <si>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</si>
  <si>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</si>
  <si>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</si>
  <si>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</si>
  <si>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</si>
  <si>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</si>
  <si>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</si>
  <si>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</si>
  <si>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</si>
  <si>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</si>
  <si>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</si>
  <si>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</si>
  <si>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</si>
  <si>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</si>
  <si>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</si>
  <si>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</si>
  <si>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</si>
  <si>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</si>
  <si>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</si>
  <si>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</si>
  <si>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</si>
  <si>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</si>
  <si>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</si>
  <si>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</si>
  <si>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</si>
  <si>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</si>
  <si>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</si>
  <si>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</si>
  <si>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</si>
  <si>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</si>
  <si>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</si>
  <si>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</si>
  <si>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</si>
  <si>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</si>
  <si>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</si>
  <si>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</si>
  <si>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</si>
  <si>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</si>
  <si>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</si>
  <si>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</si>
  <si>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</si>
  <si>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</si>
  <si>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</si>
  <si>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</si>
  <si>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</si>
  <si>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</si>
  <si>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</si>
  <si>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</si>
  <si>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</si>
  <si>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</si>
  <si>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</si>
  <si>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</si>
  <si>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</si>
  <si>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</si>
  <si>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</si>
  <si>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</si>
  <si>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</si>
  <si>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</si>
  <si>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</si>
  <si>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</si>
  <si>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</si>
  <si>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</si>
  <si>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</si>
  <si>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</si>
  <si>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</si>
  <si>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</si>
  <si>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</si>
  <si>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</si>
  <si>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</si>
  <si>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</si>
  <si>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</si>
  <si>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</si>
  <si>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</si>
  <si>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</si>
  <si>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</si>
  <si>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</si>
  <si>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</si>
  <si>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</si>
  <si>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</si>
  <si>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</si>
  <si>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</si>
  <si>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</si>
  <si>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</si>
  <si>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</si>
  <si>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</si>
  <si>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</si>
  <si>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</si>
  <si>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</si>
  <si>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</si>
  <si>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</si>
  <si>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</si>
  <si>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</si>
  <si>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</si>
  <si>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</si>
  <si>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</si>
  <si>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</si>
  <si>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</si>
  <si>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</si>
  <si>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</si>
  <si>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</si>
  <si>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</si>
  <si>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</si>
  <si>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</si>
  <si>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</si>
  <si>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</si>
  <si>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</si>
  <si>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</si>
  <si>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</si>
  <si>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</si>
  <si>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</si>
  <si>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</si>
  <si>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</si>
  <si>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</si>
  <si>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</si>
  <si>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</si>
  <si>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</si>
  <si>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</si>
  <si>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</si>
  <si>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</si>
  <si>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</si>
  <si>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</si>
  <si>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</si>
  <si>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</si>
  <si>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</si>
  <si>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</si>
  <si>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</si>
  <si>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</si>
  <si>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</si>
  <si>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</si>
  <si>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</si>
  <si>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</si>
  <si>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</si>
  <si>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</si>
  <si>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</si>
  <si>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</si>
  <si>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</si>
  <si>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</si>
  <si>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</si>
  <si>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</si>
  <si>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</si>
  <si>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</si>
  <si>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</si>
  <si>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</si>
  <si>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</si>
  <si>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</si>
  <si>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</si>
  <si>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</si>
  <si>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</si>
  <si>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</si>
  <si>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</si>
  <si>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</si>
  <si>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</si>
  <si>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</si>
  <si>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</si>
  <si>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</si>
  <si>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</si>
  <si>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</si>
  <si>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</si>
  <si>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</si>
  <si>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</si>
  <si>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</si>
  <si>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</si>
  <si>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</si>
  <si>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</si>
  <si>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</si>
  <si>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</si>
  <si>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</si>
  <si>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</si>
  <si>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</si>
  <si>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</si>
  <si>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</si>
  <si>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</si>
  <si>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</si>
  <si>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</si>
  <si>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</si>
  <si>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</si>
  <si>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</si>
  <si>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</si>
  <si>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</si>
  <si>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</si>
  <si>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</si>
  <si>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</si>
  <si>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</si>
  <si>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</si>
  <si>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</si>
  <si>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</si>
  <si>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</si>
  <si>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</si>
  <si>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</si>
  <si>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</si>
  <si>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</si>
  <si>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</si>
  <si>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</si>
  <si>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</si>
  <si>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</si>
  <si>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</si>
  <si>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</si>
  <si>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</si>
  <si>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</si>
  <si>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</si>
  <si>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</si>
  <si>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</si>
  <si>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</si>
  <si>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</si>
  <si>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</si>
  <si>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</si>
  <si>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</si>
  <si>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</si>
  <si>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</si>
  <si>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</si>
  <si>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</si>
  <si>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</si>
  <si>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</si>
  <si>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</si>
  <si>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</si>
  <si>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</si>
  <si>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</si>
  <si>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</si>
  <si>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</si>
  <si>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</si>
  <si>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</si>
  <si>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</si>
  <si>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</si>
  <si>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</si>
  <si>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</si>
  <si>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</si>
  <si>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</si>
  <si>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</si>
  <si>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</si>
  <si>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</si>
  <si>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</si>
  <si>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</si>
  <si>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</si>
  <si>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</si>
  <si>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</si>
  <si>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</si>
  <si>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</si>
  <si>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</si>
  <si>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</si>
  <si>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</si>
  <si>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</si>
  <si>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</si>
  <si>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</si>
  <si>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</si>
  <si>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</si>
  <si>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</si>
  <si>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</si>
  <si>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</si>
  <si>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</si>
  <si>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</si>
  <si>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</si>
  <si>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</si>
  <si>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</si>
  <si>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</si>
  <si>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</si>
  <si>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</si>
  <si>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</si>
  <si>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</si>
  <si>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</si>
  <si>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</si>
  <si>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</si>
  <si>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</si>
  <si>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</si>
  <si>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</si>
  <si>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</si>
  <si>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</si>
  <si>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</si>
  <si>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</si>
  <si>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</si>
  <si>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</si>
  <si>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</si>
  <si>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</si>
  <si>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</si>
  <si>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</si>
  <si>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</si>
  <si>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</si>
  <si>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</si>
  <si>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</si>
  <si>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</si>
  <si>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</si>
  <si>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</si>
  <si>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</si>
  <si>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</si>
  <si>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</si>
  <si>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</si>
  <si>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</si>
  <si>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</si>
  <si>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</si>
  <si>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</si>
  <si>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</si>
  <si>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</si>
  <si>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</si>
  <si>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</si>
  <si>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</si>
  <si>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</si>
  <si>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</si>
  <si>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</si>
  <si>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</si>
  <si>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</si>
  <si>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</si>
  <si>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</si>
  <si>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</si>
  <si>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</si>
  <si>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</si>
  <si>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</si>
  <si>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</si>
  <si>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</si>
  <si>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</si>
  <si>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</si>
  <si>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</si>
  <si>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</si>
  <si>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</si>
  <si>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</si>
  <si>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</si>
  <si>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</si>
  <si>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</si>
  <si>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</si>
  <si>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</si>
  <si>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</si>
  <si>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</si>
  <si>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</si>
  <si>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</si>
  <si>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</si>
  <si>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</si>
  <si>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</si>
  <si>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</si>
  <si>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</si>
  <si>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</si>
  <si>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</si>
  <si>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</si>
  <si>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</si>
  <si>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</si>
  <si>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</si>
  <si>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</si>
  <si>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</si>
  <si>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</si>
  <si>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</si>
  <si>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</si>
  <si>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</si>
  <si>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</si>
  <si>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</si>
  <si>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</si>
  <si>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</si>
  <si>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</si>
  <si>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</si>
  <si>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</si>
  <si>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</si>
  <si>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</si>
  <si>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</si>
  <si>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</si>
  <si>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</si>
  <si>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</si>
  <si>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</si>
  <si>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</si>
  <si>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</si>
  <si>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</si>
  <si>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</si>
  <si>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</si>
  <si>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</si>
  <si>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</si>
  <si>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</si>
  <si>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</si>
  <si>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</si>
  <si>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</si>
  <si>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</si>
  <si>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</si>
  <si>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</si>
  <si>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</si>
  <si>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</si>
  <si>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</si>
  <si>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</si>
  <si>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</si>
  <si>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</si>
  <si>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</si>
  <si>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</si>
  <si>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</si>
  <si>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</si>
  <si>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</si>
  <si>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</si>
  <si>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</si>
  <si>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</si>
  <si>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</si>
  <si>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</si>
  <si>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</si>
  <si>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</si>
  <si>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</si>
  <si>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</si>
  <si>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</si>
  <si>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</si>
  <si>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</si>
  <si>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</si>
  <si>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</si>
  <si>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</si>
  <si>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</si>
  <si>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</si>
  <si>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</si>
  <si>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</si>
  <si>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</si>
  <si>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</si>
  <si>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</si>
  <si>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</si>
  <si>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</si>
  <si>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</si>
  <si>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</si>
  <si>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</si>
  <si>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</si>
  <si>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</si>
  <si>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</si>
  <si>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</si>
  <si>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</si>
  <si>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</si>
  <si>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</si>
  <si>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</si>
  <si>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</si>
  <si>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</si>
  <si>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</si>
  <si>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</si>
  <si>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</si>
  <si>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</si>
  <si>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</si>
  <si>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</si>
  <si>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</si>
  <si>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</si>
  <si>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</si>
  <si>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</si>
  <si>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</si>
  <si>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</si>
  <si>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</si>
  <si>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</si>
  <si>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</si>
  <si>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</si>
  <si>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</si>
  <si>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</si>
  <si>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</si>
  <si>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</si>
  <si>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</si>
  <si>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</si>
  <si>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</si>
  <si>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</si>
  <si>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</si>
  <si>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</si>
  <si>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</si>
  <si>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</si>
  <si>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</si>
  <si>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</si>
  <si>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</si>
  <si>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</si>
  <si>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</si>
  <si>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</si>
  <si>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</si>
  <si>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</si>
  <si>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</si>
  <si>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</si>
  <si>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</si>
  <si>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</si>
  <si>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</si>
  <si>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</si>
  <si>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</si>
  <si>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</si>
  <si>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</si>
  <si>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</si>
  <si>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</si>
  <si>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</si>
  <si>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</si>
  <si>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</si>
  <si>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</si>
  <si>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</si>
  <si>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</si>
  <si>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</si>
  <si>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</si>
  <si>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</si>
  <si>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</si>
  <si>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</si>
  <si>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</si>
  <si>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</si>
  <si>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</si>
  <si>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</si>
  <si>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</si>
  <si>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</si>
  <si>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</si>
  <si>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</si>
  <si>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</si>
  <si>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</si>
  <si>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</si>
  <si>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</si>
  <si>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</si>
  <si>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</si>
  <si>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</si>
  <si>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</si>
  <si>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</si>
  <si>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</si>
  <si>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</si>
  <si>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</si>
  <si>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</si>
  <si>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</si>
  <si>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</si>
  <si>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</si>
  <si>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</si>
  <si>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</si>
  <si>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</si>
  <si>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</si>
  <si>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</si>
  <si>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</si>
  <si>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</si>
  <si>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</si>
  <si>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</si>
  <si>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</si>
  <si>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</si>
  <si>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</si>
  <si>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</si>
  <si>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</si>
  <si>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</si>
  <si>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</si>
  <si>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</si>
  <si>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</si>
  <si>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</si>
  <si>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</si>
  <si>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</si>
  <si>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</si>
  <si>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</si>
  <si>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</si>
  <si>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</si>
  <si>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</si>
  <si>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</si>
  <si>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</si>
  <si>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</si>
  <si>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</si>
  <si>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</si>
  <si>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</si>
  <si>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</si>
  <si>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</si>
  <si>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</si>
  <si>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</si>
  <si>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</si>
  <si>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</si>
  <si>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</si>
  <si>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</si>
  <si>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</si>
  <si>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</si>
  <si>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</si>
  <si>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</si>
  <si>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</si>
  <si>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</si>
  <si>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</si>
  <si>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</si>
  <si>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</si>
  <si>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</si>
  <si>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</si>
  <si>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</si>
  <si>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</si>
  <si>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</si>
  <si>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</si>
  <si>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</si>
  <si>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</si>
  <si>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</si>
  <si>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</si>
  <si>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</si>
  <si>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</si>
  <si>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</si>
  <si>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</si>
  <si>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</si>
  <si>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</si>
  <si>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</si>
  <si>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</si>
  <si>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</si>
  <si>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</si>
  <si>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</si>
  <si>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</si>
  <si>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</si>
  <si>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</si>
  <si>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</si>
  <si>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</si>
  <si>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</si>
  <si>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</si>
  <si>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</si>
  <si>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</si>
  <si>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</si>
  <si>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</si>
  <si>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</si>
  <si>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</si>
  <si>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</si>
  <si>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</si>
  <si>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</si>
  <si>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</si>
  <si>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</si>
  <si>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</si>
  <si>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</si>
  <si>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</si>
  <si>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</si>
  <si>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</si>
  <si>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</si>
  <si>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</si>
  <si>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</si>
  <si>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</si>
  <si>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</si>
  <si>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</si>
  <si>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</si>
  <si>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</si>
  <si>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</si>
  <si>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</si>
  <si>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</si>
  <si>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</si>
  <si>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</si>
  <si>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</si>
  <si>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</si>
  <si>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</si>
  <si>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</si>
  <si>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</si>
  <si>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</si>
  <si>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</si>
  <si>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</si>
  <si>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</si>
  <si>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</si>
  <si>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</si>
  <si>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</si>
  <si>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</si>
  <si>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</si>
  <si>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</si>
  <si>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</si>
  <si>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</si>
  <si>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</si>
  <si>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</si>
  <si>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</si>
  <si>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</si>
  <si>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</si>
  <si>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</si>
  <si>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</si>
  <si>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</si>
  <si>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</si>
  <si>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</si>
  <si>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</si>
  <si>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</si>
  <si>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</si>
  <si>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</si>
  <si>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</si>
  <si>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</si>
  <si>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</si>
  <si>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</si>
  <si>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</si>
  <si>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</si>
  <si>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</si>
  <si>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</si>
  <si>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</si>
  <si>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</si>
  <si>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</si>
  <si>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</si>
  <si>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</si>
  <si>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</si>
  <si>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</si>
  <si>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</si>
  <si>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</si>
  <si>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</si>
  <si>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</si>
  <si>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</si>
  <si>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</si>
  <si>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</si>
  <si>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</si>
  <si>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</si>
  <si>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</si>
  <si>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</si>
  <si>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</si>
  <si>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</si>
  <si>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</si>
  <si>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</si>
  <si>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</si>
  <si>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</si>
  <si>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</si>
  <si>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</si>
  <si>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</si>
  <si>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</si>
  <si>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</si>
  <si>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</si>
  <si>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</si>
  <si>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</si>
  <si>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</si>
  <si>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</si>
  <si>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</si>
  <si>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</si>
  <si>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</si>
  <si>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</si>
  <si>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</si>
  <si>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</si>
  <si>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</si>
  <si>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</si>
  <si>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</si>
  <si>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</si>
  <si>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</si>
  <si>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</si>
  <si>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</si>
  <si>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</si>
  <si>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</si>
  <si>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</si>
  <si>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</si>
  <si>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</si>
  <si>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</si>
  <si>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</si>
  <si>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</si>
  <si>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</si>
  <si>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</si>
  <si>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</si>
  <si>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</si>
  <si>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</si>
  <si>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</si>
  <si>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</si>
  <si>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</si>
  <si>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</si>
  <si>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</si>
  <si>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</si>
  <si>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</si>
  <si>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</si>
  <si>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</si>
  <si>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</si>
  <si>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</si>
  <si>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</si>
  <si>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</si>
  <si>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</si>
  <si>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</si>
  <si>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</si>
  <si>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</si>
  <si>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</si>
  <si>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</si>
  <si>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</si>
  <si>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</si>
  <si>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</si>
  <si>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</si>
  <si>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</si>
  <si>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</si>
  <si>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</si>
  <si>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</si>
  <si>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</si>
  <si>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</si>
  <si>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</si>
  <si>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</si>
  <si>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</si>
  <si>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</si>
  <si>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</si>
  <si>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</si>
  <si>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</si>
  <si>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</si>
  <si>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</si>
  <si>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</si>
  <si>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</si>
  <si>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</si>
  <si>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</si>
  <si>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</si>
  <si>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</si>
  <si>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</si>
  <si>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</si>
  <si>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</si>
  <si>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</si>
  <si>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</si>
  <si>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</si>
  <si>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</si>
  <si>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</si>
  <si>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</si>
  <si>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</si>
  <si>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</si>
  <si>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</si>
  <si>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</si>
  <si>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</si>
  <si>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</si>
  <si>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</si>
  <si>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</si>
  <si>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</si>
  <si>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</si>
  <si>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</si>
  <si>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</si>
  <si>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</si>
  <si>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</si>
  <si>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</si>
  <si>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</si>
  <si>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</si>
  <si>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</si>
  <si>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</si>
  <si>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</si>
  <si>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</si>
  <si>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</si>
  <si>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</si>
  <si>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</si>
  <si>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</si>
  <si>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</si>
  <si>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</si>
  <si>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</si>
  <si>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</si>
  <si>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</si>
  <si>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</si>
  <si>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</si>
  <si>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</si>
  <si>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</si>
  <si>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</si>
  <si>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</si>
  <si>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</si>
  <si>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</si>
  <si>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</si>
  <si>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</si>
  <si>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</si>
  <si>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</si>
  <si>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</si>
  <si>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</si>
  <si>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</si>
  <si>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</si>
  <si>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</si>
  <si>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</si>
  <si>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</si>
  <si>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</si>
  <si>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</si>
  <si>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</si>
  <si>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</si>
  <si>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</si>
  <si>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</si>
  <si>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</si>
  <si>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</si>
  <si>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</si>
  <si>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</si>
  <si>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</si>
  <si>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</si>
  <si>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</si>
  <si>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</si>
  <si>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</si>
  <si>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</si>
  <si>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</si>
  <si>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</si>
  <si>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</si>
  <si>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</si>
  <si>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</si>
  <si>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</si>
  <si>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</si>
  <si>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</si>
  <si>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</si>
  <si>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</si>
  <si>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</si>
  <si>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</si>
  <si>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</si>
  <si>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</si>
  <si>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</si>
  <si>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</si>
  <si>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</si>
  <si>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</si>
  <si>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</si>
  <si>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</si>
  <si>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</si>
  <si>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</si>
  <si>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</si>
  <si>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</si>
  <si>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</si>
  <si>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</si>
  <si>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</si>
  <si>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</si>
  <si>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</si>
  <si>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</si>
  <si>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</si>
  <si>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</si>
  <si>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</si>
  <si>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</si>
  <si>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</si>
  <si>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</si>
  <si>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</si>
  <si>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</si>
  <si>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</si>
  <si>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</si>
  <si>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</si>
  <si>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</si>
  <si>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</si>
  <si>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</si>
  <si>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</si>
  <si>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</si>
  <si>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</si>
  <si>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</si>
  <si>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</si>
  <si>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</si>
  <si>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</si>
  <si>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</si>
  <si>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</si>
  <si>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</si>
  <si>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</si>
  <si>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</si>
  <si>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</si>
  <si>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</si>
  <si>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</si>
  <si>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</si>
  <si>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</si>
  <si>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</si>
  <si>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</si>
  <si>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</si>
  <si>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</si>
  <si>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</si>
  <si>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</si>
  <si>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</si>
  <si>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</si>
  <si>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</si>
  <si>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</si>
  <si>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</si>
  <si>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</si>
  <si>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</si>
  <si>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</si>
  <si>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</si>
  <si>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</si>
  <si>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</si>
  <si>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</si>
  <si>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</si>
  <si>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</si>
  <si>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</si>
  <si>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</si>
  <si>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</si>
  <si>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</si>
  <si>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</si>
  <si>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</si>
  <si>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</si>
  <si>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</si>
  <si>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</si>
  <si>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</si>
  <si>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</si>
  <si>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</si>
  <si>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</si>
  <si>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</si>
  <si>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</si>
  <si>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</si>
  <si>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</si>
  <si>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</si>
  <si>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</si>
  <si>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</si>
  <si>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</si>
  <si>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</si>
  <si>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</si>
  <si>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</si>
  <si>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</si>
  <si>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</si>
  <si>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</si>
  <si>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</si>
  <si>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</si>
  <si>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</si>
  <si>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</si>
  <si>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</si>
  <si>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</si>
  <si>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</si>
  <si>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</si>
  <si>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</si>
  <si>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</si>
  <si>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</si>
  <si>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</si>
  <si>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</si>
  <si>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</si>
  <si>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</si>
  <si>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</si>
  <si>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</si>
  <si>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</si>
  <si>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</si>
  <si>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</si>
  <si>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</si>
  <si>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</si>
  <si>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</si>
  <si>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</si>
  <si>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</si>
  <si>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</si>
  <si>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</si>
  <si>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</si>
  <si>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</si>
  <si>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</si>
  <si>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</si>
  <si>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</si>
  <si>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</si>
  <si>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</si>
  <si>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</si>
  <si>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</si>
  <si>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</si>
  <si>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</si>
  <si>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</si>
  <si>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</si>
  <si>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</si>
  <si>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</si>
  <si>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</si>
  <si>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</si>
  <si>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</si>
  <si>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</si>
  <si>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</si>
  <si>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</si>
  <si>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</si>
  <si>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</si>
  <si>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</si>
  <si>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</si>
  <si>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</si>
  <si>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</si>
  <si>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</si>
  <si>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</si>
  <si>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</si>
  <si>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</si>
  <si>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</si>
  <si>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</si>
  <si>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</si>
  <si>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</si>
  <si>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</si>
  <si>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</si>
  <si>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</si>
  <si>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</si>
  <si>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</si>
  <si>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</si>
  <si>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</si>
  <si>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</si>
  <si>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</si>
  <si>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</si>
  <si>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</si>
  <si>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</si>
  <si>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</si>
  <si>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</si>
  <si>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</si>
  <si>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</si>
  <si>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</si>
  <si>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</si>
  <si>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</si>
  <si>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</si>
  <si>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</si>
  <si>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</si>
  <si>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</si>
  <si>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</si>
  <si>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</si>
  <si>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</si>
  <si>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</si>
  <si>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</si>
  <si>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</si>
  <si>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</si>
  <si>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</si>
  <si>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</si>
  <si>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</si>
  <si>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</si>
  <si>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</si>
  <si>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</si>
  <si>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</si>
  <si>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</si>
  <si>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</si>
  <si>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</si>
  <si>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</si>
  <si>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</si>
  <si>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</si>
  <si>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</si>
  <si>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</si>
  <si>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</si>
  <si>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</si>
  <si>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</si>
  <si>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</si>
  <si>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</si>
  <si>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</si>
  <si>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</si>
  <si>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</si>
  <si>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</si>
  <si>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</si>
  <si>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</si>
  <si>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</si>
  <si>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</si>
  <si>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</si>
  <si>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</si>
  <si>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</si>
  <si>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</si>
  <si>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</si>
  <si>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</si>
  <si>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</si>
  <si>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</si>
  <si>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Term (months)</t>
  </si>
  <si>
    <t>Term (yr)</t>
  </si>
  <si>
    <t>Conversion Takeout</t>
  </si>
  <si>
    <t>Year 7 Takeout</t>
  </si>
  <si>
    <t>80% AMI</t>
  </si>
  <si>
    <t>Abatement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</si>
</sst>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80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43" workbookViewId="0">
      <selection activeCell="F4" sqref="F4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1091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101</v>
      </c>
      <c r="E10" s="699"/>
    </row>
    <row r="11" spans="1:5">
      <c r="A11" s="690"/>
      <c r="B11" s="698" t="s">
        <v>11</v>
      </c>
      <c r="C11" s="698"/>
      <c r="D11" s="700">
        <f>D12+D13</f>
        <v>98628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98628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1095</v>
      </c>
      <c r="B14" s="1691"/>
      <c r="C14" s="1691"/>
      <c r="D14" s="1715" t="s">
        <v>1103</v>
      </c>
      <c r="E14" s="700"/>
    </row>
    <row r="15" spans="1:5">
      <c r="A15" s="1582" t="s">
        <v>1092</v>
      </c>
      <c r="B15" s="1678"/>
      <c r="C15" s="1685"/>
      <c r="D15" s="1679" cm="1">
        <f t="array" aca="1" ref="D15" ca="1">IF(D14="Year 7 Takeout", INDIRECT("GapCalc!K46"), INDIRECT("GapCalc!K58"))</f>
        <v>3.4956071493228588E-2</v>
      </c>
      <c r="E15" s="700"/>
    </row>
    <row r="16" spans="1:5">
      <c r="A16" s="1681" t="s">
        <v>1093</v>
      </c>
      <c r="B16" s="702"/>
      <c r="D16" s="1680" cm="1">
        <f t="array" aca="1" ref="D16" ca="1">IF(D14="Year 7 Takeout", INDIRECT("GapCalc!K51"), INDIRECT("GapCalc!K63"))</f>
        <v>3.4956071493228554E-2</v>
      </c>
      <c r="E16" s="700"/>
    </row>
    <row r="17" spans="1:6">
      <c r="A17" s="1686"/>
      <c r="B17" s="702"/>
      <c r="D17" s="1682"/>
      <c r="E17" s="1754" t="s">
        <v>962</v>
      </c>
    </row>
    <row r="18" spans="1:6">
      <c r="A18" s="1683" t="s">
        <v>1094</v>
      </c>
      <c r="B18" s="47"/>
      <c r="C18" s="47"/>
      <c r="D18" s="1684" cm="1">
        <f t="array" aca="1" ref="D18" ca="1">IF(D14="Year 7 Takeout", INDIRECT("GapCalc!I55"), INDIRECT("GapCalc!I67"))</f>
        <v>-5662693.320849332</v>
      </c>
      <c r="E18" s="1755">
        <f ca="1">-D18/D28</f>
        <v>8.5766089749146887E-2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383</v>
      </c>
    </row>
    <row r="21" spans="1:6">
      <c r="A21" s="64"/>
      <c r="B21" s="63" t="s">
        <v>15</v>
      </c>
      <c r="C21" s="63"/>
      <c r="D21" s="1531">
        <f>'Development Budget'!G28</f>
        <v>6740000</v>
      </c>
      <c r="E21" s="1531">
        <f>D21/$D$10</f>
        <v>66732.67326732674</v>
      </c>
    </row>
    <row r="22" spans="1:6">
      <c r="A22" s="64"/>
      <c r="B22" s="4" t="s">
        <v>16</v>
      </c>
      <c r="C22" s="4"/>
      <c r="D22" s="1531">
        <f>'Development Budget'!G44</f>
        <v>40757982.187500007</v>
      </c>
      <c r="E22" s="1531">
        <f t="shared" ref="E22:E28" si="0">D22/$D$10</f>
        <v>403544.37809405947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1437720</v>
      </c>
      <c r="E23" s="1531">
        <f t="shared" si="0"/>
        <v>14234.851485148514</v>
      </c>
    </row>
    <row r="24" spans="1:6">
      <c r="A24" s="64"/>
      <c r="B24" s="4" t="s">
        <v>18</v>
      </c>
      <c r="C24" s="4"/>
      <c r="D24" s="1531">
        <f>'Development Budget'!G97</f>
        <v>1903349</v>
      </c>
      <c r="E24" s="1531">
        <f t="shared" si="0"/>
        <v>18845.039603960395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4421723.0373232607</v>
      </c>
      <c r="E25" s="1531">
        <f t="shared" si="0"/>
        <v>43779.436013101593</v>
      </c>
    </row>
    <row r="26" spans="1:6">
      <c r="A26" s="64"/>
      <c r="B26" s="4" t="s">
        <v>20</v>
      </c>
      <c r="C26" s="4"/>
      <c r="D26" s="1531">
        <f>'Development Budget'!G181</f>
        <v>3071982.5</v>
      </c>
      <c r="E26" s="1531">
        <f t="shared" si="0"/>
        <v>30415.668316831685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7692094.5586137101</v>
      </c>
      <c r="E27" s="1532">
        <f t="shared" si="0"/>
        <v>76159.352065482279</v>
      </c>
    </row>
    <row r="28" spans="1:6" ht="16.5" thickTop="1">
      <c r="A28" s="4"/>
      <c r="B28" s="4"/>
      <c r="C28" s="150" t="s">
        <v>14</v>
      </c>
      <c r="D28" s="1533">
        <f>SUM(D21:D27)</f>
        <v>66024851.283436976</v>
      </c>
      <c r="E28" s="1531">
        <f t="shared" si="0"/>
        <v>653711.39884591068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383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42789775.09324307</v>
      </c>
      <c r="E32" s="1586">
        <f t="shared" si="1"/>
        <v>423661.13953706011</v>
      </c>
    </row>
    <row r="33" spans="1:5">
      <c r="A33" s="64"/>
      <c r="B33" s="4" t="s">
        <v>1052</v>
      </c>
      <c r="C33" s="4"/>
      <c r="D33" s="1587">
        <f>GapCalc!D29</f>
        <v>3485261.4285290851</v>
      </c>
      <c r="E33" s="1586">
        <f>D33/$D$10</f>
        <v>34507.538896327576</v>
      </c>
    </row>
    <row r="34" spans="1:5">
      <c r="A34" s="65"/>
      <c r="B34" s="4" t="s">
        <v>26</v>
      </c>
      <c r="C34" s="4"/>
      <c r="D34" s="1587">
        <f>GapCalc!D30</f>
        <v>19749814.761664819</v>
      </c>
      <c r="E34" s="1586">
        <f>D34/$D$10</f>
        <v>195542.72041252296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66024851.283436969</v>
      </c>
      <c r="E36" s="1586">
        <f>D36/$D$10</f>
        <v>653711.39884591056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383</v>
      </c>
    </row>
    <row r="39" spans="1:5">
      <c r="A39" s="60"/>
      <c r="B39" s="4" t="s">
        <v>1048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996</v>
      </c>
      <c r="C40" s="4"/>
      <c r="D40" s="1586">
        <f>GapCalc!D37</f>
        <v>42069464.679681219</v>
      </c>
      <c r="E40" s="1586">
        <f t="shared" ref="E40" si="2">D40/$D$10</f>
        <v>416529.35326417047</v>
      </c>
    </row>
    <row r="41" spans="1:5">
      <c r="A41" s="60"/>
      <c r="B41" s="4" t="s">
        <v>1052</v>
      </c>
      <c r="C41" s="4"/>
      <c r="D41" s="1591">
        <f>GapCalc!D29+GapCalc!D38</f>
        <v>3593307.9905633638</v>
      </c>
      <c r="E41" s="1586">
        <f>D41/$D$10</f>
        <v>35577.306837261029</v>
      </c>
    </row>
    <row r="42" spans="1:5">
      <c r="A42" s="60"/>
      <c r="B42" s="1557" t="s">
        <v>26</v>
      </c>
      <c r="C42" s="4"/>
      <c r="D42" s="1592">
        <f>GapCalc!D30+GapCalc!D39</f>
        <v>20362078.613192398</v>
      </c>
      <c r="E42" s="1586">
        <f>D42/$D$10</f>
        <v>201604.7387444792</v>
      </c>
    </row>
    <row r="43" spans="1:5">
      <c r="A43" s="60"/>
      <c r="B43" s="1714" t="s">
        <v>1102</v>
      </c>
      <c r="C43" s="4"/>
      <c r="D43" s="1592">
        <f>IF(D32-D40&gt;0,0,D32-D40)</f>
        <v>0</v>
      </c>
      <c r="E43" s="1586">
        <f>D43/$D$10</f>
        <v>0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66024851.283436984</v>
      </c>
      <c r="E45" s="1588">
        <f>D45/$D$10</f>
        <v>653711.39884591068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5" zoomScaleNormal="100" workbookViewId="0">
      <selection activeCell="F51" sqref="F51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101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98628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98628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6740000</v>
      </c>
      <c r="E17" s="1531">
        <f>D17/$D$11</f>
        <v>66732.67326732674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40757982.187500007</v>
      </c>
      <c r="E18" s="1531">
        <f t="shared" ref="E18:E24" si="0">D18/$D$11</f>
        <v>403544.37809405947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1437720</v>
      </c>
      <c r="E19" s="1531">
        <f t="shared" si="0"/>
        <v>14234.851485148514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1903349</v>
      </c>
      <c r="E20" s="1531">
        <f t="shared" si="0"/>
        <v>18845.039603960395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4421723.0373232607</v>
      </c>
      <c r="E21" s="1531">
        <f t="shared" si="0"/>
        <v>43779.436013101593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3071982.5</v>
      </c>
      <c r="E22" s="1531">
        <f t="shared" si="0"/>
        <v>30415.668316831685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7692094.5586137101</v>
      </c>
      <c r="E23" s="1532">
        <f t="shared" si="0"/>
        <v>76159.352065482279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66024851.283436976</v>
      </c>
      <c r="E24" s="1531">
        <f t="shared" si="0"/>
        <v>653711.39884591068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383</v>
      </c>
      <c r="G26" s="1515" t="s">
        <v>1051</v>
      </c>
      <c r="H26" s="1437">
        <f>SUM(D29:D30)/H34</f>
        <v>0.96993117141140495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982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42789775.09324307</v>
      </c>
      <c r="E28" s="1586">
        <f t="shared" si="1"/>
        <v>423661.13953706011</v>
      </c>
      <c r="F28" s="62"/>
      <c r="G28" s="1419" t="s">
        <v>609</v>
      </c>
      <c r="H28" s="1608">
        <f>H32/D11</f>
        <v>35577.306837261029</v>
      </c>
      <c r="I28" s="703"/>
    </row>
    <row r="29" spans="1:10" ht="15.75">
      <c r="A29" s="64"/>
      <c r="B29" s="4" t="s">
        <v>1052</v>
      </c>
      <c r="C29" s="4"/>
      <c r="D29" s="1587">
        <v>3485261.4285290851</v>
      </c>
      <c r="E29" s="1586">
        <f>D29/$D$11</f>
        <v>34507.538896327576</v>
      </c>
      <c r="F29" s="520"/>
      <c r="G29" s="1420" t="s">
        <v>972</v>
      </c>
      <c r="H29" s="1609">
        <f>H33/D11</f>
        <v>201604.7387444792</v>
      </c>
      <c r="I29" s="703"/>
    </row>
    <row r="30" spans="1:10" ht="16.5" thickBot="1">
      <c r="A30" s="65"/>
      <c r="B30" s="4" t="s">
        <v>26</v>
      </c>
      <c r="C30" s="4"/>
      <c r="D30" s="1587">
        <v>19749814.761664819</v>
      </c>
      <c r="E30" s="1586">
        <f>D30/$D$11</f>
        <v>195542.72041252296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1001</v>
      </c>
      <c r="H31" s="1610"/>
      <c r="I31" s="1439"/>
      <c r="J31" s="690"/>
    </row>
    <row r="32" spans="1:10" ht="16.5" thickBot="1">
      <c r="A32" s="1433"/>
      <c r="B32" s="67" t="s">
        <v>998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609</v>
      </c>
      <c r="H32" s="1611">
        <f>D29+D38</f>
        <v>3593307.9905633638</v>
      </c>
      <c r="I32" s="1346">
        <f>H32/H34</f>
        <v>0.15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66024851.283436969</v>
      </c>
      <c r="E33" s="1586">
        <f>D33/$D$11</f>
        <v>653711.39884591056</v>
      </c>
      <c r="F33" s="62"/>
      <c r="G33" s="1441" t="s">
        <v>972</v>
      </c>
      <c r="H33" s="1611">
        <f>D30+D39</f>
        <v>20362078.613192398</v>
      </c>
      <c r="I33" s="1346">
        <f>H33/H34</f>
        <v>0.85000000000000009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23955386.603755761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383</v>
      </c>
      <c r="F35" s="68"/>
      <c r="G35" s="1339"/>
      <c r="H35" s="1603"/>
      <c r="I35" s="1341" t="s">
        <v>962</v>
      </c>
      <c r="J35" s="690"/>
    </row>
    <row r="36" spans="1:12" ht="16.5" thickBot="1">
      <c r="A36" s="60"/>
      <c r="B36" s="4" t="s">
        <v>1048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0.36282378737845367</v>
      </c>
      <c r="J36" s="704"/>
    </row>
    <row r="37" spans="1:12" ht="16.5" thickBot="1">
      <c r="A37" s="60"/>
      <c r="B37" s="4" t="s">
        <v>996</v>
      </c>
      <c r="C37" s="4"/>
      <c r="D37" s="1586">
        <f>Data!C30</f>
        <v>42069464.679681219</v>
      </c>
      <c r="E37" s="1586">
        <f t="shared" ref="E37" si="2">D37/$D$11</f>
        <v>416529.35326417047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1052</v>
      </c>
      <c r="C38" s="4"/>
      <c r="D38" s="1591">
        <v>108046.56203427853</v>
      </c>
      <c r="E38" s="1586">
        <f>D38/$D$11</f>
        <v>1069.7679409334507</v>
      </c>
      <c r="F38" s="62"/>
      <c r="G38" s="1434" t="s">
        <v>999</v>
      </c>
      <c r="H38" s="1615" t="s">
        <v>983</v>
      </c>
      <c r="I38" s="1442" t="s">
        <v>1003</v>
      </c>
      <c r="J38" s="690"/>
    </row>
    <row r="39" spans="1:12" ht="15.75">
      <c r="A39" s="60"/>
      <c r="B39" s="1557" t="s">
        <v>26</v>
      </c>
      <c r="C39" s="4"/>
      <c r="D39" s="1592">
        <v>612263.85152757866</v>
      </c>
      <c r="E39" s="1586">
        <f>D39/$D$11</f>
        <v>6062.0183319562248</v>
      </c>
      <c r="F39" s="62"/>
      <c r="G39" s="1435" t="s">
        <v>609</v>
      </c>
      <c r="H39" s="1616">
        <f>-D32*0.15</f>
        <v>0</v>
      </c>
      <c r="I39" s="1596">
        <f>D29+H39</f>
        <v>3485261.4285290851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972</v>
      </c>
      <c r="H40" s="1617">
        <f>-D32*0.85</f>
        <v>0</v>
      </c>
      <c r="I40" s="1597">
        <f>D30+H40</f>
        <v>19749814.761664819</v>
      </c>
      <c r="J40" s="690"/>
    </row>
    <row r="41" spans="1:12" ht="16.5" thickBot="1">
      <c r="A41" s="66"/>
      <c r="B41" s="67" t="s">
        <v>998</v>
      </c>
      <c r="C41" s="67"/>
      <c r="D41" s="1593">
        <f>SUM(D36:D39)-D28</f>
        <v>0</v>
      </c>
      <c r="E41" s="1588">
        <f>D41/$D$11</f>
        <v>0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42789775.093243077</v>
      </c>
      <c r="E42" s="1586">
        <f>D42/$D$11</f>
        <v>423661.13953706017</v>
      </c>
      <c r="G42" s="1434" t="s">
        <v>1000</v>
      </c>
      <c r="H42" s="1615" t="s">
        <v>983</v>
      </c>
      <c r="I42" s="1599" t="s">
        <v>1003</v>
      </c>
      <c r="J42" s="690"/>
    </row>
    <row r="43" spans="1:12" ht="15.75">
      <c r="A43" s="65"/>
      <c r="B43" s="60"/>
      <c r="C43" s="60"/>
      <c r="D43" s="61"/>
      <c r="E43" s="61"/>
      <c r="G43" s="1435" t="s">
        <v>609</v>
      </c>
      <c r="H43" s="1616">
        <f>-D41*0.15</f>
        <v>0</v>
      </c>
      <c r="I43" s="1596">
        <f>D38+H43</f>
        <v>108046.56203427853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972</v>
      </c>
      <c r="H44" s="1616">
        <f>-D41*0.85</f>
        <v>0</v>
      </c>
      <c r="I44" s="1596">
        <f>D39+H44</f>
        <v>612263.85152757866</v>
      </c>
      <c r="J44" s="690"/>
    </row>
    <row r="45" spans="1:12" ht="15.75">
      <c r="A45" s="60"/>
      <c r="D45" s="159"/>
      <c r="E45" s="159"/>
      <c r="G45" s="4"/>
      <c r="H45" s="1705" t="s">
        <v>1096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1062</v>
      </c>
      <c r="I46" s="1600">
        <f>'Cash Flow'!C66</f>
        <v>15548789.290470466</v>
      </c>
      <c r="J46" s="1582" t="s">
        <v>1084</v>
      </c>
      <c r="K46" s="1583">
        <f>'Cash Flow'!C76</f>
        <v>3.4956071493228588E-2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1063</v>
      </c>
      <c r="I47" s="1601">
        <f>'Cash Flow'!C80</f>
        <v>4615877.3226335058</v>
      </c>
      <c r="J47" s="1584" t="s">
        <v>1099</v>
      </c>
      <c r="K47" s="1607">
        <f>'Cash Flow'!C70</f>
        <v>25344526.543466859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1060</v>
      </c>
      <c r="I48" s="1602">
        <f>I46-H33</f>
        <v>-4813289.3227219321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1071</v>
      </c>
      <c r="I51" s="1604">
        <f>'Cash Flow'!H66</f>
        <v>2743903.9924359638</v>
      </c>
      <c r="J51" s="1585" t="s">
        <v>1084</v>
      </c>
      <c r="K51" s="1618">
        <f>'Cash Flow'!H76</f>
        <v>3.4956071493228554E-2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1072</v>
      </c>
      <c r="I52" s="1605">
        <f>H32</f>
        <v>3593307.9905633638</v>
      </c>
      <c r="J52" s="1584" t="s">
        <v>1098</v>
      </c>
      <c r="K52" s="1607">
        <f>'Cash Flow'!H70</f>
        <v>4472563.5076706205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1060</v>
      </c>
      <c r="I53" s="1606">
        <f>I51-I52</f>
        <v>-849403.99812739994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1076</v>
      </c>
      <c r="I55" s="1711">
        <f>I48+I53</f>
        <v>-5662693.320849332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1097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1062</v>
      </c>
      <c r="I58" s="1600">
        <f>'Cash Flow'!C93</f>
        <v>22876421.199344177</v>
      </c>
      <c r="J58" s="1582" t="s">
        <v>1084</v>
      </c>
      <c r="K58" s="1583">
        <f>'Cash Flow'!C103</f>
        <v>8.3127505120091705E-2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1063</v>
      </c>
      <c r="I59" s="1601">
        <f>'Cash Flow'!C92</f>
        <v>0</v>
      </c>
      <c r="J59" s="1584" t="s">
        <v>1098</v>
      </c>
      <c r="K59" s="1607">
        <f>'Cash Flow'!C97</f>
        <v>37288566.554931007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1060</v>
      </c>
      <c r="I60" s="1602">
        <f>I58-H33</f>
        <v>2514342.5861517787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1071</v>
      </c>
      <c r="I63" s="1604">
        <f>'Cash Flow'!H93</f>
        <v>3102026.9207082563</v>
      </c>
      <c r="J63" s="1585" t="s">
        <v>1084</v>
      </c>
      <c r="K63" s="1618">
        <f>'Cash Flow'!H103</f>
        <v>4.0714458488756586E-2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1072</v>
      </c>
      <c r="I64" s="1605">
        <f>H32</f>
        <v>3593307.9905633638</v>
      </c>
      <c r="J64" s="1584" t="s">
        <v>1098</v>
      </c>
      <c r="K64" s="1607">
        <f>'Cash Flow'!H97</f>
        <v>5056303.8807544578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1060</v>
      </c>
      <c r="I65" s="1606">
        <f>I63-I64</f>
        <v>-491281.06985510746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1076</v>
      </c>
      <c r="I67" s="1701">
        <f>I60+I65</f>
        <v>2023061.5162966712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175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7" zoomScale="130" zoomScaleNormal="130" workbookViewId="0">
      <selection activeCell="P27" sqref="P27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0</v>
      </c>
      <c r="O7" s="521">
        <f t="shared" ref="O7:O18" si="0">N7/$N$18</f>
        <v>0</v>
      </c>
      <c r="Q7" s="283">
        <f>O7+O8+O9</f>
        <v>0.19801980198019803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0.79207920792079212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22</v>
      </c>
      <c r="E9" s="278">
        <f>IF(D9="","",D9/D$15)</f>
        <v>0.21782178217821782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1104</v>
      </c>
      <c r="N9" s="298">
        <f>E46+E183</f>
        <v>20</v>
      </c>
      <c r="O9" s="332">
        <f t="shared" si="0"/>
        <v>0.19801980198019803</v>
      </c>
    </row>
    <row r="10" spans="2:19" ht="12.75" customHeight="1">
      <c r="B10" s="268"/>
      <c r="C10" s="209" t="s">
        <v>53</v>
      </c>
      <c r="D10" s="210">
        <f>SUM(E24,E33,E42,E51,E60,E78,E69,E87,E96,E116,E106)</f>
        <v>17</v>
      </c>
      <c r="E10" s="278">
        <f>IF(D10="","",D10/D$15)</f>
        <v>0.16831683168316833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62</v>
      </c>
      <c r="E11" s="278">
        <f>IF(D11="","",D11/D$15)</f>
        <v>0.61386138613861385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80</v>
      </c>
      <c r="O13" s="332">
        <f>N13/$N$18</f>
        <v>0.79207920792079212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101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100</v>
      </c>
      <c r="O16" s="283">
        <f>SUM(O7:O15)</f>
        <v>0.99009900990099009</v>
      </c>
    </row>
    <row r="17" spans="2:21" ht="12.75" customHeight="1">
      <c r="B17" s="268"/>
      <c r="C17" s="201" t="s">
        <v>62</v>
      </c>
      <c r="E17" s="284">
        <f>SUM(J28+J37,J46,J55,J64,J82,J91,J73,J100,J120,J110)</f>
        <v>82190</v>
      </c>
      <c r="F17" s="284"/>
      <c r="G17" s="222"/>
      <c r="H17" s="228"/>
      <c r="K17" s="233"/>
      <c r="M17" s="285" t="s">
        <v>63</v>
      </c>
      <c r="N17" s="284">
        <f>E120</f>
        <v>1</v>
      </c>
      <c r="O17" s="332">
        <f t="shared" si="0"/>
        <v>9.9009900990099011E-3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362770</v>
      </c>
      <c r="F18" s="285"/>
      <c r="H18" s="286"/>
      <c r="I18" s="287"/>
      <c r="K18" s="226"/>
      <c r="M18" s="328" t="s">
        <v>10</v>
      </c>
      <c r="N18" s="1423">
        <f>N17+N16</f>
        <v>101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0.19801980198019803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10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4000</v>
      </c>
      <c r="K41" s="292">
        <f>E41*I41</f>
        <v>19410</v>
      </c>
      <c r="L41" s="1636"/>
      <c r="M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5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3350</v>
      </c>
      <c r="K42" s="292">
        <f>E42*I42</f>
        <v>10400</v>
      </c>
      <c r="L42" s="1636"/>
      <c r="M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5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5000</v>
      </c>
      <c r="K43" s="292">
        <f>E43*I43</f>
        <v>12480</v>
      </c>
      <c r="L43" s="1636"/>
      <c r="M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60</v>
      </c>
      <c r="D46" s="245"/>
      <c r="E46" s="309">
        <f>SUM(E41:E45)</f>
        <v>20</v>
      </c>
      <c r="F46" s="203"/>
      <c r="G46" s="203"/>
      <c r="H46" s="246"/>
      <c r="I46" s="247"/>
      <c r="J46" s="296">
        <f>SUM(J41:J45)</f>
        <v>12350</v>
      </c>
      <c r="K46" s="297">
        <f>SUM(K41:K45)</f>
        <v>42290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12</v>
      </c>
      <c r="F50" s="223"/>
      <c r="G50" s="308">
        <f>H9*$C$47</f>
        <v>2911.2</v>
      </c>
      <c r="H50" s="308">
        <f>$K$9</f>
        <v>0</v>
      </c>
      <c r="I50" s="1779">
        <v>2400</v>
      </c>
      <c r="J50" s="284">
        <f>D50*E50</f>
        <v>4800</v>
      </c>
      <c r="K50" s="292">
        <f>E50*I50</f>
        <v>28800</v>
      </c>
      <c r="L50" s="1692"/>
      <c r="M50" s="1636"/>
      <c r="N50" s="1636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12</v>
      </c>
      <c r="F51" s="223"/>
      <c r="G51" s="308">
        <f>H10*$C$47</f>
        <v>3120</v>
      </c>
      <c r="H51" s="308">
        <f>$K$10</f>
        <v>0</v>
      </c>
      <c r="I51" s="1779">
        <f>ROUND(G51-H51,0)</f>
        <v>3120</v>
      </c>
      <c r="J51" s="284">
        <f>D51*E51</f>
        <v>8040</v>
      </c>
      <c r="K51" s="292">
        <f>E51*I51</f>
        <v>37440</v>
      </c>
      <c r="L51" s="1692"/>
      <c r="M51" s="1636"/>
      <c r="N51" s="1636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56</v>
      </c>
      <c r="F52" s="223"/>
      <c r="G52" s="308">
        <f>H11*$C$47</f>
        <v>3744</v>
      </c>
      <c r="H52" s="228">
        <f>$K$11</f>
        <v>0</v>
      </c>
      <c r="I52" s="1779">
        <v>4540</v>
      </c>
      <c r="J52" s="284">
        <f>D52*E52</f>
        <v>56000</v>
      </c>
      <c r="K52" s="292">
        <f>E52*I52</f>
        <v>254240</v>
      </c>
      <c r="L52" s="1692"/>
      <c r="M52" s="1636"/>
      <c r="N52" s="1636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9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1779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60</v>
      </c>
      <c r="D55" s="247"/>
      <c r="E55" s="253">
        <f>SUM(E50:E54)</f>
        <v>80</v>
      </c>
      <c r="F55" s="247"/>
      <c r="G55" s="247"/>
      <c r="H55" s="246"/>
      <c r="I55" s="247"/>
      <c r="J55" s="296">
        <f>SUM(J50:J54)</f>
        <v>68840</v>
      </c>
      <c r="K55" s="297">
        <f>SUM(K50:K54)</f>
        <v>320480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101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123" zoomScaleNormal="100" workbookViewId="0">
      <selection activeCell="N151" sqref="N151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989</v>
      </c>
      <c r="J4" s="717">
        <f>GapCalc!D41</f>
        <v>0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101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723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724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725</v>
      </c>
      <c r="AK11" s="978"/>
      <c r="AL11" s="979"/>
      <c r="AM11" s="980"/>
      <c r="AN11" s="981"/>
      <c r="AO11" s="981"/>
      <c r="AP11" s="980"/>
      <c r="AQ11" s="982" t="s">
        <v>726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6" t="s">
        <v>85</v>
      </c>
      <c r="G14" s="1757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348</v>
      </c>
      <c r="D15" s="1000"/>
      <c r="E15" s="987"/>
      <c r="F15" s="987"/>
      <c r="G15" s="987" t="s">
        <v>727</v>
      </c>
      <c r="I15" s="993" t="s">
        <v>383</v>
      </c>
      <c r="J15" s="988"/>
      <c r="K15" s="987" t="s">
        <v>728</v>
      </c>
      <c r="L15" s="988"/>
      <c r="M15" s="1001" t="s">
        <v>729</v>
      </c>
      <c r="N15" s="1002"/>
      <c r="P15" s="1003" t="s">
        <v>730</v>
      </c>
      <c r="Q15" s="1004"/>
      <c r="R15" s="1004"/>
      <c r="S15" s="1004"/>
      <c r="U15" s="995" t="s">
        <v>731</v>
      </c>
      <c r="V15" s="995" t="s">
        <v>732</v>
      </c>
      <c r="X15" s="995" t="s">
        <v>733</v>
      </c>
      <c r="Z15" s="995" t="s">
        <v>734</v>
      </c>
      <c r="AB15" s="995" t="s">
        <v>735</v>
      </c>
      <c r="AD15" s="996" t="s">
        <v>736</v>
      </c>
      <c r="AF15" s="996" t="s">
        <v>737</v>
      </c>
      <c r="AH15" s="997" t="s">
        <v>738</v>
      </c>
      <c r="AJ15" s="1005" t="s">
        <v>739</v>
      </c>
      <c r="AL15" s="997" t="s">
        <v>740</v>
      </c>
      <c r="AN15" s="996" t="s">
        <v>741</v>
      </c>
      <c r="AO15" s="996" t="s">
        <v>742</v>
      </c>
      <c r="AQ15" s="996" t="s">
        <v>743</v>
      </c>
      <c r="AR15" s="996" t="s">
        <v>744</v>
      </c>
      <c r="AS15" s="996" t="s">
        <v>745</v>
      </c>
      <c r="AT15" s="996" t="s">
        <v>746</v>
      </c>
      <c r="AU15" s="996" t="s">
        <v>747</v>
      </c>
      <c r="AV15" s="996" t="s">
        <v>748</v>
      </c>
      <c r="AW15" s="996" t="s">
        <v>749</v>
      </c>
      <c r="AX15" s="996" t="s">
        <v>750</v>
      </c>
      <c r="AY15" s="996" t="s">
        <v>751</v>
      </c>
      <c r="AZ15" s="996" t="s">
        <v>752</v>
      </c>
      <c r="BA15" s="996" t="s">
        <v>753</v>
      </c>
      <c r="BB15" s="996" t="s">
        <v>754</v>
      </c>
      <c r="BC15" s="996" t="s">
        <v>755</v>
      </c>
      <c r="BD15" s="996" t="s">
        <v>756</v>
      </c>
      <c r="BE15" s="996" t="s">
        <v>757</v>
      </c>
      <c r="BF15" s="996" t="s">
        <v>758</v>
      </c>
      <c r="BG15" s="996" t="s">
        <v>759</v>
      </c>
      <c r="BH15" s="996" t="s">
        <v>760</v>
      </c>
      <c r="BI15" s="996" t="s">
        <v>761</v>
      </c>
      <c r="BJ15" s="996" t="s">
        <v>762</v>
      </c>
      <c r="BK15" s="996" t="s">
        <v>763</v>
      </c>
      <c r="BL15" s="996" t="s">
        <v>764</v>
      </c>
      <c r="BM15" s="996" t="s">
        <v>765</v>
      </c>
      <c r="BN15" s="996" t="s">
        <v>766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88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995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641</v>
      </c>
      <c r="D18" s="842"/>
      <c r="E18" s="844">
        <f>N18</f>
        <v>6565000</v>
      </c>
      <c r="F18" s="845"/>
      <c r="G18" s="1392">
        <f>E18</f>
        <v>6565000</v>
      </c>
      <c r="H18" s="950"/>
      <c r="I18" s="950">
        <f>G18/$F$9</f>
        <v>65000</v>
      </c>
      <c r="J18" s="1015"/>
      <c r="K18" s="1016"/>
      <c r="L18" s="1016"/>
      <c r="M18" s="1431">
        <f>F9*N17</f>
        <v>6565000</v>
      </c>
      <c r="N18" s="1674">
        <v>6565000</v>
      </c>
      <c r="O18" s="1017"/>
      <c r="P18" s="1018"/>
      <c r="Q18" s="855" t="s">
        <v>767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6565000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642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247.52475247524754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768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643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769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644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645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646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1485.1485148514851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647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648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649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770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771</v>
      </c>
      <c r="D28" s="1329"/>
      <c r="E28" s="1330"/>
      <c r="F28" s="1331"/>
      <c r="G28" s="1332">
        <f>SUM(G18:G27)</f>
        <v>6740000</v>
      </c>
      <c r="H28" s="1333"/>
      <c r="I28" s="1325">
        <f t="shared" si="0"/>
        <v>66732.67326732674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6740000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91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708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709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95</v>
      </c>
      <c r="D32" s="842"/>
      <c r="E32" s="1043"/>
      <c r="F32" s="1044"/>
      <c r="G32" s="1038">
        <f>F33+F35</f>
        <v>32486385.75</v>
      </c>
      <c r="H32" s="1039"/>
      <c r="I32" s="950">
        <f t="shared" si="0"/>
        <v>321647.38366336632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35735024.325000003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670</v>
      </c>
      <c r="E33" s="1063">
        <v>300</v>
      </c>
      <c r="F33" s="1064">
        <f>E33*'Construction Calculation'!C14</f>
        <v>29588400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710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692</v>
      </c>
      <c r="E35" s="1068">
        <f>'Construction Calculation'!G49</f>
        <v>143</v>
      </c>
      <c r="F35" s="1064">
        <f>'Construction Calculation'!I55</f>
        <v>2897985.7500000005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711</v>
      </c>
      <c r="E36" s="1048">
        <v>0.1</v>
      </c>
      <c r="F36" s="1049">
        <f>E36*(G32+G31+G30)</f>
        <v>3248638.5750000002</v>
      </c>
      <c r="G36" s="854">
        <f>F36</f>
        <v>3248638.5750000002</v>
      </c>
      <c r="H36" s="950"/>
      <c r="I36" s="950">
        <f t="shared" si="0"/>
        <v>32164.738366336634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712</v>
      </c>
      <c r="D37" s="842"/>
      <c r="E37" s="1048">
        <v>7.0000000000000007E-2</v>
      </c>
      <c r="F37"/>
      <c r="G37" s="1071">
        <f>SUM($G$29:$G$32,$G$20,$G$21)*E37</f>
        <v>2274047.0025000004</v>
      </c>
      <c r="H37" s="1072"/>
      <c r="I37" s="950">
        <f t="shared" si="0"/>
        <v>22515.316856435649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2274047.0025000004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713</v>
      </c>
      <c r="D38" s="842"/>
      <c r="E38" s="1048">
        <v>0.05</v>
      </c>
      <c r="F38"/>
      <c r="G38" s="1071">
        <f>SUM($G$29:$G$32,$G$20,$G$21)*E38</f>
        <v>1624319.2875000001</v>
      </c>
      <c r="H38" s="1072"/>
      <c r="I38" s="950">
        <f t="shared" si="0"/>
        <v>16082.369183168317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1624319.2875000001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714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715</v>
      </c>
      <c r="D40" s="842"/>
      <c r="E40" s="1048">
        <v>1.4999999999999999E-2</v>
      </c>
      <c r="F40"/>
      <c r="G40" s="1071">
        <f>SUM($G$29:$G$32,$G$20,$G$21)*E40</f>
        <v>487295.78625</v>
      </c>
      <c r="H40" s="1072"/>
      <c r="I40" s="950">
        <f t="shared" si="0"/>
        <v>4824.7107549504954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487295.78625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716</v>
      </c>
      <c r="D41" s="842"/>
      <c r="E41" s="1048">
        <v>1.4999999999999999E-2</v>
      </c>
      <c r="F41" s="1074"/>
      <c r="G41" s="1071">
        <f>SUM($G$29:$G$33,$G$20,$G$21)*E41</f>
        <v>487295.78625</v>
      </c>
      <c r="H41" s="1072"/>
      <c r="I41" s="950">
        <f t="shared" si="0"/>
        <v>4824.7107549504954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487295.78625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225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717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718</v>
      </c>
      <c r="D44" s="1320"/>
      <c r="E44" s="1321"/>
      <c r="F44" s="1322"/>
      <c r="G44" s="1323">
        <f>SUM(G30:G43)+G23+G24</f>
        <v>40757982.187500007</v>
      </c>
      <c r="H44" s="1324"/>
      <c r="I44" s="1325">
        <f t="shared" si="0"/>
        <v>403544.37809405947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40757982.187500007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719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720</v>
      </c>
      <c r="D46" s="1335"/>
      <c r="E46" s="1336"/>
      <c r="F46" s="1337"/>
      <c r="G46" s="1332">
        <f>SUM(G44:G45)</f>
        <v>40757982.187500007</v>
      </c>
      <c r="H46" s="1333"/>
      <c r="I46" s="1325">
        <f t="shared" si="0"/>
        <v>403544.37809405947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40757982.187500007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721</v>
      </c>
      <c r="D47" s="842"/>
      <c r="E47" s="1085">
        <v>0.1</v>
      </c>
      <c r="F47" s="1086">
        <v>0.15</v>
      </c>
      <c r="G47" s="1038">
        <f>(E47*G46)</f>
        <v>4075798.2187500009</v>
      </c>
      <c r="H47" s="1039"/>
      <c r="I47" s="950">
        <f t="shared" si="0"/>
        <v>40354.43780940595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4075798.2187500009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722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772</v>
      </c>
      <c r="E49" s="1047"/>
      <c r="F49" s="1091">
        <f>335*F9</f>
        <v>33835</v>
      </c>
      <c r="G49" s="1092">
        <f>F49</f>
        <v>33835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773</v>
      </c>
      <c r="E50" s="1047">
        <v>0</v>
      </c>
      <c r="F50" s="1091">
        <f>368*F9</f>
        <v>37168</v>
      </c>
      <c r="G50" s="1092">
        <f>F50</f>
        <v>37168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774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12.128712871287128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775</v>
      </c>
      <c r="D52" s="841"/>
      <c r="E52" s="1098"/>
      <c r="F52" s="1099"/>
      <c r="G52" s="1100">
        <f>SUM(F49:F51)</f>
        <v>72228</v>
      </c>
      <c r="H52" s="1101"/>
      <c r="I52" s="950">
        <f t="shared" si="0"/>
        <v>715.12871287128712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72228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776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386</v>
      </c>
      <c r="D54" s="842"/>
      <c r="E54" s="1107"/>
      <c r="F54" s="1076"/>
      <c r="G54" s="1038">
        <f>SUM(F55:F56)</f>
        <v>1331800</v>
      </c>
      <c r="H54" s="1039"/>
      <c r="I54" s="950">
        <f t="shared" si="0"/>
        <v>13186.138613861385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1331800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777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1090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386</v>
      </c>
      <c r="E56" s="1082">
        <v>0.06</v>
      </c>
      <c r="F56" s="1044">
        <f>M56</f>
        <v>1168000</v>
      </c>
      <c r="G56" s="1110"/>
      <c r="H56" s="1111"/>
      <c r="I56" s="950">
        <f>G56/$F$9</f>
        <v>0</v>
      </c>
      <c r="J56" s="1106"/>
      <c r="K56" s="1113" t="s">
        <v>985</v>
      </c>
      <c r="L56" s="1114"/>
      <c r="M56" s="1670">
        <f>SUM(M57:M58)</f>
        <v>1168000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778</v>
      </c>
      <c r="D57" s="842"/>
      <c r="E57" s="1115">
        <v>6.5000000000000002E-2</v>
      </c>
      <c r="F57" s="1044"/>
      <c r="G57" s="1116">
        <f>E57*F56</f>
        <v>75920</v>
      </c>
      <c r="H57" s="1117"/>
      <c r="I57" s="950">
        <f t="shared" si="0"/>
        <v>751.68316831683171</v>
      </c>
      <c r="J57" s="1015"/>
      <c r="K57" s="1118"/>
      <c r="L57" s="1119"/>
      <c r="M57" s="1120">
        <f>(5000*F9)*1.6</f>
        <v>808000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75920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779</v>
      </c>
      <c r="D58" s="842"/>
      <c r="E58" s="1122"/>
      <c r="F58" s="1044"/>
      <c r="G58" s="1123">
        <v>30000</v>
      </c>
      <c r="H58" s="1124"/>
      <c r="I58" s="950">
        <f t="shared" si="0"/>
        <v>297.02970297029702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967</v>
      </c>
      <c r="D59" s="841"/>
      <c r="E59" s="1053"/>
      <c r="F59" s="1126"/>
      <c r="G59" s="1127">
        <f>SUM(G54:G58)-SUM(F75:F76,G78:G79,G67:G69)</f>
        <v>1144825.0445312499</v>
      </c>
      <c r="H59" s="1128"/>
      <c r="I59" s="950">
        <f t="shared" si="0"/>
        <v>11334.901431002474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1437720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968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780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386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777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386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778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781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369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782</v>
      </c>
      <c r="D67" s="847"/>
      <c r="E67" s="1133">
        <v>2.5000000000000001E-3</v>
      </c>
      <c r="F67" s="1088"/>
      <c r="G67" s="1038">
        <f>(E67*G46)</f>
        <v>101894.95546875002</v>
      </c>
      <c r="H67" s="1039"/>
      <c r="I67" s="950">
        <f t="shared" si="0"/>
        <v>1008.8609452351487</v>
      </c>
      <c r="J67" s="1134"/>
      <c r="K67" s="1135" t="s">
        <v>783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101894.95546875002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784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69.306930693069305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396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940.59405940594058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785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786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787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788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774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105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247.52475247524754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789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790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791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792</v>
      </c>
      <c r="D78" s="847"/>
      <c r="E78" s="1107"/>
      <c r="F78" s="1044"/>
      <c r="G78" s="1028">
        <v>30000</v>
      </c>
      <c r="H78" s="1146"/>
      <c r="I78" s="950">
        <f t="shared" si="0"/>
        <v>297.02970297029702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793</v>
      </c>
      <c r="D79" s="847"/>
      <c r="E79" s="1107"/>
      <c r="F79" s="1044"/>
      <c r="G79" s="1028">
        <v>34000</v>
      </c>
      <c r="H79" s="1146"/>
      <c r="I79" s="950">
        <f t="shared" si="0"/>
        <v>336.63366336633663</v>
      </c>
      <c r="J79" s="1015"/>
      <c r="K79" s="1147" t="s">
        <v>794</v>
      </c>
      <c r="L79" s="1067"/>
      <c r="M79" s="1014"/>
      <c r="N79" s="855"/>
      <c r="O79" s="855"/>
      <c r="P79" s="855" t="s">
        <v>795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796</v>
      </c>
      <c r="D80" s="841"/>
      <c r="E80" s="1098"/>
      <c r="F80" s="1099"/>
      <c r="G80" s="1100">
        <f>SUM(G67:G79)</f>
        <v>292894.95546875003</v>
      </c>
      <c r="H80" s="1101"/>
      <c r="I80" s="950">
        <f t="shared" si="0"/>
        <v>2899.9500541460397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292894.95546875003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797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798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969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414</v>
      </c>
      <c r="D90" s="842"/>
      <c r="E90" s="847"/>
      <c r="F90" s="1044"/>
      <c r="G90" s="1110">
        <f>SUM(F91:F96)</f>
        <v>1803349</v>
      </c>
      <c r="H90" s="1111"/>
      <c r="I90" s="950">
        <f t="shared" si="3"/>
        <v>17854.940594059404</v>
      </c>
      <c r="J90" s="1094"/>
      <c r="K90" s="1125">
        <v>0</v>
      </c>
      <c r="L90" s="1045"/>
      <c r="M90" s="1014"/>
      <c r="N90" s="855"/>
      <c r="O90" s="855"/>
      <c r="P90" s="868" t="s">
        <v>799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1803349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800</v>
      </c>
      <c r="E91" s="1087"/>
      <c r="F91" s="1156">
        <v>51432</v>
      </c>
      <c r="G91" s="1110">
        <v>100000</v>
      </c>
      <c r="H91" s="1111"/>
      <c r="I91" s="950">
        <f t="shared" si="3"/>
        <v>990.09900990099015</v>
      </c>
      <c r="J91" s="1094"/>
      <c r="K91" s="1143" t="s">
        <v>801</v>
      </c>
      <c r="L91" s="1046"/>
      <c r="M91" s="1672">
        <f>'Permit Fee Breakdown'!F17</f>
        <v>7491</v>
      </c>
      <c r="N91" s="855"/>
      <c r="O91" s="855"/>
      <c r="P91" t="s">
        <v>802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803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804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536</v>
      </c>
      <c r="E94" s="847"/>
      <c r="F94" s="1158">
        <f>M94</f>
        <v>1190487</v>
      </c>
      <c r="G94" s="1110"/>
      <c r="H94" s="1111"/>
      <c r="I94" s="950">
        <f t="shared" si="3"/>
        <v>0</v>
      </c>
      <c r="J94" s="1094"/>
      <c r="K94" s="1143" t="s">
        <v>801</v>
      </c>
      <c r="L94" s="1046"/>
      <c r="M94" s="1672">
        <f>11787*F9</f>
        <v>1190487</v>
      </c>
      <c r="N94" s="855"/>
      <c r="O94" s="855"/>
      <c r="P94" s="1157" t="s">
        <v>802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805</v>
      </c>
      <c r="E95" s="1153">
        <v>2600</v>
      </c>
      <c r="F95" s="1160">
        <f>E95*F9</f>
        <v>262600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806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807</v>
      </c>
      <c r="D97" s="841"/>
      <c r="E97" s="1098"/>
      <c r="F97" s="1099"/>
      <c r="G97" s="1100">
        <f>SUM(G82:G96)</f>
        <v>1903349</v>
      </c>
      <c r="H97" s="1101"/>
      <c r="I97" s="950">
        <f t="shared" si="3"/>
        <v>18845.039603960395</v>
      </c>
      <c r="J97" s="1102"/>
      <c r="K97" s="1166">
        <f>I97/I250</f>
        <v>2.8827766560641611E-2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1903349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808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809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810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811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812</v>
      </c>
      <c r="L101" s="1045"/>
      <c r="M101" s="1014" t="s">
        <v>582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813</v>
      </c>
      <c r="D102" s="842"/>
      <c r="E102" s="847"/>
      <c r="F102" s="1044"/>
      <c r="G102" s="1110">
        <f>SUM(F103:F105)</f>
        <v>189730.18910232466</v>
      </c>
      <c r="H102" s="1111"/>
      <c r="I102" s="950">
        <f t="shared" si="3"/>
        <v>1878.5167237853927</v>
      </c>
      <c r="J102" s="1094"/>
      <c r="K102" s="1112"/>
      <c r="L102" s="1013"/>
      <c r="M102" s="1168" t="s">
        <v>814</v>
      </c>
      <c r="N102" s="1169" t="s">
        <v>815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189730.18910232466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810</v>
      </c>
      <c r="E103" s="1671">
        <v>0.05</v>
      </c>
      <c r="F103" s="1170">
        <f>E103*N103</f>
        <v>174730.18910232466</v>
      </c>
      <c r="G103" s="1110"/>
      <c r="H103" s="1111"/>
      <c r="I103" s="950">
        <f t="shared" si="3"/>
        <v>0</v>
      </c>
      <c r="J103" s="1094"/>
      <c r="K103" s="1112" t="s">
        <v>816</v>
      </c>
      <c r="L103" s="1013"/>
      <c r="M103" s="1171">
        <f>(0.7*G234)+(0.9*(SUM(G97,G59,)+(0.5*G120)))</f>
        <v>3501084.7174819265</v>
      </c>
      <c r="N103" s="1172">
        <v>3494603.7820464927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817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818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819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810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816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817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818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820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810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817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818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821</v>
      </c>
      <c r="D114" s="841"/>
      <c r="E114" s="1053"/>
      <c r="F114" s="1054"/>
      <c r="G114" s="1100">
        <f>SUM(G99:G110)</f>
        <v>189730.18910232466</v>
      </c>
      <c r="H114" s="1101"/>
      <c r="I114" s="950">
        <f t="shared" si="3"/>
        <v>1878.5167237853927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189730.18910232466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822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814</v>
      </c>
      <c r="N115" s="1169" t="s">
        <v>815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109</v>
      </c>
      <c r="D116" s="888"/>
      <c r="E116" s="1174"/>
      <c r="F116" s="1175"/>
      <c r="G116" s="1176">
        <f>N116</f>
        <v>3016679.1440736367</v>
      </c>
      <c r="H116" s="1177"/>
      <c r="I116" s="950">
        <f t="shared" si="3"/>
        <v>29868.110337362741</v>
      </c>
      <c r="J116" s="1178"/>
      <c r="K116" s="1179" t="s">
        <v>823</v>
      </c>
      <c r="L116" s="1073"/>
      <c r="M116" s="1180">
        <f>0.5*Data!C20*Data!C17/12*Data!C19</f>
        <v>3016679.1440736367</v>
      </c>
      <c r="N116" s="1181">
        <v>3016679.1440736367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3016679.1440736367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824</v>
      </c>
      <c r="D117" s="842"/>
      <c r="E117" s="1107"/>
      <c r="F117" s="1044"/>
      <c r="G117" s="1183">
        <f>N117</f>
        <v>427897.75093243073</v>
      </c>
      <c r="H117" s="1094"/>
      <c r="I117" s="950">
        <f t="shared" si="3"/>
        <v>4236.6113953706017</v>
      </c>
      <c r="J117" s="1015"/>
      <c r="K117" s="1184" t="s">
        <v>825</v>
      </c>
      <c r="L117" s="1185"/>
      <c r="M117" s="1186">
        <f>0.01*Data!C20</f>
        <v>427897.75093243073</v>
      </c>
      <c r="N117" s="1172">
        <v>427897.75093243073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427897.75093243073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826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827</v>
      </c>
      <c r="L118" s="1013"/>
      <c r="M118" s="1186">
        <v>0</v>
      </c>
      <c r="N118" s="1172">
        <v>0</v>
      </c>
      <c r="O118" s="1173"/>
      <c r="P118" s="1187" t="s">
        <v>828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829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830</v>
      </c>
      <c r="D120" s="842"/>
      <c r="E120" s="1190">
        <f>'Tax Calc'!E3</f>
        <v>1.199398E-2</v>
      </c>
      <c r="F120"/>
      <c r="G120" s="1038">
        <f>'Tax Calc'!C15</f>
        <v>196851.19675</v>
      </c>
      <c r="H120" s="1039"/>
      <c r="I120" s="950">
        <f t="shared" si="3"/>
        <v>1949.0217500000001</v>
      </c>
      <c r="J120" s="1015"/>
      <c r="K120" s="1112" t="s">
        <v>988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196851.19675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408</v>
      </c>
      <c r="D121" s="842"/>
      <c r="E121" s="1050"/>
      <c r="F121" s="1044"/>
      <c r="G121" s="1116">
        <f>SUM(F122:F124)</f>
        <v>580710.28292732826</v>
      </c>
      <c r="H121" s="1117"/>
      <c r="I121" s="950">
        <f t="shared" si="3"/>
        <v>5749.6067616567152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580710.28292732826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831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832</v>
      </c>
      <c r="E123" s="1193"/>
      <c r="F123" s="1194">
        <f>'Insurance Estimator'!E19*1.35</f>
        <v>580710.28292732826</v>
      </c>
      <c r="G123" s="1110"/>
      <c r="H123" s="1111"/>
      <c r="I123" s="950">
        <f t="shared" si="3"/>
        <v>0</v>
      </c>
      <c r="J123" s="1094"/>
      <c r="K123" s="1195" t="s">
        <v>833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834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833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835</v>
      </c>
      <c r="D125" s="842"/>
      <c r="E125" s="1107"/>
      <c r="F125" s="1044"/>
      <c r="G125" s="1110">
        <f>SUM(F126:F127)</f>
        <v>74184.662639864604</v>
      </c>
      <c r="H125" s="1111"/>
      <c r="I125" s="950">
        <f t="shared" si="3"/>
        <v>734.50161029568915</v>
      </c>
      <c r="J125" s="1094"/>
      <c r="K125" s="1112"/>
      <c r="L125" s="1013"/>
      <c r="M125" s="1168" t="s">
        <v>814</v>
      </c>
      <c r="N125" s="1169" t="s">
        <v>815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74184.662639864604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836</v>
      </c>
      <c r="E126" s="1196">
        <v>1.5E-3</v>
      </c>
      <c r="F126" s="1044">
        <f>N126</f>
        <v>64184.662639864604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64184.662639864604</v>
      </c>
      <c r="N126" s="1172">
        <v>64184.662639864604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837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838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152.47524752475246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839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840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841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842</v>
      </c>
      <c r="D132" s="888"/>
      <c r="E132" s="1200" t="s">
        <v>843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844</v>
      </c>
      <c r="L132" s="1205"/>
      <c r="M132" s="1168"/>
      <c r="N132" s="1169" t="s">
        <v>815</v>
      </c>
      <c r="O132" s="1169"/>
      <c r="P132" t="s">
        <v>845</v>
      </c>
      <c r="Q132" s="1206" t="s">
        <v>846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847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848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849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850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851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852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853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854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855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856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856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857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858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859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860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861</v>
      </c>
      <c r="D148" s="841"/>
      <c r="E148" s="1053"/>
      <c r="F148" s="1126"/>
      <c r="G148" s="1127">
        <f>SUM(G116:G147)</f>
        <v>4311723.0373232607</v>
      </c>
      <c r="H148" s="1128"/>
      <c r="I148" s="950">
        <f t="shared" si="6"/>
        <v>42690.327102210504</v>
      </c>
      <c r="J148" s="1242"/>
      <c r="K148" s="1129"/>
      <c r="L148" s="1130"/>
      <c r="M148" s="1131" t="s">
        <v>1038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4311723.0373232607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997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814</v>
      </c>
      <c r="N149" s="868" t="s">
        <v>964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862</v>
      </c>
      <c r="D151" s="842"/>
      <c r="E151" s="1087"/>
      <c r="F151" s="1044"/>
      <c r="G151" s="1110">
        <f>N151</f>
        <v>420694.64679681219</v>
      </c>
      <c r="H151" s="1093"/>
      <c r="I151" s="950">
        <f t="shared" ref="I151:I158" si="7">G151/$F$9</f>
        <v>4165.2935326417046</v>
      </c>
      <c r="J151" s="1094"/>
      <c r="K151" s="1244" t="s">
        <v>863</v>
      </c>
      <c r="L151" s="1245"/>
      <c r="M151" s="1558">
        <f>Data!C31*Data!C30</f>
        <v>420694.64679681219</v>
      </c>
      <c r="N151" s="1345">
        <v>420694.64679681219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864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836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837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205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865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866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866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867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1037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966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814</v>
      </c>
      <c r="N160" s="868" t="s">
        <v>964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963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37500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862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863</v>
      </c>
      <c r="L162" s="1245"/>
      <c r="M162" s="1343">
        <f>Data!C38*Data!C39</f>
        <v>0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864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0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836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837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1057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205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814</v>
      </c>
      <c r="N166" s="868" t="s">
        <v>964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1089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3851079.7583918762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866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866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867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119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868</v>
      </c>
      <c r="D172" s="842"/>
      <c r="E172" s="1107"/>
      <c r="F172" s="1044"/>
      <c r="G172" s="1110">
        <v>60000</v>
      </c>
      <c r="H172" s="1111"/>
      <c r="I172" s="950">
        <f t="shared" si="6"/>
        <v>594.05940594059405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869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495.04950495049508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870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205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871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872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1089.1089108910892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125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873</v>
      </c>
      <c r="D178" s="842"/>
      <c r="E178" s="1253">
        <v>3</v>
      </c>
      <c r="F178" s="1044"/>
      <c r="G178" s="1092">
        <f>E178*(-'Cash Flow'!E18/12)-'Cash Flow'!E22</f>
        <v>3071982.5</v>
      </c>
      <c r="H178" s="1093"/>
      <c r="I178" s="950">
        <f t="shared" si="6"/>
        <v>30415.668316831685</v>
      </c>
      <c r="J178" s="1094"/>
      <c r="K178" s="1125" t="s">
        <v>874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3071982.5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875</v>
      </c>
      <c r="D179" s="888"/>
      <c r="E179" s="1174"/>
      <c r="F179" s="1254" t="s">
        <v>876</v>
      </c>
      <c r="G179" s="1202" t="b">
        <v>0</v>
      </c>
      <c r="H179" s="1203"/>
      <c r="I179" s="950">
        <f t="shared" si="6"/>
        <v>0</v>
      </c>
      <c r="J179" s="1177"/>
      <c r="K179" s="1179" t="s">
        <v>877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254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878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879</v>
      </c>
      <c r="D181" s="841"/>
      <c r="E181" s="1053"/>
      <c r="F181" s="1126"/>
      <c r="G181" s="1127">
        <f>SUM(G178:G180)</f>
        <v>3071982.5</v>
      </c>
      <c r="H181" s="1128"/>
      <c r="I181" s="950">
        <f t="shared" si="6"/>
        <v>30415.668316831685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3071982.5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410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880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128.71287128712871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881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138</v>
      </c>
      <c r="D186" s="842"/>
      <c r="E186" s="1107"/>
      <c r="F186" s="1044"/>
      <c r="G186" s="1256">
        <v>12000</v>
      </c>
      <c r="H186" s="1257"/>
      <c r="I186" s="950">
        <f t="shared" si="6"/>
        <v>118.81188118811882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882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883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884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247.52475247524754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411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814</v>
      </c>
      <c r="N190" s="1169" t="s">
        <v>815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885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412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143.56435643564356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886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887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888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889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890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891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892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893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923.26732673267327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894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895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896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895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897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898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899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900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488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901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902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903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495.04950495049508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904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905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906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907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908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909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910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488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911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107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912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913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2782.1782178217823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225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416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914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149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915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916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917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918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919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920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921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922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923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924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925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926</v>
      </c>
      <c r="D233" s="842"/>
      <c r="E233" s="1277">
        <v>0.05</v>
      </c>
      <c r="F233" s="1088"/>
      <c r="G233" s="1110">
        <f>SUM(G190:G231,G189,G181,G176,G170,G148,G114,G97,G80)*E233</f>
        <v>517171.48409471672</v>
      </c>
      <c r="H233" s="1111"/>
      <c r="I233" s="950">
        <f t="shared" si="8"/>
        <v>5120.509743512047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517171.48409471672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927</v>
      </c>
      <c r="D234" s="841"/>
      <c r="E234" s="1280"/>
      <c r="F234" s="1126"/>
      <c r="G234" s="1281">
        <f>SUM(G191:G233)</f>
        <v>955921.48409471672</v>
      </c>
      <c r="H234" s="1282"/>
      <c r="I234" s="950">
        <f t="shared" si="8"/>
        <v>9464.56914945264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955921.48409471672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151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152</v>
      </c>
      <c r="D236" s="842"/>
      <c r="E236" s="1042"/>
      <c r="F236" s="1044"/>
      <c r="G236" s="1110">
        <v>2500000</v>
      </c>
      <c r="H236" s="1111"/>
      <c r="I236" s="950">
        <f t="shared" si="8"/>
        <v>24752.475247524751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146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928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144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205.44554455445544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929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930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931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932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24957.920792079207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933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934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935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936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937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938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6.6006600660066006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939</v>
      </c>
      <c r="D248" s="847"/>
      <c r="E248" s="1288"/>
      <c r="F248" s="1088"/>
      <c r="G248" s="1256">
        <v>2000</v>
      </c>
      <c r="H248" s="1257"/>
      <c r="I248" s="950">
        <f t="shared" si="8"/>
        <v>19.801980198019802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940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26.402640264026402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941</v>
      </c>
      <c r="D250" s="1294"/>
      <c r="E250" s="1295"/>
      <c r="F250" s="1296"/>
      <c r="G250" s="1297">
        <f>SUM(G249,G242,G234,G189,G181,G176,G170,G148,G80,G65,G59,G52,G47,G30:G43,G28,G114,G97)</f>
        <v>66024851.283436976</v>
      </c>
      <c r="H250" s="1298"/>
      <c r="I250" s="1299">
        <f>G250/F9</f>
        <v>653711.39884591068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1046</v>
      </c>
    </row>
    <row r="254" spans="2:28">
      <c r="G254" s="1528">
        <f>G250/'Construction Calculation'!C14</f>
        <v>669.43313545278193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topLeftCell="A9" zoomScale="70" zoomScaleNormal="70" workbookViewId="0">
      <selection activeCell="C30" sqref="C3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347" t="s">
        <v>10</v>
      </c>
      <c r="C4" s="1348">
        <f>'Rental Income'!D15</f>
        <v>101</v>
      </c>
      <c r="D4" s="507" t="s">
        <v>262</v>
      </c>
      <c r="E4" s="507"/>
      <c r="F4" s="507"/>
      <c r="G4" s="508"/>
    </row>
    <row r="5" spans="1:15">
      <c r="B5" s="1349" t="s">
        <v>11</v>
      </c>
      <c r="C5" s="700">
        <f>'Construction Calculation'!C19</f>
        <v>98628</v>
      </c>
      <c r="D5" t="s">
        <v>428</v>
      </c>
      <c r="G5" s="510"/>
    </row>
    <row r="6" spans="1:15">
      <c r="B6" s="1350" t="s">
        <v>12</v>
      </c>
      <c r="C6" s="700">
        <f>'Construction Calculation'!C14</f>
        <v>98628</v>
      </c>
      <c r="D6" t="s">
        <v>428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428</v>
      </c>
      <c r="G7" s="1351"/>
    </row>
    <row r="8" spans="1:15">
      <c r="B8" s="1350" t="s">
        <v>429</v>
      </c>
      <c r="C8" s="700">
        <f>'Construction Calculation'!C13</f>
        <v>16438</v>
      </c>
      <c r="D8" t="s">
        <v>428</v>
      </c>
      <c r="G8" s="510"/>
    </row>
    <row r="9" spans="1:15">
      <c r="B9" s="1350" t="s">
        <v>430</v>
      </c>
      <c r="C9" s="700">
        <f>'Construction Calculation'!C47</f>
        <v>50.5</v>
      </c>
      <c r="D9" t="s">
        <v>431</v>
      </c>
      <c r="G9" s="510"/>
    </row>
    <row r="10" spans="1:15" ht="16.5" thickBot="1">
      <c r="B10" s="511"/>
      <c r="C10" s="1352">
        <v>22630</v>
      </c>
      <c r="D10" s="512" t="s">
        <v>428</v>
      </c>
      <c r="E10" s="512"/>
      <c r="F10" s="512"/>
      <c r="G10" s="1353"/>
    </row>
    <row r="11" spans="1:15" ht="16.5" thickBot="1"/>
    <row r="12" spans="1:15">
      <c r="A12" s="1356" t="s">
        <v>432</v>
      </c>
      <c r="B12" s="1357"/>
      <c r="C12" s="1357"/>
      <c r="D12" s="1358"/>
      <c r="E12" s="58"/>
    </row>
    <row r="13" spans="1:15">
      <c r="A13" s="1359"/>
      <c r="B13" t="s">
        <v>433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434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435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436</v>
      </c>
      <c r="C16" s="319">
        <v>0</v>
      </c>
      <c r="D16" s="1429"/>
      <c r="F16" s="56"/>
    </row>
    <row r="17" spans="1:13" ht="16.5" thickTop="1">
      <c r="A17" s="1359"/>
      <c r="C17" s="1354">
        <f>SUM(C14:C16)</f>
        <v>7.0500000000000007E-2</v>
      </c>
      <c r="D17" s="1360"/>
      <c r="F17" s="48"/>
    </row>
    <row r="18" spans="1:13">
      <c r="A18" s="1359"/>
      <c r="B18" t="s">
        <v>444</v>
      </c>
      <c r="C18" s="55">
        <v>0.65</v>
      </c>
      <c r="D18" s="1360"/>
      <c r="M18" s="48"/>
    </row>
    <row r="19" spans="1:13">
      <c r="A19" s="1359"/>
      <c r="B19" t="s">
        <v>1100</v>
      </c>
      <c r="C19">
        <v>24</v>
      </c>
      <c r="D19" s="1360"/>
      <c r="K19" s="147"/>
      <c r="L19" s="147"/>
      <c r="M19" s="53"/>
    </row>
    <row r="20" spans="1:13">
      <c r="A20" s="1359"/>
      <c r="B20" t="s">
        <v>438</v>
      </c>
      <c r="C20" s="1355">
        <v>42789775.09324307</v>
      </c>
      <c r="D20" s="1375">
        <f>MIN(D22,GapCalc!D24)</f>
        <v>42916153.334234037</v>
      </c>
    </row>
    <row r="21" spans="1:13" ht="16.5" thickBot="1">
      <c r="A21" s="1359"/>
      <c r="B21" t="s">
        <v>110</v>
      </c>
      <c r="C21" s="482">
        <v>0.01</v>
      </c>
      <c r="D21" s="1360"/>
    </row>
    <row r="22" spans="1:13" ht="16.5" thickBot="1">
      <c r="A22" s="1359"/>
      <c r="C22" s="516" t="s">
        <v>1039</v>
      </c>
      <c r="D22" s="1391">
        <f>C18*'Development Budget'!G250</f>
        <v>42916153.334234037</v>
      </c>
      <c r="G22" s="147"/>
    </row>
    <row r="23" spans="1:13">
      <c r="A23" s="1430" t="s">
        <v>439</v>
      </c>
      <c r="B23" s="1370"/>
      <c r="C23" s="1370" t="s">
        <v>68</v>
      </c>
      <c r="D23" s="1370"/>
      <c r="E23" s="1390" t="s">
        <v>965</v>
      </c>
      <c r="F23" s="1382" t="s">
        <v>433</v>
      </c>
      <c r="G23" s="1534">
        <v>0.09</v>
      </c>
      <c r="H23" s="1383"/>
    </row>
    <row r="24" spans="1:13">
      <c r="A24" s="1371"/>
      <c r="B24" t="s">
        <v>433</v>
      </c>
      <c r="C24" s="1361">
        <v>6.0499999999999998E-2</v>
      </c>
      <c r="D24" s="1425">
        <f>PMT(C24/12,C25*12,C30)*12</f>
        <v>-2920482.499999986</v>
      </c>
      <c r="E24" s="1384"/>
      <c r="G24" s="1377"/>
      <c r="H24" s="1385"/>
      <c r="K24" s="1425"/>
    </row>
    <row r="25" spans="1:13">
      <c r="A25" s="1371"/>
      <c r="B25" t="s">
        <v>1101</v>
      </c>
      <c r="C25">
        <v>34</v>
      </c>
      <c r="E25" s="1384"/>
      <c r="G25" s="1377"/>
      <c r="H25" s="1385"/>
    </row>
    <row r="26" spans="1:13" ht="16.5" thickBot="1">
      <c r="A26" s="1371"/>
      <c r="B26" t="s">
        <v>440</v>
      </c>
      <c r="C26">
        <v>1.2</v>
      </c>
      <c r="E26" s="1384"/>
      <c r="G26" s="1378"/>
      <c r="H26" s="1385"/>
    </row>
    <row r="27" spans="1:13" ht="16.5" thickTop="1">
      <c r="A27" s="1371"/>
      <c r="B27" t="s">
        <v>441</v>
      </c>
      <c r="C27" s="51">
        <f>'Cash Flow'!E21/Data!C26</f>
        <v>2920482.5</v>
      </c>
      <c r="D27" s="40" t="s">
        <v>444</v>
      </c>
      <c r="E27" s="1384"/>
      <c r="G27" s="1379"/>
      <c r="H27" s="1385"/>
    </row>
    <row r="28" spans="1:13">
      <c r="A28" s="1371"/>
      <c r="B28" t="s">
        <v>442</v>
      </c>
      <c r="C28" s="482">
        <v>0.6</v>
      </c>
      <c r="D28" s="1517">
        <f>'Cash Flow'!E15/0.05*C28</f>
        <v>49690548</v>
      </c>
      <c r="E28" s="1384"/>
      <c r="F28" t="s">
        <v>1047</v>
      </c>
      <c r="G28" s="1380"/>
      <c r="H28" s="55">
        <v>1</v>
      </c>
    </row>
    <row r="29" spans="1:13">
      <c r="A29" s="1371"/>
      <c r="B29" t="s">
        <v>443</v>
      </c>
      <c r="C29">
        <v>34</v>
      </c>
      <c r="E29" s="1384"/>
      <c r="F29" t="s">
        <v>437</v>
      </c>
      <c r="G29" s="1380">
        <v>15</v>
      </c>
      <c r="H29" s="1385"/>
    </row>
    <row r="30" spans="1:13">
      <c r="A30" s="1371"/>
      <c r="B30" t="s">
        <v>438</v>
      </c>
      <c r="C30" s="1432">
        <v>42069464.679681219</v>
      </c>
      <c r="D30" s="1376">
        <f>-PV($C$24/12,$C$29*12,C27/12)</f>
        <v>42069464.679681219</v>
      </c>
      <c r="E30" s="1384"/>
      <c r="F30" t="s">
        <v>438</v>
      </c>
      <c r="G30" s="1381"/>
      <c r="H30" s="1376">
        <f>PV(G23,G29,-'Cash Flow'!E41*H28,)</f>
        <v>4708219.8994683614</v>
      </c>
    </row>
    <row r="31" spans="1:13" ht="16.5" thickBot="1">
      <c r="A31" s="1372"/>
      <c r="B31" s="1373" t="s">
        <v>110</v>
      </c>
      <c r="C31" s="1374">
        <v>0.01</v>
      </c>
      <c r="D31" s="1373"/>
      <c r="E31" s="1386"/>
      <c r="F31" s="1387" t="s">
        <v>110</v>
      </c>
      <c r="G31" s="1388">
        <v>0.01</v>
      </c>
      <c r="H31" s="1389"/>
    </row>
    <row r="32" spans="1:13">
      <c r="A32" s="1369" t="s">
        <v>1036</v>
      </c>
      <c r="E32" s="1363"/>
      <c r="G32" s="53"/>
    </row>
    <row r="33" spans="1:10">
      <c r="A33" s="1362"/>
      <c r="B33" t="s">
        <v>433</v>
      </c>
      <c r="C33" s="1361">
        <v>4.4999999999999998E-2</v>
      </c>
      <c r="E33" s="1363"/>
      <c r="I33" s="54"/>
    </row>
    <row r="34" spans="1:10">
      <c r="A34" s="1362"/>
      <c r="B34" t="s">
        <v>1101</v>
      </c>
      <c r="C34">
        <v>30</v>
      </c>
      <c r="E34" s="1364">
        <f>Data!M19</f>
        <v>0</v>
      </c>
      <c r="I34" s="318"/>
    </row>
    <row r="35" spans="1:10">
      <c r="A35" s="1362"/>
      <c r="B35" t="s">
        <v>440</v>
      </c>
      <c r="C35">
        <v>1.2</v>
      </c>
      <c r="E35" s="1363"/>
      <c r="I35" s="54"/>
    </row>
    <row r="36" spans="1:10">
      <c r="A36" s="1362"/>
      <c r="B36" t="s">
        <v>441</v>
      </c>
      <c r="C36" s="51">
        <f>'Cash Flow'!E21/Data!C35</f>
        <v>2920482.5</v>
      </c>
      <c r="E36" s="1365">
        <f>-PV($C$33,$C$34,E34)</f>
        <v>0</v>
      </c>
      <c r="I36" s="1354"/>
    </row>
    <row r="37" spans="1:10" ht="16.5" thickBot="1">
      <c r="A37" s="1362"/>
      <c r="B37" t="s">
        <v>442</v>
      </c>
      <c r="C37" s="482">
        <v>0.8</v>
      </c>
      <c r="E37" s="1363"/>
    </row>
    <row r="38" spans="1:10" ht="16.5" thickBot="1">
      <c r="A38" s="1362"/>
      <c r="B38" t="s">
        <v>438</v>
      </c>
      <c r="C38" s="1432">
        <v>0</v>
      </c>
      <c r="D38" s="516" t="s">
        <v>1039</v>
      </c>
      <c r="E38" s="1391">
        <f>C37*GapCalc!D24</f>
        <v>52819881.026749581</v>
      </c>
    </row>
    <row r="39" spans="1:10">
      <c r="A39" s="1362"/>
      <c r="B39" t="s">
        <v>110</v>
      </c>
      <c r="C39" s="54">
        <f>C21</f>
        <v>0.01</v>
      </c>
      <c r="D39" t="s">
        <v>1053</v>
      </c>
      <c r="E39" s="1376">
        <f>PV($C$33/12,$C$34*12,-C36/12)</f>
        <v>48032484.255424358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6" zoomScale="145" zoomScaleNormal="145" workbookViewId="0">
      <selection activeCell="C19" sqref="C19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4353240</v>
      </c>
      <c r="F12" s="89">
        <f>E12*(1+$D$12)</f>
        <v>4462071</v>
      </c>
      <c r="G12" s="89">
        <f t="shared" ref="G12:AH12" si="0">F12*(1+$D$12)</f>
        <v>4573622.7749999994</v>
      </c>
      <c r="H12" s="89">
        <f t="shared" si="0"/>
        <v>4687963.3443749994</v>
      </c>
      <c r="I12" s="89">
        <f t="shared" si="0"/>
        <v>4805162.4279843736</v>
      </c>
      <c r="J12" s="89">
        <f t="shared" si="0"/>
        <v>4925291.4886839828</v>
      </c>
      <c r="K12" s="89">
        <f t="shared" si="0"/>
        <v>5048423.775901082</v>
      </c>
      <c r="L12" s="89">
        <f t="shared" si="0"/>
        <v>5174634.3702986082</v>
      </c>
      <c r="M12" s="89">
        <f t="shared" si="0"/>
        <v>5304000.2295560725</v>
      </c>
      <c r="N12" s="89">
        <f t="shared" si="0"/>
        <v>5436600.2352949735</v>
      </c>
      <c r="O12" s="89">
        <f t="shared" si="0"/>
        <v>5572515.2411773475</v>
      </c>
      <c r="P12" s="89">
        <f t="shared" si="0"/>
        <v>5711828.1222067811</v>
      </c>
      <c r="Q12" s="89">
        <f t="shared" si="0"/>
        <v>5854623.8252619505</v>
      </c>
      <c r="R12" s="89">
        <f t="shared" si="0"/>
        <v>6000989.4208934987</v>
      </c>
      <c r="S12" s="90">
        <f t="shared" si="0"/>
        <v>6151014.156415836</v>
      </c>
      <c r="T12" s="89">
        <f t="shared" si="0"/>
        <v>6304789.5103262309</v>
      </c>
      <c r="U12" s="89">
        <f t="shared" si="0"/>
        <v>6462409.2480843859</v>
      </c>
      <c r="V12" s="89">
        <f t="shared" si="0"/>
        <v>6623969.4792864947</v>
      </c>
      <c r="W12" s="89">
        <f t="shared" si="0"/>
        <v>6789568.7162686568</v>
      </c>
      <c r="X12" s="89">
        <f t="shared" si="0"/>
        <v>6959307.9341753731</v>
      </c>
      <c r="Y12" s="89">
        <f t="shared" si="0"/>
        <v>7133290.632529757</v>
      </c>
      <c r="Z12" s="89">
        <f t="shared" si="0"/>
        <v>7311622.8983430006</v>
      </c>
      <c r="AA12" s="89">
        <f t="shared" si="0"/>
        <v>7494413.4708015751</v>
      </c>
      <c r="AB12" s="89">
        <f t="shared" si="0"/>
        <v>7681773.8075716142</v>
      </c>
      <c r="AC12" s="89">
        <f t="shared" si="0"/>
        <v>7873818.1527609043</v>
      </c>
      <c r="AD12" s="89">
        <f t="shared" si="0"/>
        <v>8070663.6065799259</v>
      </c>
      <c r="AE12" s="89">
        <f t="shared" si="0"/>
        <v>8272430.1967444234</v>
      </c>
      <c r="AF12" s="89">
        <f t="shared" si="0"/>
        <v>8479240.951663034</v>
      </c>
      <c r="AG12" s="89">
        <f t="shared" si="0"/>
        <v>8691221.9754546098</v>
      </c>
      <c r="AH12" s="89">
        <f t="shared" si="0"/>
        <v>8908502.5248409752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-217941</v>
      </c>
      <c r="F14" s="100">
        <f t="shared" ref="F14:AH14" si="2">-((F12+F13)*$C$14)</f>
        <v>-223389.52500000002</v>
      </c>
      <c r="G14" s="100">
        <f t="shared" si="2"/>
        <v>-228974.26312499997</v>
      </c>
      <c r="H14" s="100">
        <f t="shared" si="2"/>
        <v>-234698.61970312498</v>
      </c>
      <c r="I14" s="100">
        <f t="shared" si="2"/>
        <v>-240566.08519570308</v>
      </c>
      <c r="J14" s="100">
        <f t="shared" si="2"/>
        <v>-246580.2373255956</v>
      </c>
      <c r="K14" s="100">
        <f t="shared" si="2"/>
        <v>-252744.74325873551</v>
      </c>
      <c r="L14" s="100">
        <f t="shared" si="2"/>
        <v>-259063.36184020384</v>
      </c>
      <c r="M14" s="100">
        <f t="shared" si="2"/>
        <v>-265539.94588620891</v>
      </c>
      <c r="N14" s="100">
        <f t="shared" si="2"/>
        <v>-272178.44453336409</v>
      </c>
      <c r="O14" s="100">
        <f t="shared" si="2"/>
        <v>-278982.9056466982</v>
      </c>
      <c r="P14" s="100">
        <f t="shared" si="2"/>
        <v>-285957.47828786558</v>
      </c>
      <c r="Q14" s="100">
        <f t="shared" si="2"/>
        <v>-293106.41524506226</v>
      </c>
      <c r="R14" s="100">
        <f t="shared" si="2"/>
        <v>-300434.07562618877</v>
      </c>
      <c r="S14" s="101">
        <f t="shared" si="2"/>
        <v>-307944.92751684348</v>
      </c>
      <c r="T14" s="100">
        <f t="shared" si="2"/>
        <v>-315643.55070476455</v>
      </c>
      <c r="U14" s="100">
        <f t="shared" si="2"/>
        <v>-323534.6394723836</v>
      </c>
      <c r="V14" s="100">
        <f t="shared" si="2"/>
        <v>-331623.00545919314</v>
      </c>
      <c r="W14" s="100">
        <f t="shared" si="2"/>
        <v>-339913.580595673</v>
      </c>
      <c r="X14" s="100">
        <f t="shared" si="2"/>
        <v>-348411.4201105648</v>
      </c>
      <c r="Y14" s="100">
        <f t="shared" si="2"/>
        <v>-357121.7056133289</v>
      </c>
      <c r="Z14" s="100">
        <f t="shared" si="2"/>
        <v>-366049.74825366214</v>
      </c>
      <c r="AA14" s="100">
        <f t="shared" si="2"/>
        <v>-375200.99196000362</v>
      </c>
      <c r="AB14" s="100">
        <f t="shared" si="2"/>
        <v>-384581.01675900375</v>
      </c>
      <c r="AC14" s="100">
        <f t="shared" si="2"/>
        <v>-394195.54217797879</v>
      </c>
      <c r="AD14" s="100">
        <f t="shared" si="2"/>
        <v>-404050.43073242821</v>
      </c>
      <c r="AE14" s="100">
        <f t="shared" si="2"/>
        <v>-414151.69150073885</v>
      </c>
      <c r="AF14" s="100">
        <f t="shared" si="2"/>
        <v>-424505.48378825729</v>
      </c>
      <c r="AG14" s="100">
        <f t="shared" si="2"/>
        <v>-435118.12088296376</v>
      </c>
      <c r="AH14" s="100">
        <f t="shared" si="2"/>
        <v>-445996.07390503783</v>
      </c>
    </row>
    <row r="15" spans="1:34">
      <c r="A15" s="76"/>
      <c r="B15" s="102" t="s">
        <v>312</v>
      </c>
      <c r="C15" s="76"/>
      <c r="D15" s="76"/>
      <c r="E15" s="95">
        <f>SUM(E12:E14)</f>
        <v>4140879</v>
      </c>
      <c r="F15" s="95">
        <f t="shared" ref="F15:AH15" si="3">SUM(F12:F14)</f>
        <v>4244400.9749999996</v>
      </c>
      <c r="G15" s="103">
        <f t="shared" si="3"/>
        <v>4350510.9993749997</v>
      </c>
      <c r="H15" s="104">
        <f t="shared" si="3"/>
        <v>4459273.7743593743</v>
      </c>
      <c r="I15" s="104">
        <f t="shared" si="3"/>
        <v>4570755.6187183578</v>
      </c>
      <c r="J15" s="95">
        <f t="shared" si="3"/>
        <v>4685024.5091863163</v>
      </c>
      <c r="K15" s="103">
        <f t="shared" si="3"/>
        <v>4802150.1219159747</v>
      </c>
      <c r="L15" s="95">
        <f t="shared" si="3"/>
        <v>4922203.8749638731</v>
      </c>
      <c r="M15" s="95">
        <f t="shared" si="3"/>
        <v>5045258.9718379695</v>
      </c>
      <c r="N15" s="95">
        <f t="shared" si="3"/>
        <v>5171390.4461339172</v>
      </c>
      <c r="O15" s="95">
        <f t="shared" si="3"/>
        <v>5300675.207287265</v>
      </c>
      <c r="P15" s="95">
        <f t="shared" si="3"/>
        <v>5433192.0874694465</v>
      </c>
      <c r="Q15" s="95">
        <f t="shared" si="3"/>
        <v>5569021.8896561824</v>
      </c>
      <c r="R15" s="95">
        <f t="shared" si="3"/>
        <v>5708247.4368975861</v>
      </c>
      <c r="S15" s="96">
        <f t="shared" si="3"/>
        <v>5850953.6228200262</v>
      </c>
      <c r="T15" s="95">
        <f t="shared" si="3"/>
        <v>5997227.4633905264</v>
      </c>
      <c r="U15" s="95">
        <f t="shared" si="3"/>
        <v>6147158.1499752877</v>
      </c>
      <c r="V15" s="95">
        <f t="shared" si="3"/>
        <v>6300837.1037246697</v>
      </c>
      <c r="W15" s="95">
        <f t="shared" si="3"/>
        <v>6458358.0313177863</v>
      </c>
      <c r="X15" s="95">
        <f t="shared" si="3"/>
        <v>6619816.9821007308</v>
      </c>
      <c r="Y15" s="95">
        <f t="shared" si="3"/>
        <v>6785312.4066532487</v>
      </c>
      <c r="Z15" s="95">
        <f t="shared" si="3"/>
        <v>6954945.2168195797</v>
      </c>
      <c r="AA15" s="95">
        <f t="shared" si="3"/>
        <v>7128818.847240068</v>
      </c>
      <c r="AB15" s="95">
        <f t="shared" si="3"/>
        <v>7307039.3184210705</v>
      </c>
      <c r="AC15" s="95">
        <f t="shared" si="3"/>
        <v>7489715.3013815964</v>
      </c>
      <c r="AD15" s="95">
        <f t="shared" si="3"/>
        <v>7676958.1839161357</v>
      </c>
      <c r="AE15" s="95">
        <f t="shared" si="3"/>
        <v>7868882.1385140372</v>
      </c>
      <c r="AF15" s="95">
        <f t="shared" si="3"/>
        <v>8065604.1919768881</v>
      </c>
      <c r="AG15" s="95">
        <f t="shared" si="3"/>
        <v>8267244.2967763115</v>
      </c>
      <c r="AH15" s="95">
        <f t="shared" si="3"/>
        <v>8473925.4041957185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338">
        <v>6000</v>
      </c>
      <c r="D18" s="88">
        <v>3.5000000000000003E-2</v>
      </c>
      <c r="E18" s="95">
        <f>-C18*'Rental Income'!D15</f>
        <v>-606000</v>
      </c>
      <c r="F18" s="89">
        <f>E18*(1+$D$18)</f>
        <v>-627210</v>
      </c>
      <c r="G18" s="94">
        <f t="shared" ref="G18:AH18" si="5">F18*(1+$D$18)</f>
        <v>-649162.35</v>
      </c>
      <c r="H18" s="106">
        <f t="shared" si="5"/>
        <v>-671883.03224999993</v>
      </c>
      <c r="I18" s="106">
        <f t="shared" si="5"/>
        <v>-695398.93837874988</v>
      </c>
      <c r="J18" s="89">
        <f t="shared" si="5"/>
        <v>-719737.90122200607</v>
      </c>
      <c r="K18" s="94">
        <f t="shared" si="5"/>
        <v>-744928.72776477621</v>
      </c>
      <c r="L18" s="89">
        <f t="shared" si="5"/>
        <v>-771001.23323654337</v>
      </c>
      <c r="M18" s="89">
        <f t="shared" si="5"/>
        <v>-797986.27639982232</v>
      </c>
      <c r="N18" s="89">
        <f t="shared" si="5"/>
        <v>-825915.79607381602</v>
      </c>
      <c r="O18" s="89">
        <f t="shared" si="5"/>
        <v>-854822.84893639956</v>
      </c>
      <c r="P18" s="89">
        <f t="shared" si="5"/>
        <v>-884741.64864917344</v>
      </c>
      <c r="Q18" s="89">
        <f t="shared" si="5"/>
        <v>-915707.60635189444</v>
      </c>
      <c r="R18" s="89">
        <f t="shared" si="5"/>
        <v>-947757.37257421063</v>
      </c>
      <c r="S18" s="90">
        <f t="shared" si="5"/>
        <v>-980928.88061430794</v>
      </c>
      <c r="T18" s="89">
        <f t="shared" si="5"/>
        <v>-1015261.3914358086</v>
      </c>
      <c r="U18" s="89">
        <f t="shared" si="5"/>
        <v>-1050795.5401360618</v>
      </c>
      <c r="V18" s="89">
        <f t="shared" si="5"/>
        <v>-1087573.3840408239</v>
      </c>
      <c r="W18" s="89">
        <f t="shared" si="5"/>
        <v>-1125638.4524822526</v>
      </c>
      <c r="X18" s="89">
        <f t="shared" si="5"/>
        <v>-1165035.7983191314</v>
      </c>
      <c r="Y18" s="89">
        <f t="shared" si="5"/>
        <v>-1205812.0512603009</v>
      </c>
      <c r="Z18" s="89">
        <f t="shared" si="5"/>
        <v>-1248015.4730544114</v>
      </c>
      <c r="AA18" s="89">
        <f t="shared" si="5"/>
        <v>-1291696.0146113157</v>
      </c>
      <c r="AB18" s="89">
        <f t="shared" si="5"/>
        <v>-1336905.3751227115</v>
      </c>
      <c r="AC18" s="89">
        <f t="shared" si="5"/>
        <v>-1383697.0632520064</v>
      </c>
      <c r="AD18" s="89">
        <f t="shared" si="5"/>
        <v>-1432126.4604658266</v>
      </c>
      <c r="AE18" s="89">
        <f t="shared" si="5"/>
        <v>-1482250.8865821303</v>
      </c>
      <c r="AF18" s="89">
        <f t="shared" si="5"/>
        <v>-1534129.6676125047</v>
      </c>
      <c r="AG18" s="89">
        <f t="shared" si="5"/>
        <v>-1587824.2059789423</v>
      </c>
      <c r="AH18" s="89">
        <f t="shared" si="5"/>
        <v>-1643398.0531882052</v>
      </c>
    </row>
    <row r="19" spans="1:34">
      <c r="A19" s="86"/>
      <c r="B19" s="87" t="s">
        <v>315</v>
      </c>
      <c r="C19" s="1713" t="s">
        <v>1105</v>
      </c>
      <c r="D19" s="88">
        <v>1.2500000000000001E-2</v>
      </c>
      <c r="E19" s="95">
        <f>IF(C19="Abatement", 0, -'Tax Calc'!B10)</f>
        <v>0</v>
      </c>
      <c r="F19" s="89">
        <f>E19*(1+$D$19)</f>
        <v>0</v>
      </c>
      <c r="G19" s="89">
        <f t="shared" ref="G19:AH19" si="6">F19*(1+$D$19)</f>
        <v>0</v>
      </c>
      <c r="H19" s="89">
        <f t="shared" si="6"/>
        <v>0</v>
      </c>
      <c r="I19" s="89">
        <f t="shared" si="6"/>
        <v>0</v>
      </c>
      <c r="J19" s="89">
        <f t="shared" si="6"/>
        <v>0</v>
      </c>
      <c r="K19" s="89">
        <f t="shared" si="6"/>
        <v>0</v>
      </c>
      <c r="L19" s="89">
        <f t="shared" si="6"/>
        <v>0</v>
      </c>
      <c r="M19" s="89">
        <f t="shared" si="6"/>
        <v>0</v>
      </c>
      <c r="N19" s="89">
        <f t="shared" si="6"/>
        <v>0</v>
      </c>
      <c r="O19" s="89">
        <f t="shared" si="6"/>
        <v>0</v>
      </c>
      <c r="P19" s="89">
        <f t="shared" si="6"/>
        <v>0</v>
      </c>
      <c r="Q19" s="89">
        <f t="shared" si="6"/>
        <v>0</v>
      </c>
      <c r="R19" s="89">
        <f t="shared" si="6"/>
        <v>0</v>
      </c>
      <c r="S19" s="90">
        <f t="shared" si="6"/>
        <v>0</v>
      </c>
      <c r="T19" s="89">
        <f t="shared" si="6"/>
        <v>0</v>
      </c>
      <c r="U19" s="89">
        <f t="shared" si="6"/>
        <v>0</v>
      </c>
      <c r="V19" s="89">
        <f t="shared" si="6"/>
        <v>0</v>
      </c>
      <c r="W19" s="89">
        <f t="shared" si="6"/>
        <v>0</v>
      </c>
      <c r="X19" s="89">
        <f t="shared" si="6"/>
        <v>0</v>
      </c>
      <c r="Y19" s="89">
        <f t="shared" si="6"/>
        <v>0</v>
      </c>
      <c r="Z19" s="89">
        <f t="shared" si="6"/>
        <v>0</v>
      </c>
      <c r="AA19" s="89">
        <f t="shared" si="6"/>
        <v>0</v>
      </c>
      <c r="AB19" s="89">
        <f t="shared" si="6"/>
        <v>0</v>
      </c>
      <c r="AC19" s="89">
        <f t="shared" si="6"/>
        <v>0</v>
      </c>
      <c r="AD19" s="89">
        <f t="shared" si="6"/>
        <v>0</v>
      </c>
      <c r="AE19" s="89">
        <f t="shared" si="6"/>
        <v>0</v>
      </c>
      <c r="AF19" s="89">
        <f t="shared" si="6"/>
        <v>0</v>
      </c>
      <c r="AG19" s="89">
        <f t="shared" si="6"/>
        <v>0</v>
      </c>
      <c r="AH19" s="89">
        <f t="shared" si="6"/>
        <v>0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-30300</v>
      </c>
      <c r="F20" s="108">
        <f>+E20</f>
        <v>-30300</v>
      </c>
      <c r="G20" s="108">
        <f>F20</f>
        <v>-30300</v>
      </c>
      <c r="H20" s="108">
        <f>G20</f>
        <v>-30300</v>
      </c>
      <c r="I20" s="108">
        <f>H20</f>
        <v>-30300</v>
      </c>
      <c r="J20" s="108">
        <f t="shared" ref="J20:AH20" si="7">I20</f>
        <v>-30300</v>
      </c>
      <c r="K20" s="108">
        <f t="shared" si="7"/>
        <v>-30300</v>
      </c>
      <c r="L20" s="108">
        <f t="shared" si="7"/>
        <v>-30300</v>
      </c>
      <c r="M20" s="108">
        <f t="shared" si="7"/>
        <v>-30300</v>
      </c>
      <c r="N20" s="108">
        <f t="shared" si="7"/>
        <v>-30300</v>
      </c>
      <c r="O20" s="108">
        <f>N20</f>
        <v>-30300</v>
      </c>
      <c r="P20" s="108">
        <f t="shared" si="7"/>
        <v>-30300</v>
      </c>
      <c r="Q20" s="108">
        <f t="shared" si="7"/>
        <v>-30300</v>
      </c>
      <c r="R20" s="108">
        <f t="shared" si="7"/>
        <v>-30300</v>
      </c>
      <c r="S20" s="109">
        <f t="shared" si="7"/>
        <v>-30300</v>
      </c>
      <c r="T20" s="108">
        <f t="shared" si="7"/>
        <v>-30300</v>
      </c>
      <c r="U20" s="108">
        <f t="shared" si="7"/>
        <v>-30300</v>
      </c>
      <c r="V20" s="108">
        <f t="shared" si="7"/>
        <v>-30300</v>
      </c>
      <c r="W20" s="108">
        <f t="shared" si="7"/>
        <v>-30300</v>
      </c>
      <c r="X20" s="108">
        <f t="shared" si="7"/>
        <v>-30300</v>
      </c>
      <c r="Y20" s="108">
        <f t="shared" si="7"/>
        <v>-30300</v>
      </c>
      <c r="Z20" s="108">
        <f t="shared" si="7"/>
        <v>-30300</v>
      </c>
      <c r="AA20" s="108">
        <f t="shared" si="7"/>
        <v>-30300</v>
      </c>
      <c r="AB20" s="108">
        <f t="shared" si="7"/>
        <v>-30300</v>
      </c>
      <c r="AC20" s="108">
        <f t="shared" si="7"/>
        <v>-30300</v>
      </c>
      <c r="AD20" s="108">
        <f t="shared" si="7"/>
        <v>-30300</v>
      </c>
      <c r="AE20" s="108">
        <f t="shared" si="7"/>
        <v>-30300</v>
      </c>
      <c r="AF20" s="108">
        <f t="shared" si="7"/>
        <v>-30300</v>
      </c>
      <c r="AG20" s="108">
        <f t="shared" si="7"/>
        <v>-30300</v>
      </c>
      <c r="AH20" s="108">
        <f t="shared" si="7"/>
        <v>-30300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3504579</v>
      </c>
      <c r="F21" s="95">
        <f t="shared" si="8"/>
        <v>3586890.9749999996</v>
      </c>
      <c r="G21" s="95">
        <f t="shared" si="8"/>
        <v>3671048.6493749996</v>
      </c>
      <c r="H21" s="95">
        <f t="shared" si="8"/>
        <v>3757090.7421093741</v>
      </c>
      <c r="I21" s="95">
        <f t="shared" si="8"/>
        <v>3845056.6803396079</v>
      </c>
      <c r="J21" s="95">
        <f t="shared" si="8"/>
        <v>3934986.6079643103</v>
      </c>
      <c r="K21" s="95">
        <f t="shared" si="8"/>
        <v>4026921.3941511987</v>
      </c>
      <c r="L21" s="95">
        <f t="shared" si="8"/>
        <v>4120902.6417273297</v>
      </c>
      <c r="M21" s="95">
        <f t="shared" si="8"/>
        <v>4216972.6954381475</v>
      </c>
      <c r="N21" s="95">
        <f t="shared" si="8"/>
        <v>4315174.6500601014</v>
      </c>
      <c r="O21" s="95">
        <f t="shared" si="8"/>
        <v>4415552.3583508655</v>
      </c>
      <c r="P21" s="95">
        <f t="shared" si="8"/>
        <v>4518150.4388202727</v>
      </c>
      <c r="Q21" s="95">
        <f t="shared" si="8"/>
        <v>4623014.2833042881</v>
      </c>
      <c r="R21" s="95">
        <f t="shared" si="8"/>
        <v>4730190.064323375</v>
      </c>
      <c r="S21" s="96">
        <f t="shared" si="8"/>
        <v>4839724.7422057185</v>
      </c>
      <c r="T21" s="95">
        <f t="shared" si="8"/>
        <v>4951666.0719547179</v>
      </c>
      <c r="U21" s="95">
        <f t="shared" si="8"/>
        <v>5066062.6098392261</v>
      </c>
      <c r="V21" s="95">
        <f t="shared" si="8"/>
        <v>5182963.7196838455</v>
      </c>
      <c r="W21" s="95">
        <f t="shared" si="8"/>
        <v>5302419.5788355339</v>
      </c>
      <c r="X21" s="95">
        <f t="shared" si="8"/>
        <v>5424481.1837815996</v>
      </c>
      <c r="Y21" s="95">
        <f t="shared" si="8"/>
        <v>5549200.3553929478</v>
      </c>
      <c r="Z21" s="95">
        <f t="shared" si="8"/>
        <v>5676629.7437651679</v>
      </c>
      <c r="AA21" s="95">
        <f t="shared" si="8"/>
        <v>5806822.8326287521</v>
      </c>
      <c r="AB21" s="95">
        <f t="shared" si="8"/>
        <v>5939833.9432983585</v>
      </c>
      <c r="AC21" s="95">
        <f t="shared" si="8"/>
        <v>6075718.2381295897</v>
      </c>
      <c r="AD21" s="95">
        <f t="shared" si="8"/>
        <v>6214531.7234503087</v>
      </c>
      <c r="AE21" s="95">
        <f t="shared" si="8"/>
        <v>6356331.2519319067</v>
      </c>
      <c r="AF21" s="95">
        <f t="shared" si="8"/>
        <v>6501174.5243643839</v>
      </c>
      <c r="AG21" s="95">
        <f t="shared" si="8"/>
        <v>6649120.0907973694</v>
      </c>
      <c r="AH21" s="95">
        <f t="shared" si="8"/>
        <v>6800227.3510075137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-2920482.5</v>
      </c>
      <c r="F22" s="95">
        <f t="shared" ref="F22:AH22" si="9">$E$22</f>
        <v>-2920482.5</v>
      </c>
      <c r="G22" s="95">
        <f t="shared" si="9"/>
        <v>-2920482.5</v>
      </c>
      <c r="H22" s="95">
        <f t="shared" si="9"/>
        <v>-2920482.5</v>
      </c>
      <c r="I22" s="95">
        <f t="shared" si="9"/>
        <v>-2920482.5</v>
      </c>
      <c r="J22" s="95">
        <f t="shared" si="9"/>
        <v>-2920482.5</v>
      </c>
      <c r="K22" s="95">
        <f t="shared" si="9"/>
        <v>-2920482.5</v>
      </c>
      <c r="L22" s="95">
        <f t="shared" si="9"/>
        <v>-2920482.5</v>
      </c>
      <c r="M22" s="95">
        <f t="shared" si="9"/>
        <v>-2920482.5</v>
      </c>
      <c r="N22" s="95">
        <f t="shared" si="9"/>
        <v>-2920482.5</v>
      </c>
      <c r="O22" s="95">
        <f t="shared" si="9"/>
        <v>-2920482.5</v>
      </c>
      <c r="P22" s="95">
        <f t="shared" si="9"/>
        <v>-2920482.5</v>
      </c>
      <c r="Q22" s="95">
        <f t="shared" si="9"/>
        <v>-2920482.5</v>
      </c>
      <c r="R22" s="95">
        <f t="shared" si="9"/>
        <v>-2920482.5</v>
      </c>
      <c r="S22" s="96">
        <f t="shared" si="9"/>
        <v>-2920482.5</v>
      </c>
      <c r="T22" s="95">
        <f t="shared" si="9"/>
        <v>-2920482.5</v>
      </c>
      <c r="U22" s="95">
        <f t="shared" si="9"/>
        <v>-2920482.5</v>
      </c>
      <c r="V22" s="95">
        <f t="shared" si="9"/>
        <v>-2920482.5</v>
      </c>
      <c r="W22" s="95">
        <f t="shared" si="9"/>
        <v>-2920482.5</v>
      </c>
      <c r="X22" s="95">
        <f t="shared" si="9"/>
        <v>-2920482.5</v>
      </c>
      <c r="Y22" s="95">
        <f t="shared" si="9"/>
        <v>-2920482.5</v>
      </c>
      <c r="Z22" s="95">
        <f t="shared" si="9"/>
        <v>-2920482.5</v>
      </c>
      <c r="AA22" s="95">
        <f t="shared" si="9"/>
        <v>-2920482.5</v>
      </c>
      <c r="AB22" s="95">
        <f t="shared" si="9"/>
        <v>-2920482.5</v>
      </c>
      <c r="AC22" s="95">
        <f t="shared" si="9"/>
        <v>-2920482.5</v>
      </c>
      <c r="AD22" s="95">
        <f t="shared" si="9"/>
        <v>-2920482.5</v>
      </c>
      <c r="AE22" s="95">
        <f t="shared" si="9"/>
        <v>-2920482.5</v>
      </c>
      <c r="AF22" s="95">
        <f t="shared" si="9"/>
        <v>-2920482.5</v>
      </c>
      <c r="AG22" s="95">
        <f t="shared" si="9"/>
        <v>-2920482.5</v>
      </c>
      <c r="AH22" s="95">
        <f t="shared" si="9"/>
        <v>-2920482.5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584096.5</v>
      </c>
      <c r="F25" s="119">
        <f t="shared" ref="F25:AH25" si="11">+F21+F22+F23</f>
        <v>666408.47499999963</v>
      </c>
      <c r="G25" s="119">
        <f t="shared" si="11"/>
        <v>750566.14937499957</v>
      </c>
      <c r="H25" s="119">
        <f t="shared" si="11"/>
        <v>836608.24210937414</v>
      </c>
      <c r="I25" s="119">
        <f t="shared" si="11"/>
        <v>924574.18033960788</v>
      </c>
      <c r="J25" s="119">
        <f t="shared" si="11"/>
        <v>1014504.1079643103</v>
      </c>
      <c r="K25" s="119">
        <f t="shared" si="11"/>
        <v>1106438.8941511987</v>
      </c>
      <c r="L25" s="119">
        <f t="shared" si="11"/>
        <v>1200420.1417273297</v>
      </c>
      <c r="M25" s="119">
        <f t="shared" si="11"/>
        <v>1296490.1954381475</v>
      </c>
      <c r="N25" s="119">
        <f t="shared" si="11"/>
        <v>1394692.1500601014</v>
      </c>
      <c r="O25" s="119">
        <f t="shared" si="11"/>
        <v>1495069.8583508655</v>
      </c>
      <c r="P25" s="119">
        <f t="shared" si="11"/>
        <v>1597667.9388202727</v>
      </c>
      <c r="Q25" s="119">
        <f t="shared" si="11"/>
        <v>1702531.7833042881</v>
      </c>
      <c r="R25" s="119">
        <f t="shared" si="11"/>
        <v>1809707.564323375</v>
      </c>
      <c r="S25" s="160">
        <f t="shared" si="11"/>
        <v>1919242.2422057185</v>
      </c>
      <c r="T25" s="119">
        <f t="shared" si="11"/>
        <v>2031183.5719547179</v>
      </c>
      <c r="U25" s="119">
        <f t="shared" si="11"/>
        <v>2145580.1098392261</v>
      </c>
      <c r="V25" s="119">
        <f t="shared" si="11"/>
        <v>2262481.2196838455</v>
      </c>
      <c r="W25" s="119">
        <f t="shared" si="11"/>
        <v>2381937.0788355339</v>
      </c>
      <c r="X25" s="119">
        <f t="shared" si="11"/>
        <v>2503998.6837815996</v>
      </c>
      <c r="Y25" s="119">
        <f t="shared" si="11"/>
        <v>2628717.8553929478</v>
      </c>
      <c r="Z25" s="119">
        <f t="shared" si="11"/>
        <v>2756147.2437651679</v>
      </c>
      <c r="AA25" s="119">
        <f t="shared" si="11"/>
        <v>2886340.3326287521</v>
      </c>
      <c r="AB25" s="119">
        <f t="shared" si="11"/>
        <v>3019351.4432983585</v>
      </c>
      <c r="AC25" s="119">
        <f t="shared" si="11"/>
        <v>3155235.7381295897</v>
      </c>
      <c r="AD25" s="119">
        <f t="shared" si="11"/>
        <v>3294049.2234503087</v>
      </c>
      <c r="AE25" s="119">
        <f t="shared" si="11"/>
        <v>3435848.7519319067</v>
      </c>
      <c r="AF25" s="119">
        <f t="shared" si="11"/>
        <v>3580692.0243643839</v>
      </c>
      <c r="AG25" s="119">
        <f t="shared" si="11"/>
        <v>3728637.5907973694</v>
      </c>
      <c r="AH25" s="119">
        <f t="shared" si="11"/>
        <v>3879744.8510075137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1.2281843753557844</v>
      </c>
      <c r="G27" s="122">
        <f t="shared" si="12"/>
        <v>1.257000735109695</v>
      </c>
      <c r="H27" s="122">
        <f t="shared" si="12"/>
        <v>1.2864623369971826</v>
      </c>
      <c r="I27" s="122">
        <f t="shared" si="12"/>
        <v>1.3165826812314774</v>
      </c>
      <c r="J27" s="122">
        <f t="shared" si="12"/>
        <v>1.3473755134517362</v>
      </c>
      <c r="K27" s="122">
        <f t="shared" si="12"/>
        <v>1.3788548276359125</v>
      </c>
      <c r="L27" s="122">
        <f t="shared" si="12"/>
        <v>1.4110348689736472</v>
      </c>
      <c r="M27" s="122">
        <f t="shared" si="12"/>
        <v>1.4439301366942441</v>
      </c>
      <c r="N27" s="122">
        <f t="shared" si="12"/>
        <v>1.477555386844503</v>
      </c>
      <c r="O27" s="122">
        <f t="shared" si="12"/>
        <v>1.5119256350109496</v>
      </c>
      <c r="P27" s="122">
        <f t="shared" si="12"/>
        <v>1.5470561589806728</v>
      </c>
      <c r="Q27" s="122">
        <f t="shared" si="12"/>
        <v>1.5829625013347239</v>
      </c>
      <c r="R27" s="122">
        <f t="shared" si="12"/>
        <v>1.6196604719676886</v>
      </c>
      <c r="S27" s="161">
        <f t="shared" si="12"/>
        <v>1.657166150526743</v>
      </c>
      <c r="T27" s="122">
        <f t="shared" si="12"/>
        <v>1.6954958887631471</v>
      </c>
      <c r="U27" s="122">
        <f t="shared" si="12"/>
        <v>1.7346663127888033</v>
      </c>
      <c r="V27" s="122">
        <f t="shared" si="12"/>
        <v>1.7746943252301102</v>
      </c>
      <c r="W27" s="122">
        <f t="shared" si="12"/>
        <v>1.8155971072709849</v>
      </c>
      <c r="X27" s="122">
        <f t="shared" si="12"/>
        <v>1.8573921205765143</v>
      </c>
      <c r="Y27" s="122">
        <f t="shared" si="12"/>
        <v>1.9000971090882921</v>
      </c>
      <c r="Z27" s="122">
        <f t="shared" si="12"/>
        <v>1.9437301006820509</v>
      </c>
      <c r="AA27" s="122">
        <f t="shared" si="12"/>
        <v>1.988309408677762</v>
      </c>
      <c r="AB27" s="122">
        <f t="shared" si="12"/>
        <v>2.0338536331918986</v>
      </c>
      <c r="AC27" s="122">
        <f t="shared" si="12"/>
        <v>2.0803816623210682</v>
      </c>
      <c r="AD27" s="122">
        <f t="shared" si="12"/>
        <v>2.1279126731457247</v>
      </c>
      <c r="AE27" s="122">
        <f t="shared" si="12"/>
        <v>2.176466132542108</v>
      </c>
      <c r="AF27" s="122">
        <f t="shared" si="12"/>
        <v>2.2260617977900514</v>
      </c>
      <c r="AG27" s="122">
        <f t="shared" si="12"/>
        <v>2.2767197169636764</v>
      </c>
      <c r="AH27" s="122">
        <f t="shared" si="12"/>
        <v>2.3284602290914305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584096.5</v>
      </c>
      <c r="F41" s="129">
        <f t="shared" ref="F41:S41" si="20">F25+F37</f>
        <v>666408.47499999963</v>
      </c>
      <c r="G41" s="129">
        <f t="shared" si="20"/>
        <v>750566.14937499957</v>
      </c>
      <c r="H41" s="129">
        <f t="shared" si="20"/>
        <v>836608.24210937414</v>
      </c>
      <c r="I41" s="129">
        <f t="shared" si="20"/>
        <v>924574.18033960788</v>
      </c>
      <c r="J41" s="129">
        <f t="shared" si="20"/>
        <v>1014504.1079643103</v>
      </c>
      <c r="K41" s="129">
        <f t="shared" si="20"/>
        <v>1106438.8941511987</v>
      </c>
      <c r="L41" s="129">
        <f t="shared" si="20"/>
        <v>1200420.1417273297</v>
      </c>
      <c r="M41" s="129">
        <f t="shared" si="20"/>
        <v>1296490.1954381475</v>
      </c>
      <c r="N41" s="129">
        <f t="shared" si="20"/>
        <v>1394692.1500601014</v>
      </c>
      <c r="O41" s="129">
        <f t="shared" si="20"/>
        <v>1495069.8583508655</v>
      </c>
      <c r="P41" s="129">
        <f t="shared" si="20"/>
        <v>1597667.9388202727</v>
      </c>
      <c r="Q41" s="129">
        <f t="shared" si="20"/>
        <v>1702531.7833042881</v>
      </c>
      <c r="R41" s="129">
        <f t="shared" si="20"/>
        <v>1809707.564323375</v>
      </c>
      <c r="S41" s="130">
        <f t="shared" si="20"/>
        <v>1919242.2422057185</v>
      </c>
      <c r="T41" s="130">
        <f t="shared" ref="T41:AH41" si="21">T25+T37</f>
        <v>2031183.5719547179</v>
      </c>
      <c r="U41" s="130">
        <f t="shared" si="21"/>
        <v>2145580.1098392261</v>
      </c>
      <c r="V41" s="130">
        <f t="shared" si="21"/>
        <v>2262481.2196838455</v>
      </c>
      <c r="W41" s="130">
        <f t="shared" si="21"/>
        <v>2381937.0788355339</v>
      </c>
      <c r="X41" s="130">
        <f t="shared" si="21"/>
        <v>2503998.6837815996</v>
      </c>
      <c r="Y41" s="130">
        <f t="shared" si="21"/>
        <v>2628717.8553929478</v>
      </c>
      <c r="Z41" s="130">
        <f t="shared" si="21"/>
        <v>2756147.2437651679</v>
      </c>
      <c r="AA41" s="130">
        <f t="shared" si="21"/>
        <v>2886340.3326287521</v>
      </c>
      <c r="AB41" s="130">
        <f t="shared" si="21"/>
        <v>3019351.4432983585</v>
      </c>
      <c r="AC41" s="130">
        <f t="shared" si="21"/>
        <v>3155235.7381295897</v>
      </c>
      <c r="AD41" s="130">
        <f t="shared" si="21"/>
        <v>3294049.2234503087</v>
      </c>
      <c r="AE41" s="130">
        <f t="shared" si="21"/>
        <v>3435848.7519319067</v>
      </c>
      <c r="AF41" s="130">
        <f t="shared" si="21"/>
        <v>3580692.0243643839</v>
      </c>
      <c r="AG41" s="130">
        <f t="shared" si="21"/>
        <v>3728637.5907973694</v>
      </c>
      <c r="AH41" s="130">
        <f t="shared" si="21"/>
        <v>3879744.8510075137</v>
      </c>
    </row>
    <row r="42" spans="1:34">
      <c r="A42" s="86"/>
      <c r="B42" s="110" t="s">
        <v>330</v>
      </c>
      <c r="C42" s="323">
        <f>GapCalc!I33</f>
        <v>0.85000000000000009</v>
      </c>
      <c r="D42" s="131" t="s">
        <v>1049</v>
      </c>
      <c r="E42" s="129">
        <f>((E41*$C$42))</f>
        <v>496482.02500000002</v>
      </c>
      <c r="F42" s="129">
        <f t="shared" ref="F42:S42" si="22">((F41*$C$42))</f>
        <v>566447.20374999975</v>
      </c>
      <c r="G42" s="129">
        <f t="shared" si="22"/>
        <v>637981.22696874966</v>
      </c>
      <c r="H42" s="129">
        <f t="shared" si="22"/>
        <v>711117.00579296809</v>
      </c>
      <c r="I42" s="129">
        <f t="shared" si="22"/>
        <v>785888.05328866676</v>
      </c>
      <c r="J42" s="129">
        <f t="shared" si="22"/>
        <v>862328.49176966387</v>
      </c>
      <c r="K42" s="129">
        <f t="shared" si="22"/>
        <v>940473.06002851902</v>
      </c>
      <c r="L42" s="129">
        <f t="shared" si="22"/>
        <v>1020357.1204682303</v>
      </c>
      <c r="M42" s="129">
        <f t="shared" si="22"/>
        <v>1102016.6661224256</v>
      </c>
      <c r="N42" s="129">
        <f t="shared" si="22"/>
        <v>1185488.3275510864</v>
      </c>
      <c r="O42" s="129">
        <f t="shared" si="22"/>
        <v>1270809.3795982359</v>
      </c>
      <c r="P42" s="129">
        <f t="shared" si="22"/>
        <v>1358017.747997232</v>
      </c>
      <c r="Q42" s="129">
        <f t="shared" si="22"/>
        <v>1447152.0158086449</v>
      </c>
      <c r="R42" s="129">
        <f t="shared" si="22"/>
        <v>1538251.4296748689</v>
      </c>
      <c r="S42" s="129">
        <f t="shared" si="22"/>
        <v>1631355.9058748609</v>
      </c>
      <c r="T42" s="129">
        <f t="shared" ref="T42:AH42" si="23">((T41*$C$42))</f>
        <v>1726506.0361615103</v>
      </c>
      <c r="U42" s="129">
        <f t="shared" si="23"/>
        <v>1823743.0933633423</v>
      </c>
      <c r="V42" s="129">
        <f t="shared" si="23"/>
        <v>1923109.036731269</v>
      </c>
      <c r="W42" s="129">
        <f t="shared" si="23"/>
        <v>2024646.517010204</v>
      </c>
      <c r="X42" s="129">
        <f t="shared" si="23"/>
        <v>2128398.8812143598</v>
      </c>
      <c r="Y42" s="129">
        <f t="shared" si="23"/>
        <v>2234410.1770840059</v>
      </c>
      <c r="Z42" s="129">
        <f t="shared" si="23"/>
        <v>2342725.1572003928</v>
      </c>
      <c r="AA42" s="129">
        <f t="shared" si="23"/>
        <v>2453389.2827344397</v>
      </c>
      <c r="AB42" s="129">
        <f t="shared" si="23"/>
        <v>2566448.726803605</v>
      </c>
      <c r="AC42" s="129">
        <f t="shared" si="23"/>
        <v>2681950.3774101515</v>
      </c>
      <c r="AD42" s="129">
        <f t="shared" si="23"/>
        <v>2799941.8399327626</v>
      </c>
      <c r="AE42" s="129">
        <f t="shared" si="23"/>
        <v>2920471.439142121</v>
      </c>
      <c r="AF42" s="129">
        <f t="shared" si="23"/>
        <v>3043588.2207097267</v>
      </c>
      <c r="AG42" s="129">
        <f t="shared" si="23"/>
        <v>3169341.9521777644</v>
      </c>
      <c r="AH42" s="129">
        <f t="shared" si="23"/>
        <v>3297783.123356387</v>
      </c>
    </row>
    <row r="43" spans="1:34">
      <c r="A43" s="86"/>
      <c r="B43" s="132" t="s">
        <v>331</v>
      </c>
      <c r="C43" s="324">
        <f>GapCalc!I32</f>
        <v>0.15</v>
      </c>
      <c r="D43" s="133" t="s">
        <v>1049</v>
      </c>
      <c r="E43" s="108">
        <f>$C$43*(E41)</f>
        <v>87614.474999999991</v>
      </c>
      <c r="F43" s="108">
        <f t="shared" ref="F43:S43" si="24">$C$43*(F41)</f>
        <v>99961.271249999947</v>
      </c>
      <c r="G43" s="108">
        <f t="shared" si="24"/>
        <v>112584.92240624993</v>
      </c>
      <c r="H43" s="108">
        <f t="shared" si="24"/>
        <v>125491.23631640611</v>
      </c>
      <c r="I43" s="108">
        <f t="shared" si="24"/>
        <v>138686.12705094117</v>
      </c>
      <c r="J43" s="108">
        <f t="shared" si="24"/>
        <v>152175.61619464654</v>
      </c>
      <c r="K43" s="108">
        <f t="shared" si="24"/>
        <v>165965.83412267981</v>
      </c>
      <c r="L43" s="108">
        <f t="shared" si="24"/>
        <v>180063.02125909945</v>
      </c>
      <c r="M43" s="108">
        <f t="shared" si="24"/>
        <v>194473.52931572212</v>
      </c>
      <c r="N43" s="108">
        <f t="shared" si="24"/>
        <v>209203.82250901521</v>
      </c>
      <c r="O43" s="108">
        <f t="shared" si="24"/>
        <v>224260.47875262983</v>
      </c>
      <c r="P43" s="108">
        <f t="shared" si="24"/>
        <v>239650.1908230409</v>
      </c>
      <c r="Q43" s="108">
        <f t="shared" si="24"/>
        <v>255379.7674956432</v>
      </c>
      <c r="R43" s="108">
        <f t="shared" si="24"/>
        <v>271456.13464850624</v>
      </c>
      <c r="S43" s="108">
        <f t="shared" si="24"/>
        <v>287886.33633085777</v>
      </c>
      <c r="T43" s="108">
        <f t="shared" ref="T43:AH43" si="25">$C$43*(T41)</f>
        <v>304677.53579320764</v>
      </c>
      <c r="U43" s="108">
        <f t="shared" si="25"/>
        <v>321837.01647588389</v>
      </c>
      <c r="V43" s="108">
        <f t="shared" si="25"/>
        <v>339372.18295257684</v>
      </c>
      <c r="W43" s="108">
        <f t="shared" si="25"/>
        <v>357290.56182533008</v>
      </c>
      <c r="X43" s="108">
        <f t="shared" si="25"/>
        <v>375599.80256723991</v>
      </c>
      <c r="Y43" s="108">
        <f t="shared" si="25"/>
        <v>394307.67830894218</v>
      </c>
      <c r="Z43" s="108">
        <f t="shared" si="25"/>
        <v>413422.08656477515</v>
      </c>
      <c r="AA43" s="108">
        <f t="shared" si="25"/>
        <v>432951.0498943128</v>
      </c>
      <c r="AB43" s="108">
        <f t="shared" si="25"/>
        <v>452902.71649475378</v>
      </c>
      <c r="AC43" s="108">
        <f t="shared" si="25"/>
        <v>473285.36071943841</v>
      </c>
      <c r="AD43" s="108">
        <f t="shared" si="25"/>
        <v>494107.38351754629</v>
      </c>
      <c r="AE43" s="108">
        <f t="shared" si="25"/>
        <v>515377.31278978597</v>
      </c>
      <c r="AF43" s="108">
        <f t="shared" si="25"/>
        <v>537103.80365465756</v>
      </c>
      <c r="AG43" s="108">
        <f t="shared" si="25"/>
        <v>559295.63861960534</v>
      </c>
      <c r="AH43" s="108">
        <f t="shared" si="25"/>
        <v>581961.72765112703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529" t="e">
        <f>E21/Data!$C$38</f>
        <v>#DIV/0!</v>
      </c>
      <c r="F46" s="1529" t="e">
        <f>F21/Data!$C$38</f>
        <v>#DIV/0!</v>
      </c>
      <c r="G46" s="1529" t="e">
        <f>G21/Data!$C$38</f>
        <v>#DIV/0!</v>
      </c>
      <c r="H46" s="1529" t="e">
        <f>H21/Data!$C$38</f>
        <v>#DIV/0!</v>
      </c>
      <c r="I46" s="1529" t="e">
        <f>I21/Data!$C$38</f>
        <v>#DIV/0!</v>
      </c>
      <c r="J46" s="1529" t="e">
        <f>J21/Data!$C$38</f>
        <v>#DIV/0!</v>
      </c>
      <c r="K46" s="1529" t="e">
        <f>K21/Data!$C$38</f>
        <v>#DIV/0!</v>
      </c>
      <c r="L46" s="1529" t="e">
        <f>L21/Data!$C$38</f>
        <v>#DIV/0!</v>
      </c>
      <c r="M46" s="1529" t="e">
        <f>M21/Data!$C$38</f>
        <v>#DIV/0!</v>
      </c>
      <c r="N46" s="1529" t="e">
        <f>N21/Data!$C$38</f>
        <v>#DIV/0!</v>
      </c>
      <c r="O46" s="1529" t="e">
        <f>O21/Data!$C$38</f>
        <v>#DIV/0!</v>
      </c>
      <c r="P46" s="1529" t="e">
        <f>P21/Data!$C$38</f>
        <v>#DIV/0!</v>
      </c>
      <c r="Q46" s="1529" t="e">
        <f>Q21/Data!$C$38</f>
        <v>#DIV/0!</v>
      </c>
      <c r="R46" s="1529" t="e">
        <f>R21/Data!$C$38</f>
        <v>#DIV/0!</v>
      </c>
      <c r="S46" s="1529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2.8685504613540261E-2</v>
      </c>
      <c r="F47" s="142">
        <f>F41/GapCalc!$H$33</f>
        <v>3.2727919760030783E-2</v>
      </c>
      <c r="G47" s="142">
        <f>G41/GapCalc!$H$33</f>
        <v>3.6860978863361961E-2</v>
      </c>
      <c r="H47" s="142">
        <f>H41/GapCalc!$H$33</f>
        <v>4.1086583447691019E-2</v>
      </c>
      <c r="I47" s="142">
        <f>I41/GapCalc!$H$33</f>
        <v>4.5406669815162434E-2</v>
      </c>
      <c r="J47" s="142">
        <f>J41/GapCalc!$H$33</f>
        <v>4.9823209468753488E-2</v>
      </c>
      <c r="K47" s="142">
        <f>K41/GapCalc!$H$33</f>
        <v>5.4338209530059835E-2</v>
      </c>
      <c r="L47" s="142">
        <f>L41/GapCalc!$H$33</f>
        <v>5.895371315134737E-2</v>
      </c>
      <c r="M47" s="142">
        <f>M41/GapCalc!$H$33</f>
        <v>6.3671799921161482E-2</v>
      </c>
      <c r="N47" s="142">
        <f>N41/GapCalc!$H$33</f>
        <v>6.8494586262744975E-2</v>
      </c>
      <c r="O47" s="142">
        <f>O41/GapCalc!$H$33</f>
        <v>7.3424225824480605E-2</v>
      </c>
      <c r="P47" s="142">
        <f>P41/GapCalc!$H$33</f>
        <v>7.8462909861528513E-2</v>
      </c>
      <c r="Q47" s="142">
        <f>Q41/GapCalc!$H$33</f>
        <v>8.3612867607790978E-2</v>
      </c>
      <c r="R47" s="142">
        <f>R41/GapCalc!$H$33</f>
        <v>8.8876366637288332E-2</v>
      </c>
      <c r="S47" s="142">
        <f>S41/GapCalc!$H$33</f>
        <v>9.4255713213986889E-2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2.4382678921509224E-2</v>
      </c>
      <c r="F48" s="142">
        <f>F43/GapCalc!$H$32</f>
        <v>2.7818731796026168E-2</v>
      </c>
      <c r="G48" s="142">
        <f>G43/GapCalc!$H$32</f>
        <v>3.1331832033857671E-2</v>
      </c>
      <c r="H48" s="142">
        <f>H43/GapCalc!$H$32</f>
        <v>3.4923595930537371E-2</v>
      </c>
      <c r="I48" s="142">
        <f>I43/GapCalc!$H$32</f>
        <v>3.8595669342888071E-2</v>
      </c>
      <c r="J48" s="142">
        <f>J43/GapCalc!$H$32</f>
        <v>4.234972804844047E-2</v>
      </c>
      <c r="K48" s="142">
        <f>K43/GapCalc!$H$32</f>
        <v>4.618747810055087E-2</v>
      </c>
      <c r="L48" s="142">
        <f>L43/GapCalc!$H$32</f>
        <v>5.0110656178645269E-2</v>
      </c>
      <c r="M48" s="142">
        <f>M43/GapCalc!$H$32</f>
        <v>5.4121029932987258E-2</v>
      </c>
      <c r="N48" s="142">
        <f>N43/GapCalc!$H$32</f>
        <v>5.8220398323333242E-2</v>
      </c>
      <c r="O48" s="142">
        <f>O43/GapCalc!$H$32</f>
        <v>6.2410591950808524E-2</v>
      </c>
      <c r="P48" s="142">
        <f>P43/GapCalc!$H$32</f>
        <v>6.6693473382299251E-2</v>
      </c>
      <c r="Q48" s="142">
        <f>Q43/GapCalc!$H$32</f>
        <v>7.1070937466622339E-2</v>
      </c>
      <c r="R48" s="142">
        <f>R43/GapCalc!$H$32</f>
        <v>7.5544911641695092E-2</v>
      </c>
      <c r="S48" s="142">
        <f>S43/GapCalc!$H$32</f>
        <v>8.011735623188887E-2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1058</v>
      </c>
      <c r="G64" s="70" t="s">
        <v>1070</v>
      </c>
    </row>
    <row r="65" spans="2:10" ht="13.5" thickBot="1">
      <c r="B65" s="1518" t="s">
        <v>1040</v>
      </c>
      <c r="C65" s="1519"/>
      <c r="D65" s="1543"/>
      <c r="E65" s="70" t="s">
        <v>1056</v>
      </c>
      <c r="G65" s="1518" t="s">
        <v>1040</v>
      </c>
      <c r="H65" s="1519"/>
      <c r="I65" s="1543"/>
      <c r="J65" s="70" t="s">
        <v>1056</v>
      </c>
    </row>
    <row r="66" spans="2:10">
      <c r="B66" s="1520" t="s">
        <v>1054</v>
      </c>
      <c r="C66" s="1565">
        <f>C70/1.63</f>
        <v>15548789.290470466</v>
      </c>
      <c r="D66" s="1544"/>
      <c r="E66" s="1564" t="s">
        <v>285</v>
      </c>
      <c r="G66" s="1520" t="s">
        <v>1073</v>
      </c>
      <c r="H66" s="1565">
        <f>H70/1.63</f>
        <v>2743903.9924359638</v>
      </c>
      <c r="I66" s="1544"/>
      <c r="J66" s="1564" t="s">
        <v>285</v>
      </c>
    </row>
    <row r="67" spans="2:10" ht="15">
      <c r="B67" s="1521" t="s">
        <v>1055</v>
      </c>
      <c r="C67" s="1580">
        <f>SUMIFS(E42:AH42, E50:AH50, "&lt;=" &amp; VALUE(RIGHT(E66, LEN(E66)-FIND(" ", E66))))</f>
        <v>5000717.0665985681</v>
      </c>
      <c r="D67" s="1545" t="s">
        <v>68</v>
      </c>
      <c r="G67" s="1521" t="s">
        <v>1074</v>
      </c>
      <c r="H67" s="1560">
        <f>SUMIFS(E43:AH43, E50:AH50, "&lt;=" &amp; VALUE(RIGHT(E66, LEN(E66)-FIND(" ", E66))))</f>
        <v>882479.48234092351</v>
      </c>
      <c r="I67" s="1545" t="s">
        <v>68</v>
      </c>
    </row>
    <row r="68" spans="2:10">
      <c r="B68" s="1521" t="s">
        <v>1078</v>
      </c>
      <c r="C68" s="1568">
        <f>IF(GapCalc!D41*C42&lt; 0,0,GapCalc!D41*C42)</f>
        <v>0</v>
      </c>
      <c r="D68" s="1545" t="s">
        <v>68</v>
      </c>
      <c r="G68" s="1521" t="s">
        <v>1079</v>
      </c>
      <c r="H68" s="1568">
        <f>IF(GapCalc!D41*C43&lt; 0,0,GapCalc!D41*C43)</f>
        <v>0</v>
      </c>
      <c r="I68" s="1545" t="s">
        <v>68</v>
      </c>
    </row>
    <row r="69" spans="2:10">
      <c r="B69" s="1521" t="s">
        <v>1059</v>
      </c>
      <c r="C69" s="1568">
        <f>'Debt Calc'!E60</f>
        <v>20343809.47686829</v>
      </c>
      <c r="D69" s="1546">
        <v>0.9</v>
      </c>
      <c r="G69" s="1521" t="s">
        <v>1075</v>
      </c>
      <c r="H69" s="1568">
        <f>'Debt Calc'!E59*C43</f>
        <v>3590084.0253296974</v>
      </c>
      <c r="I69" s="1546">
        <v>0.9</v>
      </c>
    </row>
    <row r="70" spans="2:10">
      <c r="B70" s="1523" t="s">
        <v>1042</v>
      </c>
      <c r="C70" s="1577">
        <f>C67+C68+C69</f>
        <v>25344526.543466859</v>
      </c>
      <c r="D70" s="1545" t="s">
        <v>68</v>
      </c>
      <c r="G70" s="1523" t="s">
        <v>1042</v>
      </c>
      <c r="H70" s="1577">
        <f>H67+H68+H69</f>
        <v>4472563.5076706205</v>
      </c>
      <c r="I70" s="1545" t="s">
        <v>68</v>
      </c>
    </row>
    <row r="71" spans="2:10">
      <c r="B71" s="1523" t="s">
        <v>1043</v>
      </c>
      <c r="C71" s="1571">
        <f>C70/C66</f>
        <v>1.63</v>
      </c>
      <c r="D71" s="1547"/>
      <c r="G71" s="1523" t="s">
        <v>1043</v>
      </c>
      <c r="H71" s="1571">
        <f>H70/H66</f>
        <v>1.63</v>
      </c>
      <c r="I71" s="1547"/>
    </row>
    <row r="72" spans="2:10">
      <c r="B72" s="1521" t="s">
        <v>1044</v>
      </c>
      <c r="C72" s="1524">
        <f>(C70-C66)/C66</f>
        <v>0.62999999999999989</v>
      </c>
      <c r="D72" s="1548"/>
      <c r="G72" s="1521" t="s">
        <v>1044</v>
      </c>
      <c r="H72" s="1524">
        <f>(H70-H66)/H66</f>
        <v>0.62999999999999978</v>
      </c>
      <c r="I72" s="1548"/>
    </row>
    <row r="73" spans="2:10">
      <c r="B73" s="1523" t="s">
        <v>1045</v>
      </c>
      <c r="C73" s="1566">
        <f>C72/7</f>
        <v>8.9999999999999983E-2</v>
      </c>
      <c r="D73" s="1548"/>
      <c r="G73" s="1523" t="s">
        <v>1045</v>
      </c>
      <c r="H73" s="1566">
        <f>H72/7</f>
        <v>8.9999999999999969E-2</v>
      </c>
      <c r="I73" s="1548"/>
    </row>
    <row r="74" spans="2:10" ht="13.5" thickBot="1">
      <c r="B74" s="1578" t="s">
        <v>1080</v>
      </c>
      <c r="C74" s="1581">
        <f>GapCalc!H33</f>
        <v>20362078.613192398</v>
      </c>
      <c r="D74" s="1549"/>
      <c r="F74" s="1559"/>
      <c r="G74" s="1578" t="s">
        <v>1082</v>
      </c>
      <c r="H74" s="1581">
        <f>GapCalc!H32</f>
        <v>3593307.9905633638</v>
      </c>
      <c r="I74" s="1549"/>
    </row>
    <row r="75" spans="2:10">
      <c r="B75" s="70" t="s">
        <v>1081</v>
      </c>
      <c r="C75" s="1579">
        <f>(C70-C74)/C74</f>
        <v>0.24469250045260013</v>
      </c>
      <c r="G75" s="70" t="s">
        <v>1081</v>
      </c>
      <c r="H75" s="1579">
        <f>(H70-H74)/H74</f>
        <v>0.24469250045259988</v>
      </c>
    </row>
    <row r="76" spans="2:10">
      <c r="B76" s="70" t="s">
        <v>1045</v>
      </c>
      <c r="C76" s="1579">
        <f>C75/7</f>
        <v>3.4956071493228588E-2</v>
      </c>
      <c r="G76" s="70" t="s">
        <v>1045</v>
      </c>
      <c r="H76" s="1579">
        <f>H75/7</f>
        <v>3.4956071493228554E-2</v>
      </c>
    </row>
    <row r="78" spans="2:10" ht="13.5" thickBot="1">
      <c r="B78" s="70" t="s">
        <v>1061</v>
      </c>
    </row>
    <row r="79" spans="2:10" ht="13.5" thickBot="1">
      <c r="B79" s="1518" t="s">
        <v>1040</v>
      </c>
      <c r="C79" s="1519"/>
      <c r="D79" s="1543"/>
      <c r="E79" s="70" t="s">
        <v>1056</v>
      </c>
    </row>
    <row r="80" spans="2:10">
      <c r="B80" s="1520" t="s">
        <v>1054</v>
      </c>
      <c r="C80" s="1565">
        <f>C84/1.8</f>
        <v>4615877.3226335058</v>
      </c>
      <c r="D80" s="1544"/>
      <c r="E80" s="1564" t="s">
        <v>288</v>
      </c>
    </row>
    <row r="81" spans="2:10" ht="15">
      <c r="B81" s="1521" t="s">
        <v>1055</v>
      </c>
      <c r="C81" s="1560">
        <f>SUMIFS(E42:AH42, E50:AH50, "&lt;=" &amp; VALUE(RIGHT(E80, LEN(E80)-FIND(" ", E80))))</f>
        <v>8308579.1807403099</v>
      </c>
      <c r="D81" s="1545" t="s">
        <v>68</v>
      </c>
    </row>
    <row r="82" spans="2:10">
      <c r="B82" s="1521" t="s">
        <v>1059</v>
      </c>
      <c r="C82" s="1568">
        <f>C68</f>
        <v>0</v>
      </c>
      <c r="D82" s="1545" t="s">
        <v>68</v>
      </c>
    </row>
    <row r="83" spans="2:10">
      <c r="B83" s="1521" t="s">
        <v>1041</v>
      </c>
      <c r="C83" s="1522"/>
      <c r="D83" s="1546">
        <v>0.9</v>
      </c>
    </row>
    <row r="84" spans="2:10">
      <c r="B84" s="1523" t="s">
        <v>1042</v>
      </c>
      <c r="C84" s="1577">
        <f>C81+C82+C83</f>
        <v>8308579.1807403099</v>
      </c>
      <c r="D84" s="1545" t="s">
        <v>68</v>
      </c>
    </row>
    <row r="85" spans="2:10">
      <c r="B85" s="1523" t="s">
        <v>1043</v>
      </c>
      <c r="C85" s="1567">
        <v>1.8</v>
      </c>
      <c r="D85" s="1547"/>
    </row>
    <row r="86" spans="2:10">
      <c r="B86" s="1521" t="s">
        <v>1044</v>
      </c>
      <c r="C86" s="1524">
        <f>(C84-C80)/C80</f>
        <v>0.79999999999999993</v>
      </c>
      <c r="D86" s="1548"/>
    </row>
    <row r="87" spans="2:10">
      <c r="B87" s="1523" t="s">
        <v>1045</v>
      </c>
      <c r="C87" s="1566">
        <f>C86/10</f>
        <v>7.9999999999999988E-2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1058</v>
      </c>
      <c r="G91" s="70" t="s">
        <v>1070</v>
      </c>
    </row>
    <row r="92" spans="2:10" ht="13.5" thickBot="1">
      <c r="B92" s="1518" t="s">
        <v>1040</v>
      </c>
      <c r="C92" s="1519"/>
      <c r="D92" s="1543"/>
      <c r="E92" s="70" t="s">
        <v>1056</v>
      </c>
      <c r="G92" s="1518" t="s">
        <v>1040</v>
      </c>
      <c r="H92" s="1519"/>
      <c r="I92" s="1543"/>
      <c r="J92" s="70" t="s">
        <v>1056</v>
      </c>
    </row>
    <row r="93" spans="2:10">
      <c r="B93" s="1520" t="s">
        <v>1054</v>
      </c>
      <c r="C93" s="1565">
        <f>C97/1.63</f>
        <v>22876421.199344177</v>
      </c>
      <c r="D93" s="1544"/>
      <c r="E93" s="1564" t="s">
        <v>288</v>
      </c>
      <c r="G93" s="1520" t="s">
        <v>1073</v>
      </c>
      <c r="H93" s="1565">
        <f>H97/1.63</f>
        <v>3102026.9207082563</v>
      </c>
      <c r="I93" s="1544"/>
      <c r="J93" s="1564" t="s">
        <v>288</v>
      </c>
    </row>
    <row r="94" spans="2:10" ht="15">
      <c r="B94" s="1521" t="s">
        <v>1055</v>
      </c>
      <c r="C94" s="1580">
        <f>SUMIFS(E42:AH42, E50:AH50, "&lt;=" &amp; VALUE(RIGHT(E93, LEN(E93)-FIND(" ", E93))))</f>
        <v>8308579.1807403099</v>
      </c>
      <c r="D94" s="1545" t="s">
        <v>68</v>
      </c>
      <c r="G94" s="1521" t="s">
        <v>1074</v>
      </c>
      <c r="H94" s="1560">
        <f>SUMIFS(E43:AH43, E50:AH50, "&lt;=" &amp; VALUE(RIGHT(J93, LEN(J93)-FIND(" ", J93))))</f>
        <v>1466219.8554247604</v>
      </c>
      <c r="I94" s="1545" t="s">
        <v>68</v>
      </c>
    </row>
    <row r="95" spans="2:10">
      <c r="B95" s="1521" t="s">
        <v>1078</v>
      </c>
      <c r="C95" s="1568">
        <f>IF(GapCalc!D41*C42&lt; 0,0,GapCalc!D41*C42)</f>
        <v>0</v>
      </c>
      <c r="D95" s="1545" t="s">
        <v>68</v>
      </c>
      <c r="G95" s="1521" t="s">
        <v>1079</v>
      </c>
      <c r="H95" s="1568">
        <f>IF(GapCalc!D41*C43&lt; 0,0,GapCalc!D41*C43)</f>
        <v>0</v>
      </c>
      <c r="I95" s="1545" t="s">
        <v>68</v>
      </c>
    </row>
    <row r="96" spans="2:10">
      <c r="B96" s="1521" t="s">
        <v>1059</v>
      </c>
      <c r="C96" s="1568">
        <f>'Debt Calc'!H60</f>
        <v>28979987.374190696</v>
      </c>
      <c r="D96" s="1546">
        <v>0.9</v>
      </c>
      <c r="G96" s="1521" t="s">
        <v>1075</v>
      </c>
      <c r="H96" s="1568">
        <f>'Debt Calc'!E59*C43</f>
        <v>3590084.0253296974</v>
      </c>
      <c r="I96" s="1546">
        <v>0.9</v>
      </c>
    </row>
    <row r="97" spans="2:9">
      <c r="B97" s="1523" t="s">
        <v>1042</v>
      </c>
      <c r="C97" s="1577">
        <f>C94+C95+C96</f>
        <v>37288566.554931007</v>
      </c>
      <c r="D97" s="1545" t="s">
        <v>68</v>
      </c>
      <c r="G97" s="1523" t="s">
        <v>1042</v>
      </c>
      <c r="H97" s="1577">
        <f>H94+H95+H96</f>
        <v>5056303.8807544578</v>
      </c>
      <c r="I97" s="1545" t="s">
        <v>68</v>
      </c>
    </row>
    <row r="98" spans="2:9">
      <c r="B98" s="1523" t="s">
        <v>1043</v>
      </c>
      <c r="C98" s="1571">
        <f>C97/C93</f>
        <v>1.63</v>
      </c>
      <c r="D98" s="1547"/>
      <c r="G98" s="1523" t="s">
        <v>1043</v>
      </c>
      <c r="H98" s="1571">
        <f>H97/H93</f>
        <v>1.63</v>
      </c>
      <c r="I98" s="1547"/>
    </row>
    <row r="99" spans="2:9">
      <c r="B99" s="1521" t="s">
        <v>1044</v>
      </c>
      <c r="C99" s="1524">
        <f>(C97-C93)/C93</f>
        <v>0.63</v>
      </c>
      <c r="D99" s="1548"/>
      <c r="G99" s="1521" t="s">
        <v>1044</v>
      </c>
      <c r="H99" s="1524">
        <f>(H97-H93)/H93</f>
        <v>0.63</v>
      </c>
      <c r="I99" s="1548"/>
    </row>
    <row r="100" spans="2:9">
      <c r="B100" s="1523" t="s">
        <v>1045</v>
      </c>
      <c r="C100" s="1566">
        <f>C99/7</f>
        <v>0.09</v>
      </c>
      <c r="D100" s="1548"/>
      <c r="G100" s="1523" t="s">
        <v>1045</v>
      </c>
      <c r="H100" s="1566">
        <f>H99/7</f>
        <v>0.09</v>
      </c>
      <c r="I100" s="1548"/>
    </row>
    <row r="101" spans="2:9" ht="13.5" thickBot="1">
      <c r="B101" s="1578" t="s">
        <v>1080</v>
      </c>
      <c r="C101" s="1581">
        <f>GapCalc!H33</f>
        <v>20362078.613192398</v>
      </c>
      <c r="D101" s="1549"/>
      <c r="G101" s="1578" t="s">
        <v>1082</v>
      </c>
      <c r="H101" s="1581">
        <f>GapCalc!H32</f>
        <v>3593307.9905633638</v>
      </c>
      <c r="I101" s="1549"/>
    </row>
    <row r="102" spans="2:9">
      <c r="B102" s="70" t="s">
        <v>1081</v>
      </c>
      <c r="C102" s="1579">
        <f>(C97-C101)/C101</f>
        <v>0.83127505120091705</v>
      </c>
      <c r="G102" s="70" t="s">
        <v>1081</v>
      </c>
      <c r="H102" s="1579">
        <f>(H97-H101)/H101</f>
        <v>0.40714458488756583</v>
      </c>
    </row>
    <row r="103" spans="2:9">
      <c r="B103" s="70" t="s">
        <v>1045</v>
      </c>
      <c r="C103" s="1579">
        <f>C102/10</f>
        <v>8.3127505120091705E-2</v>
      </c>
      <c r="G103" s="70" t="s">
        <v>1045</v>
      </c>
      <c r="H103" s="1579">
        <f>H102/10</f>
        <v>4.0714458488756586E-2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6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650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651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652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653</v>
      </c>
      <c r="C11" s="875">
        <f>'Rental Income'!E17</f>
        <v>82190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654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655</v>
      </c>
      <c r="C13" s="875">
        <f>SUM(C11:C12)*D13</f>
        <v>16438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656</v>
      </c>
      <c r="C14" s="886">
        <f>SUM(C11:C13)</f>
        <v>98628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8"/>
      <c r="R16" s="1758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9"/>
      <c r="M17" s="877"/>
      <c r="N17" s="855"/>
      <c r="O17" s="884"/>
      <c r="P17" s="855"/>
      <c r="Q17" s="879"/>
      <c r="R17" s="880"/>
    </row>
    <row r="18" spans="1:18">
      <c r="A18" s="855"/>
      <c r="B18" s="893" t="s">
        <v>657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60"/>
      <c r="M18" s="895"/>
      <c r="N18" s="855"/>
      <c r="O18" s="920"/>
      <c r="P18" s="855"/>
      <c r="Q18" s="879"/>
      <c r="R18" s="880"/>
    </row>
    <row r="19" spans="1:18">
      <c r="A19" s="855"/>
      <c r="B19" s="888" t="s">
        <v>658</v>
      </c>
      <c r="C19" s="897">
        <f>SUM(C14:C16)</f>
        <v>98628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659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660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661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653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655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662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656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663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664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657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658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665</v>
      </c>
      <c r="C34" s="904">
        <f>C19+C32</f>
        <v>98628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666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667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668</v>
      </c>
      <c r="C38" s="909" t="s">
        <v>669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670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606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671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430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672</v>
      </c>
      <c r="B46" s="855"/>
      <c r="C46" s="855"/>
      <c r="D46" s="855"/>
      <c r="E46" s="855" t="s">
        <v>673</v>
      </c>
      <c r="F46" s="915"/>
      <c r="G46" s="855"/>
      <c r="H46" s="855"/>
      <c r="I46" s="855"/>
      <c r="J46" s="855"/>
      <c r="K46" s="855"/>
      <c r="L46" s="1397" t="s">
        <v>970</v>
      </c>
      <c r="M46" s="1399">
        <f>'Rental Income'!D15</f>
        <v>101</v>
      </c>
      <c r="N46" s="1394"/>
      <c r="O46" s="1394"/>
      <c r="P46" s="1394"/>
      <c r="Q46" s="855"/>
    </row>
    <row r="47" spans="1:18">
      <c r="A47" s="889"/>
      <c r="B47" s="888" t="s">
        <v>674</v>
      </c>
      <c r="C47" s="916">
        <f>ROUNDDOWN(M46*M47,1)</f>
        <v>50.5</v>
      </c>
      <c r="D47" s="876"/>
      <c r="E47" s="917"/>
      <c r="F47" s="918"/>
      <c r="G47" s="873" t="s">
        <v>675</v>
      </c>
      <c r="H47" s="919" t="s">
        <v>676</v>
      </c>
      <c r="I47" s="873" t="s">
        <v>677</v>
      </c>
      <c r="J47" s="873" t="s">
        <v>678</v>
      </c>
      <c r="K47" s="855"/>
      <c r="L47" s="1398" t="s">
        <v>971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606</v>
      </c>
      <c r="C48" s="922">
        <f>P65</f>
        <v>0</v>
      </c>
      <c r="D48" s="876"/>
      <c r="E48" s="855" t="s">
        <v>679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680</v>
      </c>
      <c r="C49" s="916">
        <f>SUM(C47:C48)</f>
        <v>50.5</v>
      </c>
      <c r="D49" s="876"/>
      <c r="E49" s="855" t="s">
        <v>577</v>
      </c>
      <c r="F49" s="855"/>
      <c r="G49" s="923">
        <v>143</v>
      </c>
      <c r="H49" s="884">
        <f>C53*D53</f>
        <v>20265.634615384617</v>
      </c>
      <c r="I49" s="884">
        <f>G49*H49</f>
        <v>2897985.7500000005</v>
      </c>
      <c r="J49" s="925">
        <f>IFERROR(I49/C53,0)</f>
        <v>56823.250000000007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681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682</v>
      </c>
      <c r="C51" s="917"/>
      <c r="D51" s="918" t="s">
        <v>683</v>
      </c>
      <c r="E51" s="929" t="s">
        <v>60</v>
      </c>
      <c r="F51" s="929"/>
      <c r="G51" s="929"/>
      <c r="H51" s="930">
        <f>SUM(H48:H50)</f>
        <v>20265.634615384617</v>
      </c>
      <c r="I51" s="930">
        <f>SUM(I48:I50)</f>
        <v>2897985.7500000005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679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577</v>
      </c>
      <c r="C53" s="931">
        <v>51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670</v>
      </c>
      <c r="I53" s="934">
        <f>I51/C49*C47</f>
        <v>2897985.7500000005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681</v>
      </c>
      <c r="C54" s="935">
        <v>0</v>
      </c>
      <c r="D54" s="936">
        <v>425</v>
      </c>
      <c r="E54" s="855"/>
      <c r="F54" s="937"/>
      <c r="G54" s="855"/>
      <c r="H54" s="879" t="s">
        <v>684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680</v>
      </c>
      <c r="C55" s="880">
        <f>SUM(C52:C54)</f>
        <v>51</v>
      </c>
      <c r="D55" s="855"/>
      <c r="E55" s="855"/>
      <c r="F55" s="937"/>
      <c r="G55" s="855"/>
      <c r="H55" s="872" t="s">
        <v>685</v>
      </c>
      <c r="I55" s="939">
        <f>SUM(I53:I54)</f>
        <v>2897985.7500000005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686</v>
      </c>
      <c r="C56" s="941">
        <f>C49-C55</f>
        <v>-0.5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687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688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689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690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691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693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694</v>
      </c>
      <c r="C65" s="1743"/>
      <c r="D65" s="1743"/>
      <c r="E65" s="1735"/>
      <c r="F65" s="1745" t="s">
        <v>695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696</v>
      </c>
      <c r="C66" s="1736">
        <f>2000+1000</f>
        <v>3000</v>
      </c>
      <c r="D66" s="1735"/>
      <c r="E66" s="1735"/>
      <c r="F66" s="1737" t="s">
        <v>697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698</v>
      </c>
      <c r="C67" s="1736">
        <v>0</v>
      </c>
      <c r="D67" s="1733">
        <v>0.04</v>
      </c>
      <c r="E67" s="1735"/>
      <c r="F67" s="1737" t="s">
        <v>699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699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700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701</v>
      </c>
      <c r="G70" s="1750" t="s">
        <v>702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703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696</v>
      </c>
      <c r="C73" s="1736">
        <v>1000</v>
      </c>
      <c r="D73" s="1748" t="s">
        <v>704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705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699</v>
      </c>
      <c r="C75" s="1732">
        <v>0</v>
      </c>
      <c r="D75" s="1733">
        <v>0.02</v>
      </c>
      <c r="E75" s="1735" t="s">
        <v>706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700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701</v>
      </c>
      <c r="B79" s="1752" t="s">
        <v>707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1"/>
      <c r="E92" s="1761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2920482.5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42069464.679681219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42069400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12864619.900946349</v>
      </c>
    </row>
    <row r="15" spans="2:36">
      <c r="B15" s="556"/>
      <c r="C15" s="560" t="s">
        <v>634</v>
      </c>
      <c r="H15" s="561">
        <f>12*PMT(Data!C24/12,Data!C29*12,-'Debt Calc'!H14)</f>
        <v>2920478.0099053644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4707299.6325316392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4707299.6325316392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42069400</v>
      </c>
      <c r="E21" s="561">
        <f>$H$15</f>
        <v>2920478.0099053644</v>
      </c>
      <c r="F21" s="561">
        <f>E21-G21</f>
        <v>-3.7252902984619141E-9</v>
      </c>
      <c r="G21" s="561">
        <f>D21-H21</f>
        <v>2920478.0099053681</v>
      </c>
      <c r="H21" s="561">
        <f>D21-E21</f>
        <v>39148921.990094632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39148921.990094632</v>
      </c>
      <c r="E22" s="561">
        <f t="shared" ref="E22:E50" si="1">$H$15</f>
        <v>2920478.0099053644</v>
      </c>
      <c r="F22" s="561">
        <f t="shared" ref="F22:F50" si="2">E22-G22</f>
        <v>-3.7252902984619141E-9</v>
      </c>
      <c r="G22" s="561">
        <f t="shared" ref="G22:G50" si="3">D22-H22</f>
        <v>2920478.0099053681</v>
      </c>
      <c r="H22" s="561">
        <f t="shared" ref="H22:H39" si="4">D22-E22</f>
        <v>36228443.980189264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36228443.980189264</v>
      </c>
      <c r="E23" s="561">
        <f t="shared" si="1"/>
        <v>2920478.0099053644</v>
      </c>
      <c r="F23" s="561">
        <f t="shared" si="2"/>
        <v>0</v>
      </c>
      <c r="G23" s="561">
        <f t="shared" si="3"/>
        <v>2920478.0099053644</v>
      </c>
      <c r="H23" s="561">
        <f t="shared" si="4"/>
        <v>33307965.970283899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33307965.970283899</v>
      </c>
      <c r="E24" s="561">
        <f t="shared" si="1"/>
        <v>2920478.0099053644</v>
      </c>
      <c r="F24" s="561">
        <f t="shared" si="2"/>
        <v>0</v>
      </c>
      <c r="G24" s="561">
        <f t="shared" si="3"/>
        <v>2920478.0099053644</v>
      </c>
      <c r="H24" s="561">
        <f t="shared" si="4"/>
        <v>30387487.960378535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30387487.960378535</v>
      </c>
      <c r="E25" s="561">
        <f t="shared" si="1"/>
        <v>2920478.0099053644</v>
      </c>
      <c r="F25" s="561">
        <f t="shared" si="2"/>
        <v>0</v>
      </c>
      <c r="G25" s="561">
        <f t="shared" si="3"/>
        <v>2920478.0099053644</v>
      </c>
      <c r="H25" s="561">
        <f t="shared" si="4"/>
        <v>27467009.950473171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27467009.950473171</v>
      </c>
      <c r="E26" s="561">
        <f t="shared" si="1"/>
        <v>2920478.0099053644</v>
      </c>
      <c r="F26" s="561">
        <f t="shared" si="2"/>
        <v>0</v>
      </c>
      <c r="G26" s="561">
        <f t="shared" si="3"/>
        <v>2920478.0099053644</v>
      </c>
      <c r="H26" s="561">
        <f t="shared" si="4"/>
        <v>24546531.940567806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24546531.940567806</v>
      </c>
      <c r="E27" s="561">
        <f t="shared" si="1"/>
        <v>2920478.0099053644</v>
      </c>
      <c r="F27" s="561">
        <f t="shared" si="2"/>
        <v>0</v>
      </c>
      <c r="G27" s="561">
        <f t="shared" si="3"/>
        <v>2920478.0099053644</v>
      </c>
      <c r="H27" s="561">
        <f t="shared" si="4"/>
        <v>21626053.930662442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21626053.930662442</v>
      </c>
      <c r="E28" s="561">
        <f t="shared" si="1"/>
        <v>2920478.0099053644</v>
      </c>
      <c r="F28" s="561">
        <f t="shared" si="2"/>
        <v>0</v>
      </c>
      <c r="G28" s="561">
        <f t="shared" si="3"/>
        <v>2920478.0099053644</v>
      </c>
      <c r="H28" s="561">
        <f t="shared" si="4"/>
        <v>18705575.920757078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18705575.920757078</v>
      </c>
      <c r="E29" s="561">
        <f t="shared" si="1"/>
        <v>2920478.0099053644</v>
      </c>
      <c r="F29" s="561">
        <f t="shared" si="2"/>
        <v>0</v>
      </c>
      <c r="G29" s="561">
        <f t="shared" si="3"/>
        <v>2920478.0099053644</v>
      </c>
      <c r="H29" s="561">
        <f t="shared" si="4"/>
        <v>15785097.910851713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15785097.910851713</v>
      </c>
      <c r="E30" s="561">
        <f t="shared" si="1"/>
        <v>2920478.0099053644</v>
      </c>
      <c r="F30" s="561">
        <f t="shared" si="2"/>
        <v>0</v>
      </c>
      <c r="G30" s="561">
        <f t="shared" si="3"/>
        <v>2920478.0099053644</v>
      </c>
      <c r="H30" s="561">
        <f>D30-E30</f>
        <v>12864619.900946349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12864619.900946349</v>
      </c>
      <c r="E31" s="561">
        <f t="shared" si="1"/>
        <v>2920478.0099053644</v>
      </c>
      <c r="F31" s="561">
        <f t="shared" si="2"/>
        <v>0</v>
      </c>
      <c r="G31" s="561">
        <f t="shared" si="3"/>
        <v>2920478.0099053644</v>
      </c>
      <c r="H31" s="561">
        <f t="shared" si="4"/>
        <v>9944141.8910409845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9944141.8910409845</v>
      </c>
      <c r="E32" s="561">
        <f t="shared" si="1"/>
        <v>2920478.0099053644</v>
      </c>
      <c r="F32" s="561">
        <f t="shared" si="2"/>
        <v>0</v>
      </c>
      <c r="G32" s="561">
        <f t="shared" si="3"/>
        <v>2920478.0099053644</v>
      </c>
      <c r="H32" s="561">
        <f t="shared" si="4"/>
        <v>7023663.8811356202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7023663.8811356202</v>
      </c>
      <c r="E33" s="561">
        <f t="shared" si="1"/>
        <v>2920478.0099053644</v>
      </c>
      <c r="F33" s="561">
        <f t="shared" si="2"/>
        <v>0</v>
      </c>
      <c r="G33" s="561">
        <f t="shared" si="3"/>
        <v>2920478.0099053644</v>
      </c>
      <c r="H33" s="561">
        <f t="shared" si="4"/>
        <v>4103185.8712302558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4103185.8712302558</v>
      </c>
      <c r="E34" s="561">
        <f t="shared" si="1"/>
        <v>2920478.0099053644</v>
      </c>
      <c r="F34" s="561">
        <f t="shared" si="2"/>
        <v>0</v>
      </c>
      <c r="G34" s="561">
        <f t="shared" si="3"/>
        <v>2920478.0099053644</v>
      </c>
      <c r="H34" s="561">
        <f t="shared" si="4"/>
        <v>1182707.8613248914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1182707.8613248914</v>
      </c>
      <c r="E35" s="561">
        <f t="shared" si="1"/>
        <v>2920478.0099053644</v>
      </c>
      <c r="F35" s="561">
        <f t="shared" si="2"/>
        <v>0</v>
      </c>
      <c r="G35" s="561">
        <f t="shared" si="3"/>
        <v>2920478.0099053644</v>
      </c>
      <c r="H35" s="561">
        <f t="shared" si="4"/>
        <v>-1737770.1485804729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-1737770.1485804729</v>
      </c>
      <c r="E36" s="561">
        <f t="shared" si="1"/>
        <v>2920478.0099053644</v>
      </c>
      <c r="F36" s="561">
        <f t="shared" si="2"/>
        <v>0</v>
      </c>
      <c r="G36" s="561">
        <f t="shared" si="3"/>
        <v>2920478.0099053644</v>
      </c>
      <c r="H36" s="561">
        <f t="shared" si="4"/>
        <v>-4658248.1584858373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-4658248.1584858373</v>
      </c>
      <c r="E37" s="561">
        <f t="shared" si="1"/>
        <v>2920478.0099053644</v>
      </c>
      <c r="F37" s="561">
        <f t="shared" si="2"/>
        <v>0</v>
      </c>
      <c r="G37" s="561">
        <f t="shared" si="3"/>
        <v>2920478.0099053644</v>
      </c>
      <c r="H37" s="561">
        <f t="shared" si="4"/>
        <v>-7578726.1683912016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-7578726.1683912016</v>
      </c>
      <c r="E38" s="561">
        <f t="shared" si="1"/>
        <v>2920478.0099053644</v>
      </c>
      <c r="F38" s="561">
        <f t="shared" si="2"/>
        <v>0</v>
      </c>
      <c r="G38" s="561">
        <f t="shared" si="3"/>
        <v>2920478.0099053644</v>
      </c>
      <c r="H38" s="561">
        <f>D38-E38</f>
        <v>-10499204.178296566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-10499204.178296566</v>
      </c>
      <c r="E39" s="561">
        <f t="shared" si="1"/>
        <v>2920478.0099053644</v>
      </c>
      <c r="F39" s="561">
        <f t="shared" si="2"/>
        <v>0</v>
      </c>
      <c r="G39" s="561">
        <f t="shared" si="3"/>
        <v>2920478.0099053644</v>
      </c>
      <c r="H39" s="561">
        <f t="shared" si="4"/>
        <v>-13419682.18820193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-13419682.18820193</v>
      </c>
      <c r="E40" s="561">
        <f t="shared" si="1"/>
        <v>2920478.0099053644</v>
      </c>
      <c r="F40" s="561">
        <f t="shared" si="2"/>
        <v>16340160.198107295</v>
      </c>
      <c r="G40" s="561">
        <f t="shared" si="3"/>
        <v>-13419682.18820193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2920478.0099053644</v>
      </c>
      <c r="F41" s="561">
        <f t="shared" si="2"/>
        <v>2920478.0099053644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2920478.0099053644</v>
      </c>
      <c r="F42" s="561">
        <f t="shared" si="2"/>
        <v>2920478.0099053644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2920478.0099053644</v>
      </c>
      <c r="F43" s="561">
        <f t="shared" si="2"/>
        <v>2920478.0099053644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2920478.0099053644</v>
      </c>
      <c r="F44" s="561">
        <f t="shared" si="2"/>
        <v>2920478.0099053644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2920478.0099053644</v>
      </c>
      <c r="F45" s="561">
        <f t="shared" si="2"/>
        <v>2920478.0099053644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2920478.0099053644</v>
      </c>
      <c r="F46" s="561">
        <f t="shared" si="2"/>
        <v>2920478.0099053644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2920478.0099053644</v>
      </c>
      <c r="F47" s="561">
        <f t="shared" si="2"/>
        <v>2920478.0099053644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2920478.0099053644</v>
      </c>
      <c r="F48" s="561">
        <f t="shared" si="2"/>
        <v>2920478.0099053644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2920478.0099053644</v>
      </c>
      <c r="F49" s="561">
        <f t="shared" si="2"/>
        <v>2920478.0099053644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2920478.0099053644</v>
      </c>
      <c r="F50" s="561">
        <f t="shared" si="2"/>
        <v>2920478.0099053644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1077</v>
      </c>
      <c r="E54" s="1657"/>
      <c r="F54" s="561"/>
      <c r="G54" s="1658" t="s">
        <v>1088</v>
      </c>
      <c r="H54" s="1659"/>
    </row>
    <row r="55" spans="2:28">
      <c r="D55" s="1655" t="s">
        <v>1064</v>
      </c>
      <c r="E55" s="1664">
        <f>'Cash Flow'!K15/0.05</f>
        <v>96043002.438319489</v>
      </c>
      <c r="F55" s="561"/>
      <c r="G55" s="1663" t="s">
        <v>1064</v>
      </c>
      <c r="H55" s="1667">
        <f>'Cash Flow'!N15/0.05</f>
        <v>103427808.92267834</v>
      </c>
    </row>
    <row r="56" spans="2:28">
      <c r="D56" s="1653" t="s">
        <v>1065</v>
      </c>
      <c r="E56" s="1665">
        <f>'Cash Flow'!K21/1.2</f>
        <v>3355767.8284593322</v>
      </c>
      <c r="F56" s="561"/>
      <c r="G56" s="1661" t="s">
        <v>1065</v>
      </c>
      <c r="H56" s="1668">
        <f>'Cash Flow'!N21/1.2</f>
        <v>3595978.8750500847</v>
      </c>
    </row>
    <row r="57" spans="2:28">
      <c r="D57" s="1653" t="s">
        <v>1066</v>
      </c>
      <c r="E57" s="1665">
        <f>E55*0.6</f>
        <v>57625801.462991692</v>
      </c>
      <c r="F57" s="561"/>
      <c r="G57" s="1661" t="s">
        <v>1066</v>
      </c>
      <c r="H57" s="1668">
        <f>H55*0.6</f>
        <v>62056685.353606999</v>
      </c>
    </row>
    <row r="58" spans="2:28">
      <c r="D58" s="1653" t="s">
        <v>1067</v>
      </c>
      <c r="E58" s="1665">
        <f>-PV(6.5%,34,E56)</f>
        <v>45559947.432860427</v>
      </c>
      <c r="F58" s="561"/>
      <c r="G58" s="1661" t="s">
        <v>1067</v>
      </c>
      <c r="H58" s="1668">
        <f>-PV(6.5%,30,H56)</f>
        <v>46958722.694111869</v>
      </c>
    </row>
    <row r="59" spans="2:28">
      <c r="D59" s="1652" t="s">
        <v>1068</v>
      </c>
      <c r="E59" s="1665">
        <f>E58-H27</f>
        <v>23933893.502197985</v>
      </c>
      <c r="F59" s="561"/>
      <c r="G59" s="1660" t="s">
        <v>1068</v>
      </c>
      <c r="H59" s="1668">
        <f>H58-H30</f>
        <v>34094102.79316552</v>
      </c>
    </row>
    <row r="60" spans="2:28" ht="13.5" thickBot="1">
      <c r="D60" s="1654" t="s">
        <v>1069</v>
      </c>
      <c r="E60" s="1666">
        <f>E59*GapCalc!I33</f>
        <v>20343809.47686829</v>
      </c>
      <c r="F60" s="561"/>
      <c r="G60" s="1662" t="s">
        <v>1069</v>
      </c>
      <c r="H60" s="1669">
        <f>H59*GapCalc!I33</f>
        <v>28979987.374190696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401" t="s">
        <v>973</v>
      </c>
      <c r="C3" s="1415">
        <f>'Development Budget'!E18</f>
        <v>6565000</v>
      </c>
      <c r="D3" s="1402" t="s">
        <v>975</v>
      </c>
      <c r="E3" s="1413">
        <v>1.199398E-2</v>
      </c>
    </row>
    <row r="4" spans="1:5" ht="31.5">
      <c r="B4" s="1403" t="s">
        <v>974</v>
      </c>
      <c r="C4" s="1416">
        <f>SUM('Development Budget'!G31+'Development Budget'!G32)</f>
        <v>32486385.75</v>
      </c>
      <c r="D4" s="1404" t="s">
        <v>976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977</v>
      </c>
      <c r="C6" s="1402" t="s">
        <v>978</v>
      </c>
      <c r="D6" s="1405" t="s">
        <v>979</v>
      </c>
      <c r="E6" s="1315"/>
    </row>
    <row r="7" spans="1:5">
      <c r="A7" s="1408"/>
      <c r="B7" s="1417">
        <f>C3*E3</f>
        <v>78740.478699999992</v>
      </c>
      <c r="C7" s="1417">
        <f>C4*E4</f>
        <v>389641.060957785</v>
      </c>
      <c r="D7" s="1409">
        <f>(1-'Rental Income'!O19)</f>
        <v>0.80198019801980203</v>
      </c>
    </row>
    <row r="8" spans="1:5">
      <c r="A8" s="1410" t="s">
        <v>980</v>
      </c>
      <c r="B8" s="1417">
        <f>B7*D7</f>
        <v>63148.304700000001</v>
      </c>
      <c r="C8" s="1417">
        <f>C7*D7</f>
        <v>312484.41522357019</v>
      </c>
      <c r="D8" s="1411"/>
    </row>
    <row r="9" spans="1:5">
      <c r="A9" s="1408"/>
      <c r="B9" s="1417"/>
      <c r="C9" s="1417"/>
      <c r="D9" s="1411"/>
    </row>
    <row r="10" spans="1:5">
      <c r="A10" s="1412" t="s">
        <v>981</v>
      </c>
      <c r="B10" s="1418">
        <f>SUM(B8:C8)</f>
        <v>375632.71992357017</v>
      </c>
      <c r="C10" s="1418"/>
      <c r="D10" s="1406"/>
    </row>
    <row r="12" spans="1:5">
      <c r="A12" t="s">
        <v>990</v>
      </c>
    </row>
    <row r="13" spans="1:5">
      <c r="A13" t="s">
        <v>991</v>
      </c>
      <c r="B13">
        <v>6</v>
      </c>
      <c r="C13" s="1425">
        <f>C3*(E3/12)*B13</f>
        <v>39370.239350000003</v>
      </c>
    </row>
    <row r="14" spans="1:5">
      <c r="A14" t="s">
        <v>992</v>
      </c>
      <c r="B14">
        <v>24</v>
      </c>
      <c r="C14" s="1425">
        <f>C3*(E3/12)*B14</f>
        <v>157480.95740000001</v>
      </c>
    </row>
    <row r="15" spans="1:5">
      <c r="A15" s="40" t="s">
        <v>994</v>
      </c>
      <c r="C15" s="1428">
        <f>SUM(C13+C14)</f>
        <v>196851.19675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101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4353240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-217941</v>
      </c>
      <c r="E18" s="50"/>
      <c r="F18" s="55">
        <v>0.05</v>
      </c>
    </row>
    <row r="19" spans="1:25">
      <c r="A19" s="40" t="s">
        <v>165</v>
      </c>
      <c r="D19" s="57">
        <f>SUM(D15:D18)</f>
        <v>4140879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757.5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52686.5</v>
      </c>
      <c r="E22" s="48">
        <v>1043</v>
      </c>
      <c r="F22" s="453" t="s">
        <v>172</v>
      </c>
      <c r="N22" s="428">
        <f>D22*0.8</f>
        <v>42149.200000000004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15598.44</v>
      </c>
      <c r="Y22" s="688">
        <f>T22/5</f>
        <v>154.44</v>
      </c>
    </row>
    <row r="23" spans="1:25">
      <c r="B23" t="s">
        <v>174</v>
      </c>
      <c r="D23" s="48">
        <f>(E23*$D$10-20)/2</f>
        <v>67357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9423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59429.279999999999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606</v>
      </c>
      <c r="Y25" s="688">
        <f>T25/5</f>
        <v>6</v>
      </c>
    </row>
    <row r="26" spans="1:25">
      <c r="A26" s="40" t="s">
        <v>183</v>
      </c>
      <c r="D26" s="51">
        <f>SUM(D22:D25)</f>
        <v>188895.78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18786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10100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40400</v>
      </c>
      <c r="Y30">
        <v>400</v>
      </c>
    </row>
    <row r="31" spans="1:25">
      <c r="B31" t="s">
        <v>192</v>
      </c>
      <c r="D31" s="48">
        <f>E31*$D$10</f>
        <v>16564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111663.04000000001</v>
      </c>
    </row>
    <row r="32" spans="1:25">
      <c r="A32" s="42"/>
      <c r="B32" s="43" t="s">
        <v>194</v>
      </c>
      <c r="C32" s="43"/>
      <c r="D32" s="50">
        <f>E32*$D$10</f>
        <v>3030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48480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4545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11783.333333333334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53530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4545</v>
      </c>
      <c r="Y36" s="688">
        <f>T36/6</f>
        <v>45</v>
      </c>
    </row>
    <row r="37" spans="1:25">
      <c r="B37" t="s">
        <v>202</v>
      </c>
      <c r="D37" s="48">
        <f>E37*$D$10</f>
        <v>79790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12625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42521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33498.333333333336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175841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37269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26816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39996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13736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85850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5555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174177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375632.71992357017</v>
      </c>
      <c r="Y56" s="1309">
        <f>X56/'Rental Income'!D15</f>
        <v>3719.1358408274273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1088.5369710891089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2588.5369710891091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84840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396.03960396039605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448216.85325690347</v>
      </c>
    </row>
    <row r="65" spans="1:25">
      <c r="B65" t="s">
        <v>250</v>
      </c>
      <c r="D65" s="48">
        <f>E65*$D$10</f>
        <v>15150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151990</v>
      </c>
      <c r="E67" s="48">
        <f>SUM(E62:E66)</f>
        <v>1571.0396039603961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30300</v>
      </c>
      <c r="E69" s="426">
        <v>300</v>
      </c>
    </row>
    <row r="70" spans="1:25">
      <c r="V70" s="40" t="s">
        <v>256</v>
      </c>
      <c r="X70" s="1307">
        <f>SUM(X68,X64,X54,X39,X31)</f>
        <v>759619.22659023688</v>
      </c>
      <c r="Y70" s="1307">
        <f>X70/D10</f>
        <v>7520.9824414874938</v>
      </c>
    </row>
    <row r="71" spans="1:25">
      <c r="A71" s="40" t="s">
        <v>257</v>
      </c>
      <c r="D71" s="48">
        <f>E71*$D$10</f>
        <v>50500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994211.01407999999</v>
      </c>
      <c r="E73" s="52">
        <f>E71+E69+E67+E54+E59+E45+E43+E41+E33+E26</f>
        <v>12512.576575049505</v>
      </c>
      <c r="G73" s="147"/>
      <c r="H73">
        <f>('Operating Budget'!D73-'Operating Budget'!D69-'Operating Budget'!D57)*-1</f>
        <v>-963911.01407999999</v>
      </c>
      <c r="Y73" s="1309">
        <f>Y70-6000</f>
        <v>1520.9824414874938</v>
      </c>
    </row>
    <row r="75" spans="1:25">
      <c r="A75" s="44" t="s">
        <v>260</v>
      </c>
      <c r="B75" s="45"/>
      <c r="C75" s="45"/>
      <c r="D75" s="52">
        <f>D19-D73</f>
        <v>3146667.9859199999</v>
      </c>
      <c r="E75" s="52">
        <f>D75/D10</f>
        <v>31155.128573465347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98628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40757982.187500007</v>
      </c>
      <c r="C7" s="465">
        <f>'Dev Summary_5-20'!B8</f>
        <v>3190331</v>
      </c>
      <c r="D7" s="465">
        <f t="shared" ref="D7:D14" si="0">B7-C7</f>
        <v>37567651.187500007</v>
      </c>
      <c r="E7" s="477">
        <f t="shared" ref="E7:E15" si="1">D7/B7</f>
        <v>0.92172500136725521</v>
      </c>
      <c r="F7" s="477"/>
      <c r="G7" s="472" t="e">
        <f t="shared" ref="G7:G14" si="2">B7/$B$15</f>
        <v>#REF!</v>
      </c>
      <c r="I7" s="147">
        <f>B7/$H$4</f>
        <v>370527.11079545459</v>
      </c>
      <c r="J7" s="53">
        <f>B7/$H$5</f>
        <v>413.24960647584874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189730.18910232466</v>
      </c>
      <c r="C9" s="446">
        <f>'Dev Summary_5-20'!B10</f>
        <v>50000</v>
      </c>
      <c r="D9" s="446">
        <f t="shared" si="0"/>
        <v>139730.18910232466</v>
      </c>
      <c r="E9" s="477">
        <f t="shared" si="1"/>
        <v>0.73646787452979257</v>
      </c>
      <c r="F9" s="477"/>
      <c r="G9" s="473" t="e">
        <f t="shared" si="2"/>
        <v>#REF!</v>
      </c>
      <c r="I9" s="53">
        <f t="shared" si="3"/>
        <v>1724.8199009302241</v>
      </c>
      <c r="J9" s="53">
        <f t="shared" si="4"/>
        <v>1.9236949862343824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0.32445147422638604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196851.19675</v>
      </c>
      <c r="C12" s="446">
        <f>'Dev Summary_5-20'!B13</f>
        <v>2500000</v>
      </c>
      <c r="D12" s="446">
        <f t="shared" si="0"/>
        <v>-2303148.8032499999</v>
      </c>
      <c r="E12" s="477">
        <f t="shared" si="1"/>
        <v>-11.699948190688355</v>
      </c>
      <c r="F12" s="477"/>
      <c r="G12" s="473" t="e">
        <f t="shared" si="2"/>
        <v>#REF!</v>
      </c>
      <c r="I12" s="53">
        <f t="shared" si="3"/>
        <v>1789.5563340909091</v>
      </c>
      <c r="J12" s="53">
        <f t="shared" si="4"/>
        <v>1.9958956558989334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1803349</v>
      </c>
      <c r="C14" s="467">
        <f>'Dev Summary_5-20'!B14</f>
        <v>282276.62941911275</v>
      </c>
      <c r="D14" s="467">
        <f t="shared" si="0"/>
        <v>1521072.3705808872</v>
      </c>
      <c r="E14" s="478">
        <f t="shared" si="1"/>
        <v>0.84347088144385096</v>
      </c>
      <c r="F14" s="478"/>
      <c r="G14" s="474" t="e">
        <f t="shared" si="2"/>
        <v>#REF!</v>
      </c>
      <c r="I14" s="53">
        <f t="shared" si="3"/>
        <v>16394.081818181818</v>
      </c>
      <c r="J14" s="53">
        <f t="shared" si="4"/>
        <v>18.28435129983372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42069464.679681219</v>
      </c>
      <c r="C21" s="48">
        <v>18731659</v>
      </c>
      <c r="D21" s="48">
        <f>B21-C21</f>
        <v>23337805.679681219</v>
      </c>
      <c r="E21" s="55">
        <f>D21/B21</f>
        <v>0.55474453638467502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108046.56203427853</v>
      </c>
      <c r="C26" s="48">
        <v>12677529</v>
      </c>
      <c r="D26" s="48">
        <f t="shared" si="5"/>
        <v>-12569482.437965721</v>
      </c>
      <c r="E26" s="55">
        <f t="shared" si="6"/>
        <v>-116.33394160175096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0</v>
      </c>
      <c r="C28" s="50"/>
      <c r="D28" s="50">
        <f t="shared" si="5"/>
        <v>0</v>
      </c>
      <c r="E28" s="476" t="e">
        <f t="shared" si="6"/>
        <v>#DIV/0!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1004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1005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1006</v>
      </c>
      <c r="B3" s="1452" t="s">
        <v>1087</v>
      </c>
      <c r="C3" s="1453"/>
      <c r="D3" s="1453" t="s">
        <v>1007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1008</v>
      </c>
      <c r="B4" s="1456" t="s">
        <v>1009</v>
      </c>
      <c r="C4" s="1457"/>
      <c r="D4" s="1457"/>
      <c r="E4" s="1457" t="s">
        <v>1010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1011</v>
      </c>
      <c r="D5" s="1457"/>
      <c r="E5" s="1457"/>
      <c r="F5" s="1457"/>
      <c r="G5" s="1457"/>
      <c r="H5" s="1457"/>
      <c r="I5" s="1460" t="s">
        <v>1012</v>
      </c>
      <c r="J5" s="1457"/>
      <c r="K5" s="1459"/>
    </row>
    <row r="6" spans="1:11" ht="16.5" thickBot="1">
      <c r="A6" s="1461" t="s">
        <v>1013</v>
      </c>
      <c r="B6" s="1462"/>
      <c r="C6" s="1463">
        <v>20</v>
      </c>
      <c r="D6" s="1462"/>
      <c r="E6" s="1462" t="s">
        <v>1014</v>
      </c>
      <c r="F6" s="1462"/>
      <c r="G6" s="1462"/>
      <c r="H6" s="1464">
        <f>'Development Budget'!G46+'Development Budget'!G47</f>
        <v>44833780.406250007</v>
      </c>
      <c r="I6" s="1465"/>
      <c r="J6" s="1466"/>
      <c r="K6" s="1467"/>
    </row>
    <row r="7" spans="1:11">
      <c r="A7" s="1468" t="s">
        <v>1015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1016</v>
      </c>
      <c r="B8" s="1470"/>
      <c r="C8" s="1470"/>
      <c r="D8" s="1473">
        <f>SUM(H6/1000)*0.9+500</f>
        <v>40850.402365625006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1017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36765.362129062509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1018</v>
      </c>
      <c r="B13" s="1470"/>
      <c r="C13" s="1470"/>
      <c r="D13" s="1473">
        <f>SUM(A14+A15+A16)/100*0.415/12*C6</f>
        <v>342228.23114322918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44833780.406250007</v>
      </c>
      <c r="B14" s="1470" t="s">
        <v>1019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1020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1021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1022</v>
      </c>
      <c r="B17" s="1470"/>
      <c r="C17" s="1470"/>
      <c r="D17" s="1473">
        <f>SUM(H6/1000)*0.23</f>
        <v>10311.769493437501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1023</v>
      </c>
      <c r="B19" s="1470"/>
      <c r="C19" s="1470"/>
      <c r="D19" s="1473"/>
      <c r="E19" s="1478">
        <f>SUM(D8:D17)</f>
        <v>430155.76513135422</v>
      </c>
      <c r="F19" s="1470"/>
      <c r="G19" s="1479" t="s">
        <v>1024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1025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1026</v>
      </c>
      <c r="B23" s="1491" t="str">
        <f>B3</f>
        <v>St. James UMC</v>
      </c>
      <c r="C23" s="1491"/>
      <c r="D23" s="1491"/>
      <c r="E23" s="1491" t="s">
        <v>1027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1009</v>
      </c>
      <c r="C24" s="1491"/>
      <c r="D24" s="1491"/>
      <c r="E24" s="1491"/>
      <c r="F24" s="1491"/>
      <c r="G24" s="1491"/>
      <c r="H24" s="1491"/>
      <c r="I24" s="1495" t="s">
        <v>1012</v>
      </c>
      <c r="J24" s="1491"/>
      <c r="K24" s="1493"/>
    </row>
    <row r="25" spans="1:11" ht="16.5" thickBot="1">
      <c r="A25" s="1496" t="s">
        <v>1028</v>
      </c>
      <c r="B25" s="1497"/>
      <c r="C25" s="1498">
        <v>50</v>
      </c>
      <c r="D25" s="1497"/>
      <c r="E25" s="1497" t="s">
        <v>1029</v>
      </c>
      <c r="F25" s="1497"/>
      <c r="G25" s="1497"/>
      <c r="H25" s="1499">
        <f>SUM(H6*0.8)</f>
        <v>35867024.32500001</v>
      </c>
      <c r="I25" s="1500"/>
      <c r="J25" s="1501"/>
      <c r="K25" s="1502"/>
    </row>
    <row r="26" spans="1:11">
      <c r="A26" s="1503" t="s">
        <v>1015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1016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1017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1030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1031</v>
      </c>
      <c r="B32" s="1505"/>
      <c r="C32" s="1505"/>
      <c r="D32" s="1508">
        <f>SUM(A33+A34+A35)/100*0.135+500</f>
        <v>50176.426718750008</v>
      </c>
      <c r="E32" s="1505" t="s">
        <v>1032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35867024.32500001</v>
      </c>
      <c r="B33" s="1505" t="s">
        <v>1033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160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1034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1035</v>
      </c>
      <c r="B36" s="1505"/>
      <c r="C36" s="1505"/>
      <c r="D36" s="1508"/>
      <c r="E36" s="1511">
        <f>SUM(D27:D34)</f>
        <v>57263.926718750008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2" t="s">
        <v>456</v>
      </c>
      <c r="B5" s="1763"/>
      <c r="C5" s="1763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4"/>
      <c r="B6" s="1765"/>
      <c r="C6" s="1765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2" t="s">
        <v>470</v>
      </c>
      <c r="B5" s="1763"/>
      <c r="C5" s="1763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64"/>
      <c r="B6" s="1765"/>
      <c r="C6" s="1765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487295.78625</v>
      </c>
      <c r="E10" s="748">
        <f>'PreDev Flow of Funds'!Y10+'PreDev Flow of Funds'!Y12</f>
        <v>1395966</v>
      </c>
      <c r="F10" s="748">
        <f>(D10-E10)/18</f>
        <v>-50481.678541666668</v>
      </c>
      <c r="G10" s="748">
        <f>$F$10</f>
        <v>-50481.678541666668</v>
      </c>
      <c r="H10" s="748">
        <f t="shared" ref="H10:W10" si="2">$F$10</f>
        <v>-50481.678541666668</v>
      </c>
      <c r="I10" s="748">
        <f t="shared" si="2"/>
        <v>-50481.678541666668</v>
      </c>
      <c r="J10" s="748">
        <f t="shared" si="2"/>
        <v>-50481.678541666668</v>
      </c>
      <c r="K10" s="748">
        <f t="shared" si="2"/>
        <v>-50481.678541666668</v>
      </c>
      <c r="L10" s="748">
        <f t="shared" si="2"/>
        <v>-50481.678541666668</v>
      </c>
      <c r="M10" s="748">
        <f t="shared" si="2"/>
        <v>-50481.678541666668</v>
      </c>
      <c r="N10" s="748">
        <f t="shared" si="2"/>
        <v>-50481.678541666668</v>
      </c>
      <c r="O10" s="748">
        <f t="shared" si="2"/>
        <v>-50481.678541666668</v>
      </c>
      <c r="P10" s="748">
        <f t="shared" si="2"/>
        <v>-50481.678541666668</v>
      </c>
      <c r="Q10" s="748">
        <f t="shared" si="2"/>
        <v>-50481.678541666668</v>
      </c>
      <c r="R10" s="748">
        <f t="shared" si="2"/>
        <v>-50481.678541666668</v>
      </c>
      <c r="S10" s="748">
        <f t="shared" si="2"/>
        <v>-50481.678541666668</v>
      </c>
      <c r="T10" s="748">
        <f t="shared" si="2"/>
        <v>-50481.678541666668</v>
      </c>
      <c r="U10" s="748">
        <f t="shared" si="2"/>
        <v>-50481.678541666668</v>
      </c>
      <c r="V10" s="748">
        <f t="shared" si="2"/>
        <v>-50481.678541666668</v>
      </c>
      <c r="W10" s="748">
        <f t="shared" si="2"/>
        <v>-50481.678541666668</v>
      </c>
      <c r="X10" s="748"/>
      <c r="Y10" s="748">
        <f>SUM(E10:W10)</f>
        <v>487295.78624999995</v>
      </c>
    </row>
    <row r="11" spans="1:25" ht="15">
      <c r="A11" s="402"/>
      <c r="B11" s="403" t="s">
        <v>388</v>
      </c>
      <c r="C11" s="748"/>
      <c r="D11" s="748">
        <f>'Development Budget'!G41</f>
        <v>487295.78625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40757982.187500007</v>
      </c>
      <c r="E13" s="748">
        <f>'PreDev Flow of Funds'!Y14</f>
        <v>69798.3</v>
      </c>
      <c r="F13" s="748">
        <f>(D13-E13)/18</f>
        <v>2260454.6604166673</v>
      </c>
      <c r="G13" s="748">
        <f>$F$13</f>
        <v>2260454.6604166673</v>
      </c>
      <c r="H13" s="748">
        <f t="shared" ref="H13:W13" si="5">$F$13</f>
        <v>2260454.6604166673</v>
      </c>
      <c r="I13" s="748">
        <f t="shared" si="5"/>
        <v>2260454.6604166673</v>
      </c>
      <c r="J13" s="748">
        <f t="shared" si="5"/>
        <v>2260454.6604166673</v>
      </c>
      <c r="K13" s="748">
        <f t="shared" si="5"/>
        <v>2260454.6604166673</v>
      </c>
      <c r="L13" s="748">
        <f t="shared" si="5"/>
        <v>2260454.6604166673</v>
      </c>
      <c r="M13" s="748">
        <f t="shared" si="5"/>
        <v>2260454.6604166673</v>
      </c>
      <c r="N13" s="748">
        <f t="shared" si="5"/>
        <v>2260454.6604166673</v>
      </c>
      <c r="O13" s="748">
        <f t="shared" si="5"/>
        <v>2260454.6604166673</v>
      </c>
      <c r="P13" s="748">
        <f t="shared" si="5"/>
        <v>2260454.6604166673</v>
      </c>
      <c r="Q13" s="748">
        <f t="shared" si="5"/>
        <v>2260454.6604166673</v>
      </c>
      <c r="R13" s="748">
        <f t="shared" si="5"/>
        <v>2260454.6604166673</v>
      </c>
      <c r="S13" s="748">
        <f t="shared" si="5"/>
        <v>2260454.6604166673</v>
      </c>
      <c r="T13" s="748">
        <f t="shared" si="5"/>
        <v>2260454.6604166673</v>
      </c>
      <c r="U13" s="748">
        <f t="shared" si="5"/>
        <v>2260454.6604166673</v>
      </c>
      <c r="V13" s="748">
        <f t="shared" si="5"/>
        <v>2260454.6604166673</v>
      </c>
      <c r="W13" s="748">
        <f t="shared" si="5"/>
        <v>2260454.6604166673</v>
      </c>
      <c r="X13" s="748"/>
      <c r="Y13" s="748">
        <f t="shared" si="3"/>
        <v>40757982.187500015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40757982.187500007</v>
      </c>
      <c r="E15" s="748">
        <f>'PreDev Flow of Funds'!Y16+'PreDev Flow of Funds'!Y17+'PreDev Flow of Funds'!Y19</f>
        <v>72500</v>
      </c>
      <c r="F15" s="748">
        <f>(D15-E15)/18</f>
        <v>2260304.5659722225</v>
      </c>
      <c r="G15" s="748">
        <f>$F$15</f>
        <v>2260304.5659722225</v>
      </c>
      <c r="H15" s="748">
        <f t="shared" ref="H15:W15" si="7">$F$15</f>
        <v>2260304.5659722225</v>
      </c>
      <c r="I15" s="748">
        <f t="shared" si="7"/>
        <v>2260304.5659722225</v>
      </c>
      <c r="J15" s="748">
        <f t="shared" si="7"/>
        <v>2260304.5659722225</v>
      </c>
      <c r="K15" s="748">
        <f t="shared" si="7"/>
        <v>2260304.5659722225</v>
      </c>
      <c r="L15" s="748">
        <f t="shared" si="7"/>
        <v>2260304.5659722225</v>
      </c>
      <c r="M15" s="748">
        <f t="shared" si="7"/>
        <v>2260304.5659722225</v>
      </c>
      <c r="N15" s="748">
        <f t="shared" si="7"/>
        <v>2260304.5659722225</v>
      </c>
      <c r="O15" s="748">
        <f t="shared" si="7"/>
        <v>2260304.5659722225</v>
      </c>
      <c r="P15" s="748">
        <f t="shared" si="7"/>
        <v>2260304.5659722225</v>
      </c>
      <c r="Q15" s="748">
        <f t="shared" si="7"/>
        <v>2260304.5659722225</v>
      </c>
      <c r="R15" s="748">
        <f t="shared" si="7"/>
        <v>2260304.5659722225</v>
      </c>
      <c r="S15" s="748">
        <f t="shared" si="7"/>
        <v>2260304.5659722225</v>
      </c>
      <c r="T15" s="748">
        <f t="shared" si="7"/>
        <v>2260304.5659722225</v>
      </c>
      <c r="U15" s="748">
        <f t="shared" si="7"/>
        <v>2260304.5659722225</v>
      </c>
      <c r="V15" s="748">
        <f t="shared" si="7"/>
        <v>2260304.5659722225</v>
      </c>
      <c r="W15" s="748">
        <f t="shared" si="7"/>
        <v>2260304.5659722225</v>
      </c>
      <c r="X15" s="748"/>
      <c r="Y15" s="748">
        <f t="shared" si="3"/>
        <v>40757982.187500015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6740000</v>
      </c>
      <c r="E26" s="748">
        <v>0</v>
      </c>
      <c r="F26" s="748">
        <f>D26/2</f>
        <v>3370000</v>
      </c>
      <c r="G26" s="748">
        <f>F26</f>
        <v>3370000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6740000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32486385.75</v>
      </c>
      <c r="E33" s="748">
        <v>0</v>
      </c>
      <c r="F33" s="748">
        <f>D33</f>
        <v>32486385.75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32486385.75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101894.95546875002</v>
      </c>
      <c r="E43" s="748">
        <f>D43</f>
        <v>101894.95546875002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101894.95546875002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292894.95546875003</v>
      </c>
      <c r="E52" s="748">
        <f>D52</f>
        <v>292894.95546875003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292894.95546875003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1803349</v>
      </c>
      <c r="E58" s="748">
        <f>'PreDev Flow of Funds'!Y46</f>
        <v>96238.814999999988</v>
      </c>
      <c r="F58" s="748">
        <f>(D58-E58)/18</f>
        <v>94839.454722222232</v>
      </c>
      <c r="G58" s="748">
        <f>$F$58</f>
        <v>94839.454722222232</v>
      </c>
      <c r="H58" s="748">
        <f t="shared" ref="H58:W58" si="18">$F$58</f>
        <v>94839.454722222232</v>
      </c>
      <c r="I58" s="748">
        <f t="shared" si="18"/>
        <v>94839.454722222232</v>
      </c>
      <c r="J58" s="748">
        <f t="shared" si="18"/>
        <v>94839.454722222232</v>
      </c>
      <c r="K58" s="748">
        <f t="shared" si="18"/>
        <v>94839.454722222232</v>
      </c>
      <c r="L58" s="748">
        <f t="shared" si="18"/>
        <v>94839.454722222232</v>
      </c>
      <c r="M58" s="748">
        <f t="shared" si="18"/>
        <v>94839.454722222232</v>
      </c>
      <c r="N58" s="748">
        <f t="shared" si="18"/>
        <v>94839.454722222232</v>
      </c>
      <c r="O58" s="748">
        <f t="shared" si="18"/>
        <v>94839.454722222232</v>
      </c>
      <c r="P58" s="748">
        <f t="shared" si="18"/>
        <v>94839.454722222232</v>
      </c>
      <c r="Q58" s="748">
        <f t="shared" si="18"/>
        <v>94839.454722222232</v>
      </c>
      <c r="R58" s="748">
        <f t="shared" si="18"/>
        <v>94839.454722222232</v>
      </c>
      <c r="S58" s="748">
        <f t="shared" si="18"/>
        <v>94839.454722222232</v>
      </c>
      <c r="T58" s="748">
        <f t="shared" si="18"/>
        <v>94839.454722222232</v>
      </c>
      <c r="U58" s="748">
        <f t="shared" si="18"/>
        <v>94839.454722222232</v>
      </c>
      <c r="V58" s="748">
        <f t="shared" si="18"/>
        <v>94839.454722222232</v>
      </c>
      <c r="W58" s="748">
        <f t="shared" si="18"/>
        <v>94839.454722222232</v>
      </c>
      <c r="X58" s="748"/>
      <c r="Y58" s="748">
        <f t="shared" si="3"/>
        <v>1803348.9999999995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189730.18910232466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15239942.985937497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42789775.09324307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-12172081.081470914</v>
      </c>
      <c r="E87" s="749">
        <f>E80-E84-E85-E86-E88-E89-E90-E91</f>
        <v>398789.91093749553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15239942.985937497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942</v>
      </c>
    </row>
    <row r="5" spans="3:6">
      <c r="D5" t="s">
        <v>943</v>
      </c>
    </row>
    <row r="6" spans="3:6">
      <c r="E6" t="s">
        <v>944</v>
      </c>
      <c r="F6" s="1310">
        <f>544</f>
        <v>544</v>
      </c>
    </row>
    <row r="7" spans="3:6">
      <c r="D7" t="s">
        <v>945</v>
      </c>
      <c r="F7" s="1310"/>
    </row>
    <row r="8" spans="3:6">
      <c r="F8" s="1310">
        <v>0</v>
      </c>
    </row>
    <row r="9" spans="3:6">
      <c r="D9" t="s">
        <v>946</v>
      </c>
      <c r="F9" s="1310">
        <v>234</v>
      </c>
    </row>
    <row r="10" spans="3:6">
      <c r="F10" s="1310"/>
    </row>
    <row r="11" spans="3:6">
      <c r="D11" t="s">
        <v>947</v>
      </c>
      <c r="F11" s="1310"/>
    </row>
    <row r="12" spans="3:6">
      <c r="E12" t="s">
        <v>948</v>
      </c>
      <c r="F12" s="1310">
        <v>3437</v>
      </c>
    </row>
    <row r="13" spans="3:6">
      <c r="E13" t="s">
        <v>949</v>
      </c>
      <c r="F13" s="1310">
        <v>426</v>
      </c>
    </row>
    <row r="14" spans="3:6">
      <c r="E14" t="s">
        <v>950</v>
      </c>
      <c r="F14" s="1310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311" t="s">
        <v>60</v>
      </c>
      <c r="F17" s="1312">
        <f>SUM(F6:F16)</f>
        <v>7491</v>
      </c>
    </row>
    <row r="19" spans="3:6">
      <c r="D19" t="s">
        <v>952</v>
      </c>
    </row>
    <row r="20" spans="3:6">
      <c r="D20" t="s">
        <v>953</v>
      </c>
      <c r="F20" s="1313">
        <v>2379</v>
      </c>
    </row>
    <row r="24" spans="3:6">
      <c r="C24" s="1157" t="s">
        <v>954</v>
      </c>
    </row>
    <row r="27" spans="3:6">
      <c r="D27" t="s">
        <v>955</v>
      </c>
    </row>
    <row r="29" spans="3:6">
      <c r="D29" t="s">
        <v>956</v>
      </c>
      <c r="F29" s="1310">
        <v>37.33</v>
      </c>
    </row>
    <row r="31" spans="3:6">
      <c r="D31" t="s">
        <v>957</v>
      </c>
      <c r="E31" s="1314">
        <v>10000000</v>
      </c>
      <c r="F31" s="1310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310">
        <v>1743.09</v>
      </c>
    </row>
    <row r="35" spans="4:6" ht="31.5">
      <c r="E35" s="1315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62"/>
      <c r="B5" s="1763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64"/>
      <c r="B6" s="1766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2"/>
      <c r="B39" s="1763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64"/>
      <c r="B40" s="1766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2"/>
      <c r="B72" s="1763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64"/>
      <c r="B73" s="1765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67" t="s">
        <v>590</v>
      </c>
      <c r="D74" s="1768"/>
      <c r="E74" s="1768"/>
      <c r="F74" s="1768"/>
      <c r="G74" s="1768"/>
      <c r="H74" s="1768"/>
      <c r="I74" s="1769"/>
      <c r="J74" s="1770" t="s">
        <v>583</v>
      </c>
      <c r="K74" s="1771"/>
      <c r="L74" s="1771"/>
      <c r="M74" s="1771"/>
      <c r="N74" s="1771"/>
      <c r="O74" s="1772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67"/>
      <c r="D78" s="1768"/>
      <c r="E78" s="1768"/>
      <c r="F78" s="1768"/>
      <c r="G78" s="1768"/>
      <c r="H78" s="1768"/>
      <c r="I78" s="1769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67"/>
      <c r="D85" s="1768"/>
      <c r="E85" s="1768"/>
      <c r="F85" s="1768"/>
      <c r="G85" s="1768"/>
      <c r="H85" s="1768"/>
      <c r="I85" s="1769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67"/>
      <c r="D91" s="1768"/>
      <c r="E91" s="1768"/>
      <c r="F91" s="1768"/>
      <c r="G91" s="1768"/>
      <c r="H91" s="1768"/>
      <c r="I91" s="1769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-1302896.2021875</v>
      </c>
      <c r="K103" s="162">
        <f>J103+(C116*0.25)/2</f>
        <v>-2605792.4043749999</v>
      </c>
      <c r="L103" s="162">
        <f>K103+((C116-K103)/4)</f>
        <v>-4560136.7076562494</v>
      </c>
      <c r="M103" s="162">
        <f>L103+((C116-K103)/4)</f>
        <v>-6514481.0109374989</v>
      </c>
      <c r="N103" s="162">
        <f>M103+((C116-K103)/4)</f>
        <v>-8468825.3142187484</v>
      </c>
      <c r="O103" s="162">
        <f>N103+((C116-K103)/4)</f>
        <v>-10423169.617499998</v>
      </c>
      <c r="P103" s="162">
        <f>O103</f>
        <v>-10423169.617499998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9933218.9070833344</v>
      </c>
      <c r="K104" s="371">
        <f>((C117-1033493)/6)+J104</f>
        <v>19866437.814166669</v>
      </c>
      <c r="L104" s="371">
        <f>((C117-1033493)/6)+K104</f>
        <v>29799656.721250005</v>
      </c>
      <c r="M104" s="371">
        <f>((C117-1033493)/6)+L104</f>
        <v>39732875.628333338</v>
      </c>
      <c r="N104" s="371">
        <f>((C117-1033493)/6)+M104</f>
        <v>49666094.53541667</v>
      </c>
      <c r="O104" s="371">
        <f>((C117-1033493)/6)+N104</f>
        <v>59599313.442500003</v>
      </c>
      <c r="P104" s="371">
        <f>(286645+100000+646848)+O104</f>
        <v>60632806.442500003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8630322.7048958354</v>
      </c>
      <c r="K110" s="371">
        <f t="shared" ref="K110:P110" si="9">SUM(K103:K104)</f>
        <v>17260645.409791671</v>
      </c>
      <c r="L110" s="371">
        <f t="shared" si="9"/>
        <v>25239520.013593756</v>
      </c>
      <c r="M110" s="371">
        <f t="shared" si="9"/>
        <v>33218394.617395841</v>
      </c>
      <c r="N110" s="371">
        <f t="shared" si="9"/>
        <v>41197269.221197918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75">
        <f>'PreDev Flow of Funds'!D47</f>
        <v>14824249.954999998</v>
      </c>
      <c r="D114" s="1774"/>
    </row>
    <row r="115" spans="2:19">
      <c r="B115" s="397" t="s">
        <v>601</v>
      </c>
      <c r="C115" s="1776">
        <f>M102</f>
        <v>1323400.22</v>
      </c>
      <c r="D115" s="1774"/>
    </row>
    <row r="116" spans="2:19">
      <c r="B116" s="397" t="s">
        <v>583</v>
      </c>
      <c r="C116" s="1776">
        <f>'Development Budget'!G37-Predevelopment!D27-Predevelopment!D28-Predevelopment!D29-Timeline!M102-Predevelopment!D17</f>
        <v>-10423169.6175</v>
      </c>
      <c r="D116" s="1774"/>
    </row>
    <row r="117" spans="2:19" ht="16.5" thickBot="1">
      <c r="B117" s="398" t="s">
        <v>602</v>
      </c>
      <c r="C117" s="1777">
        <f>C118-C114-C116-C115</f>
        <v>60632806.442500003</v>
      </c>
      <c r="D117" s="1778"/>
    </row>
    <row r="118" spans="2:19" ht="16.5" thickTop="1">
      <c r="B118" s="368" t="s">
        <v>586</v>
      </c>
      <c r="C118" s="1773">
        <v>66357287</v>
      </c>
      <c r="D118" s="1774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2024-05-21T17:34:59Z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