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"/>
    </mc:Choice>
  </mc:AlternateContent>
  <xr:revisionPtr revIDLastSave="0" documentId="13_ncr:1_{B4CD5A52-4A60-4444-AE51-6194B023BE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<sst xmlns="http://schemas.openxmlformats.org/spreadsheetml/2006/main" count="1995" uniqueCount="1106">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</sst>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abSelected="1" workbookViewId="0">
      <selection activeCell="F18" sqref="F1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1103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6.6618737544894349E-2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6.6618737544894363E-2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-2182475.3583192737</v>
      </c>
      <c r="E18" s="1755">
        <f ca="1">-D18/D28</f>
        <v>3.5343396867150274E-2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37135500</v>
      </c>
      <c r="E22" s="1531">
        <f t="shared" ref="E22:E28" si="0">D22/$D$10</f>
        <v>367678.21782178216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4146549.4259678009</v>
      </c>
      <c r="E25" s="1531">
        <f t="shared" si="0"/>
        <v>41054.944811562382</v>
      </c>
    </row>
    <row r="26" spans="1:6">
      <c r="A26" s="64"/>
      <c r="B26" s="4" t="s">
        <v>20</v>
      </c>
      <c r="C26" s="4"/>
      <c r="D26" s="1531">
        <f>'Development Budget'!G181</f>
        <v>3071982.5</v>
      </c>
      <c r="E26" s="1531">
        <f t="shared" si="0"/>
        <v>30415.668316831685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7315481.9770514444</v>
      </c>
      <c r="E27" s="1532">
        <f t="shared" si="0"/>
        <v>72430.514624271731</v>
      </c>
    </row>
    <row r="28" spans="1:6" ht="16.5" thickTop="1">
      <c r="A28" s="4"/>
      <c r="B28" s="4"/>
      <c r="C28" s="150" t="s">
        <v>14</v>
      </c>
      <c r="D28" s="1533">
        <f>SUM(D21:D27)</f>
        <v>61750582.903019242</v>
      </c>
      <c r="E28" s="1531">
        <f t="shared" si="0"/>
        <v>611391.90993088356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40015016.773082934</v>
      </c>
      <c r="E32" s="1586">
        <f t="shared" si="1"/>
        <v>396188.28488200926</v>
      </c>
    </row>
    <row r="33" spans="1:5">
      <c r="A33" s="64"/>
      <c r="B33" s="4" t="s">
        <v>1052</v>
      </c>
      <c r="C33" s="4"/>
      <c r="D33" s="1587">
        <f>GapCalc!D29</f>
        <v>3260334.9194904468</v>
      </c>
      <c r="E33" s="1586">
        <f>D33/$D$10</f>
        <v>32280.543757331157</v>
      </c>
    </row>
    <row r="34" spans="1:5">
      <c r="A34" s="65"/>
      <c r="B34" s="4" t="s">
        <v>26</v>
      </c>
      <c r="C34" s="4"/>
      <c r="D34" s="1587">
        <f>GapCalc!D30</f>
        <v>18475231.210445862</v>
      </c>
      <c r="E34" s="1586">
        <f>D34/$D$10</f>
        <v>182923.0812915432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61750582.903019249</v>
      </c>
      <c r="E36" s="1586">
        <f>D36/$D$10</f>
        <v>611391.90993088367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42069464.679681219</v>
      </c>
      <c r="E40" s="1586">
        <f t="shared" ref="E40" si="2">D40/$D$10</f>
        <v>416529.35326417047</v>
      </c>
    </row>
    <row r="41" spans="1:5">
      <c r="A41" s="60"/>
      <c r="B41" s="4" t="s">
        <v>1052</v>
      </c>
      <c r="C41" s="4"/>
      <c r="D41" s="1591">
        <f>GapCalc!D29+GapCalc!D38</f>
        <v>3260334.9194904468</v>
      </c>
      <c r="E41" s="1586">
        <f>D41/$D$10</f>
        <v>32280.543757331157</v>
      </c>
    </row>
    <row r="42" spans="1:5">
      <c r="A42" s="60"/>
      <c r="B42" s="1557" t="s">
        <v>26</v>
      </c>
      <c r="C42" s="4"/>
      <c r="D42" s="1592">
        <f>GapCalc!D30+GapCalc!D39</f>
        <v>18475231.210445862</v>
      </c>
      <c r="E42" s="1586">
        <f>D42/$D$10</f>
        <v>182923.0812915432</v>
      </c>
    </row>
    <row r="43" spans="1:5">
      <c r="A43" s="60"/>
      <c r="B43" s="1714" t="s">
        <v>1102</v>
      </c>
      <c r="C43" s="4"/>
      <c r="D43" s="1592">
        <f>IF(D32-D40&gt;0,0,D32-D40)</f>
        <v>-2054447.9065982848</v>
      </c>
      <c r="E43" s="1586">
        <f>D43/$D$10</f>
        <v>-20341.068382161237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61750582.903019249</v>
      </c>
      <c r="E45" s="1588">
        <f>D45/$D$10</f>
        <v>611391.90993088367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3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37135500</v>
      </c>
      <c r="E18" s="1531">
        <f t="shared" ref="E18:E24" si="0">D18/$D$11</f>
        <v>367678.21782178216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4146549.4259678009</v>
      </c>
      <c r="E21" s="1531">
        <f t="shared" si="0"/>
        <v>41054.944811562382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3071982.5</v>
      </c>
      <c r="E22" s="1531">
        <f t="shared" si="0"/>
        <v>30415.668316831685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7315481.9770514444</v>
      </c>
      <c r="E23" s="1532">
        <f t="shared" si="0"/>
        <v>72430.514624271731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61750582.903019242</v>
      </c>
      <c r="E24" s="1531">
        <f t="shared" si="0"/>
        <v>611391.90993088356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40015016.773082934</v>
      </c>
      <c r="E28" s="1586">
        <f t="shared" si="1"/>
        <v>396188.28488200926</v>
      </c>
      <c r="F28" s="62"/>
      <c r="G28" s="1419" t="s">
        <v>609</v>
      </c>
      <c r="H28" s="1608">
        <f>H32/D11</f>
        <v>32280.543757331157</v>
      </c>
      <c r="I28" s="703"/>
    </row>
    <row r="29" spans="1:10" ht="15.75">
      <c r="A29" s="64"/>
      <c r="B29" s="4" t="s">
        <v>1052</v>
      </c>
      <c r="C29" s="4"/>
      <c r="D29" s="1587">
        <v>3260334.9194904468</v>
      </c>
      <c r="E29" s="1586">
        <f>D29/$D$11</f>
        <v>32280.543757331157</v>
      </c>
      <c r="F29" s="520"/>
      <c r="G29" s="1420" t="s">
        <v>972</v>
      </c>
      <c r="H29" s="1609">
        <f>H33/D11</f>
        <v>182923.0812915432</v>
      </c>
      <c r="I29" s="703"/>
    </row>
    <row r="30" spans="1:10" ht="16.5" thickBot="1">
      <c r="A30" s="65"/>
      <c r="B30" s="4" t="s">
        <v>26</v>
      </c>
      <c r="C30" s="4"/>
      <c r="D30" s="1587">
        <v>18475231.210445862</v>
      </c>
      <c r="E30" s="1586">
        <f>D30/$D$11</f>
        <v>182923.0812915432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3260334.9194904468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61750582.903019249</v>
      </c>
      <c r="E33" s="1586">
        <f>D33/$D$11</f>
        <v>611391.90993088367</v>
      </c>
      <c r="F33" s="62"/>
      <c r="G33" s="1441" t="s">
        <v>972</v>
      </c>
      <c r="H33" s="1611">
        <f>D30+D39</f>
        <v>18475231.210445862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21735566.129936308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0.35198965107863889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42069464.679681219</v>
      </c>
      <c r="E37" s="1586">
        <f t="shared" ref="E37" si="2">D37/$D$11</f>
        <v>416529.35326417047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3260334.9194904468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18475231.210445862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2054447.9065982848</v>
      </c>
      <c r="E41" s="1588">
        <f>D41/$D$11</f>
        <v>20341.068382161237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42069464.679681219</v>
      </c>
      <c r="E42" s="1586">
        <f>D42/$D$11</f>
        <v>416529.35326417047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-308167.18598974269</v>
      </c>
      <c r="I43" s="1596">
        <f>D38+H43</f>
        <v>-308167.18598974269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-1746280.720608542</v>
      </c>
      <c r="I44" s="1596">
        <f>D39+H44</f>
        <v>-1746280.720608542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16620127.15587448</v>
      </c>
      <c r="J46" s="1582" t="s">
        <v>1084</v>
      </c>
      <c r="K46" s="1583">
        <f>'Cash Flow'!C76</f>
        <v>6.6618737544894349E-2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5586033.2785271397</v>
      </c>
      <c r="J47" s="1584" t="s">
        <v>1099</v>
      </c>
      <c r="K47" s="1607">
        <f>'Cash Flow'!C70</f>
        <v>27090807.264075398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-1855104.0545713827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2932963.6157425558</v>
      </c>
      <c r="J51" s="1585" t="s">
        <v>1084</v>
      </c>
      <c r="K51" s="1618">
        <f>'Cash Flow'!H76</f>
        <v>6.6618737544894363E-2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3260334.9194904468</v>
      </c>
      <c r="J52" s="1584" t="s">
        <v>1098</v>
      </c>
      <c r="K52" s="1607">
        <f>'Cash Flow'!H70</f>
        <v>4780730.6936603654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-327371.30374789098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-2182475.3583192737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23947759.06474819</v>
      </c>
      <c r="J58" s="1582" t="s">
        <v>1084</v>
      </c>
      <c r="K58" s="1583">
        <f>'Cash Flow'!C103</f>
        <v>0.11128205017249967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39034847.275539547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5472527.8543023281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3291086.5440148478</v>
      </c>
      <c r="J63" s="1585" t="s">
        <v>1084</v>
      </c>
      <c r="K63" s="1618">
        <f>'Cash Flow'!H103</f>
        <v>6.4537423277440692E-2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3260334.9194904468</v>
      </c>
      <c r="J64" s="1584" t="s">
        <v>1098</v>
      </c>
      <c r="K64" s="1607">
        <f>'Cash Flow'!H97</f>
        <v>5364471.0667442018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30751.624524401035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5503279.4788267296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27" zoomScale="130" zoomScaleNormal="130" workbookViewId="0">
      <selection activeCell="I50" sqref="I50:I5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87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2054447.9065982848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4">
        <v>6565000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29588400</v>
      </c>
      <c r="H32" s="1039"/>
      <c r="I32" s="950">
        <f t="shared" si="0"/>
        <v>292954.45544554456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32547240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2958840</v>
      </c>
      <c r="G36" s="854">
        <f>F36</f>
        <v>2958840</v>
      </c>
      <c r="H36" s="950"/>
      <c r="I36" s="950">
        <f t="shared" si="0"/>
        <v>29295.445544554455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2071188.0000000002</v>
      </c>
      <c r="H37" s="1072"/>
      <c r="I37" s="950">
        <f t="shared" si="0"/>
        <v>20506.811881188121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2071188.0000000002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1479420</v>
      </c>
      <c r="H38" s="1072"/>
      <c r="I38" s="950">
        <f t="shared" si="0"/>
        <v>14647.722772277228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1479420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443826</v>
      </c>
      <c r="H40" s="1072"/>
      <c r="I40" s="950">
        <f t="shared" si="0"/>
        <v>4394.3168316831679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443826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443826</v>
      </c>
      <c r="H41" s="1072"/>
      <c r="I41" s="950">
        <f t="shared" si="0"/>
        <v>4394.3168316831679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443826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37135500</v>
      </c>
      <c r="H44" s="1324"/>
      <c r="I44" s="1325">
        <f t="shared" si="0"/>
        <v>367678.21782178216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37135500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37135500</v>
      </c>
      <c r="H46" s="1333"/>
      <c r="I46" s="1325">
        <f t="shared" si="0"/>
        <v>367678.21782178216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37135500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3713550</v>
      </c>
      <c r="H47" s="1039"/>
      <c r="I47" s="950">
        <f t="shared" si="0"/>
        <v>36767.821782178216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3713550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1153881.25</v>
      </c>
      <c r="H59" s="1128"/>
      <c r="I59" s="950">
        <f t="shared" si="0"/>
        <v>11424.566831683169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92838.75</v>
      </c>
      <c r="H67" s="1039"/>
      <c r="I67" s="950">
        <f t="shared" si="0"/>
        <v>919.19554455445541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92838.75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283838.75</v>
      </c>
      <c r="H80" s="1101"/>
      <c r="I80" s="950">
        <f t="shared" si="0"/>
        <v>2810.2846534653463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283838.75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3.0823174624752203E-2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189584.59674894126</v>
      </c>
      <c r="H102" s="1111"/>
      <c r="I102" s="950">
        <f t="shared" si="3"/>
        <v>1877.075215336052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189584.59674894126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174584.59674894126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3499282.1630825861</v>
      </c>
      <c r="N103" s="1172">
        <v>3491691.934978825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189584.59674894126</v>
      </c>
      <c r="H114" s="1101"/>
      <c r="I114" s="950">
        <f t="shared" si="3"/>
        <v>1877.075215336052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189584.59674894126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2821058.682502347</v>
      </c>
      <c r="H116" s="1177"/>
      <c r="I116" s="950">
        <f t="shared" si="3"/>
        <v>27931.274084181652</v>
      </c>
      <c r="J116" s="1178"/>
      <c r="K116" s="1179" t="s">
        <v>823</v>
      </c>
      <c r="L116" s="1073"/>
      <c r="M116" s="1180">
        <f>0.5*Data!C20*Data!C17/12*Data!C19</f>
        <v>2821058.682502347</v>
      </c>
      <c r="N116" s="1181">
        <v>2821058.682502347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2821058.682502347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400150.16773082933</v>
      </c>
      <c r="H117" s="1094"/>
      <c r="I117" s="950">
        <f t="shared" si="3"/>
        <v>3961.8828488200925</v>
      </c>
      <c r="J117" s="1015"/>
      <c r="K117" s="1184" t="s">
        <v>825</v>
      </c>
      <c r="L117" s="1185"/>
      <c r="M117" s="1186">
        <f>0.01*Data!C20</f>
        <v>400150.16773082933</v>
      </c>
      <c r="N117" s="1172">
        <v>400150.16773082933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400150.16773082933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533066.853825</v>
      </c>
      <c r="H121" s="1117"/>
      <c r="I121" s="950">
        <f t="shared" si="3"/>
        <v>5277.8896418316835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533066.853825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533066.853825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70022.525159624405</v>
      </c>
      <c r="H125" s="1111"/>
      <c r="I125" s="950">
        <f t="shared" si="3"/>
        <v>693.29232831311288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70022.525159624405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60022.525159624405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60022.525159624405</v>
      </c>
      <c r="N126" s="1172">
        <v>60022.525159624405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4036549.4259678009</v>
      </c>
      <c r="H148" s="1128"/>
      <c r="I148" s="950">
        <f t="shared" si="6"/>
        <v>39965.835900671293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4036549.4259678009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420694.64679681219</v>
      </c>
      <c r="H151" s="1093"/>
      <c r="I151" s="950">
        <f t="shared" ref="I151:I158" si="7">G151/$F$9</f>
        <v>4165.2935326417046</v>
      </c>
      <c r="J151" s="1094"/>
      <c r="K151" s="1244" t="s">
        <v>863</v>
      </c>
      <c r="L151" s="1245"/>
      <c r="M151" s="1558">
        <f>Data!C31*Data!C30</f>
        <v>420694.64679681219</v>
      </c>
      <c r="N151" s="1345">
        <v>420694.64679681219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3601351.5095774638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3071982.5</v>
      </c>
      <c r="H178" s="1093"/>
      <c r="I178" s="950">
        <f t="shared" si="6"/>
        <v>30415.668316831685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3071982.5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3071982.5</v>
      </c>
      <c r="H181" s="1128"/>
      <c r="I181" s="950">
        <f t="shared" si="6"/>
        <v>30415.668316831685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3071982.5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502952.71363583714</v>
      </c>
      <c r="H233" s="1111"/>
      <c r="I233" s="950">
        <f t="shared" si="8"/>
        <v>4979.7298379785852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502952.71363583714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941702.71363583719</v>
      </c>
      <c r="H234" s="1282"/>
      <c r="I234" s="950">
        <f t="shared" si="8"/>
        <v>9323.7892439191801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941702.71363583719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61750582.903019242</v>
      </c>
      <c r="H250" s="1298"/>
      <c r="I250" s="1299">
        <f>G250/F9</f>
        <v>611391.90993088356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626.09586428822695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40015016.773082934</v>
      </c>
      <c r="D20" s="1375">
        <f>MIN(D22,GapCalc!D24)</f>
        <v>40137878.886962511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40137878.886962511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-2920482.499999986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2920482.5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49690548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42069464.679681219</v>
      </c>
      <c r="D30" s="1376">
        <f>-PV($C$24/12,$C$29*12,C27/12)</f>
        <v>42069464.679681219</v>
      </c>
      <c r="E30" s="1384"/>
      <c r="F30" t="s">
        <v>438</v>
      </c>
      <c r="G30" s="1381"/>
      <c r="H30" s="1376">
        <f>PV(G23,G29,-'Cash Flow'!E41*H28,)</f>
        <v>4708219.8994683614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2920482.5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49400466.322415397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48032484.255424358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3504579</v>
      </c>
      <c r="F21" s="95">
        <f t="shared" si="8"/>
        <v>3586890.9749999996</v>
      </c>
      <c r="G21" s="95">
        <f t="shared" si="8"/>
        <v>3671048.6493749996</v>
      </c>
      <c r="H21" s="95">
        <f t="shared" si="8"/>
        <v>3757090.7421093741</v>
      </c>
      <c r="I21" s="95">
        <f t="shared" si="8"/>
        <v>3845056.6803396079</v>
      </c>
      <c r="J21" s="95">
        <f t="shared" si="8"/>
        <v>3934986.6079643103</v>
      </c>
      <c r="K21" s="95">
        <f t="shared" si="8"/>
        <v>4026921.3941511987</v>
      </c>
      <c r="L21" s="95">
        <f t="shared" si="8"/>
        <v>4120902.6417273297</v>
      </c>
      <c r="M21" s="95">
        <f t="shared" si="8"/>
        <v>4216972.6954381475</v>
      </c>
      <c r="N21" s="95">
        <f t="shared" si="8"/>
        <v>4315174.6500601014</v>
      </c>
      <c r="O21" s="95">
        <f t="shared" si="8"/>
        <v>4415552.3583508655</v>
      </c>
      <c r="P21" s="95">
        <f t="shared" si="8"/>
        <v>4518150.4388202727</v>
      </c>
      <c r="Q21" s="95">
        <f t="shared" si="8"/>
        <v>4623014.2833042881</v>
      </c>
      <c r="R21" s="95">
        <f t="shared" si="8"/>
        <v>4730190.064323375</v>
      </c>
      <c r="S21" s="96">
        <f t="shared" si="8"/>
        <v>4839724.7422057185</v>
      </c>
      <c r="T21" s="95">
        <f t="shared" si="8"/>
        <v>4951666.0719547179</v>
      </c>
      <c r="U21" s="95">
        <f t="shared" si="8"/>
        <v>5066062.6098392261</v>
      </c>
      <c r="V21" s="95">
        <f t="shared" si="8"/>
        <v>5182963.7196838455</v>
      </c>
      <c r="W21" s="95">
        <f t="shared" si="8"/>
        <v>5302419.5788355339</v>
      </c>
      <c r="X21" s="95">
        <f t="shared" si="8"/>
        <v>5424481.1837815996</v>
      </c>
      <c r="Y21" s="95">
        <f t="shared" si="8"/>
        <v>5549200.3553929478</v>
      </c>
      <c r="Z21" s="95">
        <f t="shared" si="8"/>
        <v>5676629.7437651679</v>
      </c>
      <c r="AA21" s="95">
        <f t="shared" si="8"/>
        <v>5806822.8326287521</v>
      </c>
      <c r="AB21" s="95">
        <f t="shared" si="8"/>
        <v>5939833.9432983585</v>
      </c>
      <c r="AC21" s="95">
        <f t="shared" si="8"/>
        <v>6075718.2381295897</v>
      </c>
      <c r="AD21" s="95">
        <f t="shared" si="8"/>
        <v>6214531.7234503087</v>
      </c>
      <c r="AE21" s="95">
        <f t="shared" si="8"/>
        <v>6356331.2519319067</v>
      </c>
      <c r="AF21" s="95">
        <f t="shared" si="8"/>
        <v>6501174.5243643839</v>
      </c>
      <c r="AG21" s="95">
        <f t="shared" si="8"/>
        <v>6649120.0907973694</v>
      </c>
      <c r="AH21" s="95">
        <f t="shared" si="8"/>
        <v>6800227.3510075137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-2920482.5</v>
      </c>
      <c r="F22" s="95">
        <f t="shared" ref="F22:AH22" si="9">$E$22</f>
        <v>-2920482.5</v>
      </c>
      <c r="G22" s="95">
        <f t="shared" si="9"/>
        <v>-2920482.5</v>
      </c>
      <c r="H22" s="95">
        <f t="shared" si="9"/>
        <v>-2920482.5</v>
      </c>
      <c r="I22" s="95">
        <f t="shared" si="9"/>
        <v>-2920482.5</v>
      </c>
      <c r="J22" s="95">
        <f t="shared" si="9"/>
        <v>-2920482.5</v>
      </c>
      <c r="K22" s="95">
        <f t="shared" si="9"/>
        <v>-2920482.5</v>
      </c>
      <c r="L22" s="95">
        <f t="shared" si="9"/>
        <v>-2920482.5</v>
      </c>
      <c r="M22" s="95">
        <f t="shared" si="9"/>
        <v>-2920482.5</v>
      </c>
      <c r="N22" s="95">
        <f t="shared" si="9"/>
        <v>-2920482.5</v>
      </c>
      <c r="O22" s="95">
        <f t="shared" si="9"/>
        <v>-2920482.5</v>
      </c>
      <c r="P22" s="95">
        <f t="shared" si="9"/>
        <v>-2920482.5</v>
      </c>
      <c r="Q22" s="95">
        <f t="shared" si="9"/>
        <v>-2920482.5</v>
      </c>
      <c r="R22" s="95">
        <f t="shared" si="9"/>
        <v>-2920482.5</v>
      </c>
      <c r="S22" s="96">
        <f t="shared" si="9"/>
        <v>-2920482.5</v>
      </c>
      <c r="T22" s="95">
        <f t="shared" si="9"/>
        <v>-2920482.5</v>
      </c>
      <c r="U22" s="95">
        <f t="shared" si="9"/>
        <v>-2920482.5</v>
      </c>
      <c r="V22" s="95">
        <f t="shared" si="9"/>
        <v>-2920482.5</v>
      </c>
      <c r="W22" s="95">
        <f t="shared" si="9"/>
        <v>-2920482.5</v>
      </c>
      <c r="X22" s="95">
        <f t="shared" si="9"/>
        <v>-2920482.5</v>
      </c>
      <c r="Y22" s="95">
        <f t="shared" si="9"/>
        <v>-2920482.5</v>
      </c>
      <c r="Z22" s="95">
        <f t="shared" si="9"/>
        <v>-2920482.5</v>
      </c>
      <c r="AA22" s="95">
        <f t="shared" si="9"/>
        <v>-2920482.5</v>
      </c>
      <c r="AB22" s="95">
        <f t="shared" si="9"/>
        <v>-2920482.5</v>
      </c>
      <c r="AC22" s="95">
        <f t="shared" si="9"/>
        <v>-2920482.5</v>
      </c>
      <c r="AD22" s="95">
        <f t="shared" si="9"/>
        <v>-2920482.5</v>
      </c>
      <c r="AE22" s="95">
        <f t="shared" si="9"/>
        <v>-2920482.5</v>
      </c>
      <c r="AF22" s="95">
        <f t="shared" si="9"/>
        <v>-2920482.5</v>
      </c>
      <c r="AG22" s="95">
        <f t="shared" si="9"/>
        <v>-2920482.5</v>
      </c>
      <c r="AH22" s="95">
        <f t="shared" si="9"/>
        <v>-2920482.5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584096.5</v>
      </c>
      <c r="F25" s="119">
        <f t="shared" ref="F25:AH25" si="11">+F21+F22+F23</f>
        <v>666408.47499999963</v>
      </c>
      <c r="G25" s="119">
        <f t="shared" si="11"/>
        <v>750566.14937499957</v>
      </c>
      <c r="H25" s="119">
        <f t="shared" si="11"/>
        <v>836608.24210937414</v>
      </c>
      <c r="I25" s="119">
        <f t="shared" si="11"/>
        <v>924574.18033960788</v>
      </c>
      <c r="J25" s="119">
        <f t="shared" si="11"/>
        <v>1014504.1079643103</v>
      </c>
      <c r="K25" s="119">
        <f t="shared" si="11"/>
        <v>1106438.8941511987</v>
      </c>
      <c r="L25" s="119">
        <f t="shared" si="11"/>
        <v>1200420.1417273297</v>
      </c>
      <c r="M25" s="119">
        <f t="shared" si="11"/>
        <v>1296490.1954381475</v>
      </c>
      <c r="N25" s="119">
        <f t="shared" si="11"/>
        <v>1394692.1500601014</v>
      </c>
      <c r="O25" s="119">
        <f t="shared" si="11"/>
        <v>1495069.8583508655</v>
      </c>
      <c r="P25" s="119">
        <f t="shared" si="11"/>
        <v>1597667.9388202727</v>
      </c>
      <c r="Q25" s="119">
        <f t="shared" si="11"/>
        <v>1702531.7833042881</v>
      </c>
      <c r="R25" s="119">
        <f t="shared" si="11"/>
        <v>1809707.564323375</v>
      </c>
      <c r="S25" s="160">
        <f t="shared" si="11"/>
        <v>1919242.2422057185</v>
      </c>
      <c r="T25" s="119">
        <f t="shared" si="11"/>
        <v>2031183.5719547179</v>
      </c>
      <c r="U25" s="119">
        <f t="shared" si="11"/>
        <v>2145580.1098392261</v>
      </c>
      <c r="V25" s="119">
        <f t="shared" si="11"/>
        <v>2262481.2196838455</v>
      </c>
      <c r="W25" s="119">
        <f t="shared" si="11"/>
        <v>2381937.0788355339</v>
      </c>
      <c r="X25" s="119">
        <f t="shared" si="11"/>
        <v>2503998.6837815996</v>
      </c>
      <c r="Y25" s="119">
        <f t="shared" si="11"/>
        <v>2628717.8553929478</v>
      </c>
      <c r="Z25" s="119">
        <f t="shared" si="11"/>
        <v>2756147.2437651679</v>
      </c>
      <c r="AA25" s="119">
        <f t="shared" si="11"/>
        <v>2886340.3326287521</v>
      </c>
      <c r="AB25" s="119">
        <f t="shared" si="11"/>
        <v>3019351.4432983585</v>
      </c>
      <c r="AC25" s="119">
        <f t="shared" si="11"/>
        <v>3155235.7381295897</v>
      </c>
      <c r="AD25" s="119">
        <f t="shared" si="11"/>
        <v>3294049.2234503087</v>
      </c>
      <c r="AE25" s="119">
        <f t="shared" si="11"/>
        <v>3435848.7519319067</v>
      </c>
      <c r="AF25" s="119">
        <f t="shared" si="11"/>
        <v>3580692.0243643839</v>
      </c>
      <c r="AG25" s="119">
        <f t="shared" si="11"/>
        <v>3728637.5907973694</v>
      </c>
      <c r="AH25" s="119">
        <f t="shared" si="11"/>
        <v>3879744.8510075137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1.2281843753557844</v>
      </c>
      <c r="G27" s="122">
        <f t="shared" si="12"/>
        <v>1.257000735109695</v>
      </c>
      <c r="H27" s="122">
        <f t="shared" si="12"/>
        <v>1.2864623369971826</v>
      </c>
      <c r="I27" s="122">
        <f t="shared" si="12"/>
        <v>1.3165826812314774</v>
      </c>
      <c r="J27" s="122">
        <f t="shared" si="12"/>
        <v>1.3473755134517362</v>
      </c>
      <c r="K27" s="122">
        <f t="shared" si="12"/>
        <v>1.3788548276359125</v>
      </c>
      <c r="L27" s="122">
        <f t="shared" si="12"/>
        <v>1.4110348689736472</v>
      </c>
      <c r="M27" s="122">
        <f t="shared" si="12"/>
        <v>1.4439301366942441</v>
      </c>
      <c r="N27" s="122">
        <f t="shared" si="12"/>
        <v>1.477555386844503</v>
      </c>
      <c r="O27" s="122">
        <f t="shared" si="12"/>
        <v>1.5119256350109496</v>
      </c>
      <c r="P27" s="122">
        <f t="shared" si="12"/>
        <v>1.5470561589806728</v>
      </c>
      <c r="Q27" s="122">
        <f t="shared" si="12"/>
        <v>1.5829625013347239</v>
      </c>
      <c r="R27" s="122">
        <f t="shared" si="12"/>
        <v>1.6196604719676886</v>
      </c>
      <c r="S27" s="161">
        <f t="shared" si="12"/>
        <v>1.657166150526743</v>
      </c>
      <c r="T27" s="122">
        <f t="shared" si="12"/>
        <v>1.6954958887631471</v>
      </c>
      <c r="U27" s="122">
        <f t="shared" si="12"/>
        <v>1.7346663127888033</v>
      </c>
      <c r="V27" s="122">
        <f t="shared" si="12"/>
        <v>1.7746943252301102</v>
      </c>
      <c r="W27" s="122">
        <f t="shared" si="12"/>
        <v>1.8155971072709849</v>
      </c>
      <c r="X27" s="122">
        <f t="shared" si="12"/>
        <v>1.8573921205765143</v>
      </c>
      <c r="Y27" s="122">
        <f t="shared" si="12"/>
        <v>1.9000971090882921</v>
      </c>
      <c r="Z27" s="122">
        <f t="shared" si="12"/>
        <v>1.9437301006820509</v>
      </c>
      <c r="AA27" s="122">
        <f t="shared" si="12"/>
        <v>1.988309408677762</v>
      </c>
      <c r="AB27" s="122">
        <f t="shared" si="12"/>
        <v>2.0338536331918986</v>
      </c>
      <c r="AC27" s="122">
        <f t="shared" si="12"/>
        <v>2.0803816623210682</v>
      </c>
      <c r="AD27" s="122">
        <f t="shared" si="12"/>
        <v>2.1279126731457247</v>
      </c>
      <c r="AE27" s="122">
        <f t="shared" si="12"/>
        <v>2.176466132542108</v>
      </c>
      <c r="AF27" s="122">
        <f t="shared" si="12"/>
        <v>2.2260617977900514</v>
      </c>
      <c r="AG27" s="122">
        <f t="shared" si="12"/>
        <v>2.2767197169636764</v>
      </c>
      <c r="AH27" s="122">
        <f t="shared" si="12"/>
        <v>2.3284602290914305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584096.5</v>
      </c>
      <c r="F41" s="129">
        <f t="shared" ref="F41:S41" si="20">F25+F37</f>
        <v>666408.47499999963</v>
      </c>
      <c r="G41" s="129">
        <f t="shared" si="20"/>
        <v>750566.14937499957</v>
      </c>
      <c r="H41" s="129">
        <f t="shared" si="20"/>
        <v>836608.24210937414</v>
      </c>
      <c r="I41" s="129">
        <f t="shared" si="20"/>
        <v>924574.18033960788</v>
      </c>
      <c r="J41" s="129">
        <f t="shared" si="20"/>
        <v>1014504.1079643103</v>
      </c>
      <c r="K41" s="129">
        <f t="shared" si="20"/>
        <v>1106438.8941511987</v>
      </c>
      <c r="L41" s="129">
        <f t="shared" si="20"/>
        <v>1200420.1417273297</v>
      </c>
      <c r="M41" s="129">
        <f t="shared" si="20"/>
        <v>1296490.1954381475</v>
      </c>
      <c r="N41" s="129">
        <f t="shared" si="20"/>
        <v>1394692.1500601014</v>
      </c>
      <c r="O41" s="129">
        <f t="shared" si="20"/>
        <v>1495069.8583508655</v>
      </c>
      <c r="P41" s="129">
        <f t="shared" si="20"/>
        <v>1597667.9388202727</v>
      </c>
      <c r="Q41" s="129">
        <f t="shared" si="20"/>
        <v>1702531.7833042881</v>
      </c>
      <c r="R41" s="129">
        <f t="shared" si="20"/>
        <v>1809707.564323375</v>
      </c>
      <c r="S41" s="130">
        <f t="shared" si="20"/>
        <v>1919242.2422057185</v>
      </c>
      <c r="T41" s="130">
        <f t="shared" ref="T41:AH41" si="21">T25+T37</f>
        <v>2031183.5719547179</v>
      </c>
      <c r="U41" s="130">
        <f t="shared" si="21"/>
        <v>2145580.1098392261</v>
      </c>
      <c r="V41" s="130">
        <f t="shared" si="21"/>
        <v>2262481.2196838455</v>
      </c>
      <c r="W41" s="130">
        <f t="shared" si="21"/>
        <v>2381937.0788355339</v>
      </c>
      <c r="X41" s="130">
        <f t="shared" si="21"/>
        <v>2503998.6837815996</v>
      </c>
      <c r="Y41" s="130">
        <f t="shared" si="21"/>
        <v>2628717.8553929478</v>
      </c>
      <c r="Z41" s="130">
        <f t="shared" si="21"/>
        <v>2756147.2437651679</v>
      </c>
      <c r="AA41" s="130">
        <f t="shared" si="21"/>
        <v>2886340.3326287521</v>
      </c>
      <c r="AB41" s="130">
        <f t="shared" si="21"/>
        <v>3019351.4432983585</v>
      </c>
      <c r="AC41" s="130">
        <f t="shared" si="21"/>
        <v>3155235.7381295897</v>
      </c>
      <c r="AD41" s="130">
        <f t="shared" si="21"/>
        <v>3294049.2234503087</v>
      </c>
      <c r="AE41" s="130">
        <f t="shared" si="21"/>
        <v>3435848.7519319067</v>
      </c>
      <c r="AF41" s="130">
        <f t="shared" si="21"/>
        <v>3580692.0243643839</v>
      </c>
      <c r="AG41" s="130">
        <f t="shared" si="21"/>
        <v>3728637.5907973694</v>
      </c>
      <c r="AH41" s="130">
        <f t="shared" si="21"/>
        <v>3879744.8510075137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496482.02500000002</v>
      </c>
      <c r="F42" s="129">
        <f t="shared" ref="F42:S42" si="22">((F41*$C$42))</f>
        <v>566447.20374999975</v>
      </c>
      <c r="G42" s="129">
        <f t="shared" si="22"/>
        <v>637981.22696874966</v>
      </c>
      <c r="H42" s="129">
        <f t="shared" si="22"/>
        <v>711117.00579296809</v>
      </c>
      <c r="I42" s="129">
        <f t="shared" si="22"/>
        <v>785888.05328866676</v>
      </c>
      <c r="J42" s="129">
        <f t="shared" si="22"/>
        <v>862328.49176966387</v>
      </c>
      <c r="K42" s="129">
        <f t="shared" si="22"/>
        <v>940473.06002851902</v>
      </c>
      <c r="L42" s="129">
        <f t="shared" si="22"/>
        <v>1020357.1204682303</v>
      </c>
      <c r="M42" s="129">
        <f t="shared" si="22"/>
        <v>1102016.6661224256</v>
      </c>
      <c r="N42" s="129">
        <f t="shared" si="22"/>
        <v>1185488.3275510864</v>
      </c>
      <c r="O42" s="129">
        <f t="shared" si="22"/>
        <v>1270809.3795982359</v>
      </c>
      <c r="P42" s="129">
        <f t="shared" si="22"/>
        <v>1358017.747997232</v>
      </c>
      <c r="Q42" s="129">
        <f t="shared" si="22"/>
        <v>1447152.0158086449</v>
      </c>
      <c r="R42" s="129">
        <f t="shared" si="22"/>
        <v>1538251.4296748689</v>
      </c>
      <c r="S42" s="129">
        <f t="shared" si="22"/>
        <v>1631355.9058748609</v>
      </c>
      <c r="T42" s="129">
        <f t="shared" ref="T42:AH42" si="23">((T41*$C$42))</f>
        <v>1726506.0361615103</v>
      </c>
      <c r="U42" s="129">
        <f t="shared" si="23"/>
        <v>1823743.0933633423</v>
      </c>
      <c r="V42" s="129">
        <f t="shared" si="23"/>
        <v>1923109.036731269</v>
      </c>
      <c r="W42" s="129">
        <f t="shared" si="23"/>
        <v>2024646.517010204</v>
      </c>
      <c r="X42" s="129">
        <f t="shared" si="23"/>
        <v>2128398.8812143598</v>
      </c>
      <c r="Y42" s="129">
        <f t="shared" si="23"/>
        <v>2234410.1770840059</v>
      </c>
      <c r="Z42" s="129">
        <f t="shared" si="23"/>
        <v>2342725.1572003928</v>
      </c>
      <c r="AA42" s="129">
        <f t="shared" si="23"/>
        <v>2453389.2827344397</v>
      </c>
      <c r="AB42" s="129">
        <f t="shared" si="23"/>
        <v>2566448.726803605</v>
      </c>
      <c r="AC42" s="129">
        <f t="shared" si="23"/>
        <v>2681950.3774101515</v>
      </c>
      <c r="AD42" s="129">
        <f t="shared" si="23"/>
        <v>2799941.8399327626</v>
      </c>
      <c r="AE42" s="129">
        <f t="shared" si="23"/>
        <v>2920471.439142121</v>
      </c>
      <c r="AF42" s="129">
        <f t="shared" si="23"/>
        <v>3043588.2207097267</v>
      </c>
      <c r="AG42" s="129">
        <f t="shared" si="23"/>
        <v>3169341.9521777644</v>
      </c>
      <c r="AH42" s="129">
        <f t="shared" si="23"/>
        <v>3297783.123356387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87614.475000000006</v>
      </c>
      <c r="F43" s="108">
        <f t="shared" ref="F43:S43" si="24">$C$43*(F41)</f>
        <v>99961.271249999962</v>
      </c>
      <c r="G43" s="108">
        <f t="shared" si="24"/>
        <v>112584.92240624996</v>
      </c>
      <c r="H43" s="108">
        <f t="shared" si="24"/>
        <v>125491.23631640614</v>
      </c>
      <c r="I43" s="108">
        <f t="shared" si="24"/>
        <v>138686.1270509412</v>
      </c>
      <c r="J43" s="108">
        <f t="shared" si="24"/>
        <v>152175.61619464657</v>
      </c>
      <c r="K43" s="108">
        <f t="shared" si="24"/>
        <v>165965.83412267984</v>
      </c>
      <c r="L43" s="108">
        <f t="shared" si="24"/>
        <v>180063.02125909948</v>
      </c>
      <c r="M43" s="108">
        <f t="shared" si="24"/>
        <v>194473.52931572215</v>
      </c>
      <c r="N43" s="108">
        <f t="shared" si="24"/>
        <v>209203.82250901524</v>
      </c>
      <c r="O43" s="108">
        <f t="shared" si="24"/>
        <v>224260.47875262986</v>
      </c>
      <c r="P43" s="108">
        <f t="shared" si="24"/>
        <v>239650.19082304093</v>
      </c>
      <c r="Q43" s="108">
        <f t="shared" si="24"/>
        <v>255379.76749564323</v>
      </c>
      <c r="R43" s="108">
        <f t="shared" si="24"/>
        <v>271456.1346485063</v>
      </c>
      <c r="S43" s="108">
        <f t="shared" si="24"/>
        <v>287886.33633085783</v>
      </c>
      <c r="T43" s="108">
        <f t="shared" ref="T43:AH43" si="25">$C$43*(T41)</f>
        <v>304677.5357932077</v>
      </c>
      <c r="U43" s="108">
        <f t="shared" si="25"/>
        <v>321837.01647588395</v>
      </c>
      <c r="V43" s="108">
        <f t="shared" si="25"/>
        <v>339372.1829525769</v>
      </c>
      <c r="W43" s="108">
        <f t="shared" si="25"/>
        <v>357290.56182533014</v>
      </c>
      <c r="X43" s="108">
        <f t="shared" si="25"/>
        <v>375599.80256724003</v>
      </c>
      <c r="Y43" s="108">
        <f t="shared" si="25"/>
        <v>394307.67830894224</v>
      </c>
      <c r="Z43" s="108">
        <f t="shared" si="25"/>
        <v>413422.08656477527</v>
      </c>
      <c r="AA43" s="108">
        <f t="shared" si="25"/>
        <v>432951.04989431286</v>
      </c>
      <c r="AB43" s="108">
        <f t="shared" si="25"/>
        <v>452902.71649475384</v>
      </c>
      <c r="AC43" s="108">
        <f t="shared" si="25"/>
        <v>473285.36071943853</v>
      </c>
      <c r="AD43" s="108">
        <f t="shared" si="25"/>
        <v>494107.38351754635</v>
      </c>
      <c r="AE43" s="108">
        <f t="shared" si="25"/>
        <v>515377.31278978608</v>
      </c>
      <c r="AF43" s="108">
        <f t="shared" si="25"/>
        <v>537103.80365465768</v>
      </c>
      <c r="AG43" s="108">
        <f t="shared" si="25"/>
        <v>559295.63861960545</v>
      </c>
      <c r="AH43" s="108">
        <f t="shared" si="25"/>
        <v>581961.72765112715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3.1615111786517339E-2</v>
      </c>
      <c r="F47" s="142">
        <f>F41/GapCalc!$H$33</f>
        <v>3.6070372674048778E-2</v>
      </c>
      <c r="G47" s="142">
        <f>G41/GapCalc!$H$33</f>
        <v>4.0625534848550679E-2</v>
      </c>
      <c r="H47" s="142">
        <f>H41/GapCalc!$H$33</f>
        <v>4.5282694033964642E-2</v>
      </c>
      <c r="I47" s="142">
        <f>I41/GapCalc!$H$33</f>
        <v>5.0043984284042699E-2</v>
      </c>
      <c r="J47" s="142">
        <f>J41/GapCalc!$H$33</f>
        <v>5.4911578448377497E-2</v>
      </c>
      <c r="K47" s="142">
        <f>K41/GapCalc!$H$33</f>
        <v>5.9887688632855651E-2</v>
      </c>
      <c r="L47" s="142">
        <f>L41/GapCalc!$H$33</f>
        <v>6.4974566653791824E-2</v>
      </c>
      <c r="M47" s="142">
        <f>M41/GapCalc!$H$33</f>
        <v>7.0174504484962236E-2</v>
      </c>
      <c r="N47" s="142">
        <f>N41/GapCalc!$H$33</f>
        <v>7.5489834696712485E-2</v>
      </c>
      <c r="O47" s="142">
        <f>O41/GapCalc!$H$33</f>
        <v>8.0922930886275224E-2</v>
      </c>
      <c r="P47" s="142">
        <f>P41/GapCalc!$H$33</f>
        <v>8.6476208098383855E-2</v>
      </c>
      <c r="Q47" s="142">
        <f>Q41/GapCalc!$H$33</f>
        <v>9.2152123235225314E-2</v>
      </c>
      <c r="R47" s="142">
        <f>R41/GapCalc!$H$33</f>
        <v>9.7953175454722846E-2</v>
      </c>
      <c r="S47" s="142">
        <f>S41/GapCalc!$H$33</f>
        <v>0.10388190655609129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2.6872845018539735E-2</v>
      </c>
      <c r="F48" s="142">
        <f>F43/GapCalc!$H$32</f>
        <v>3.0659816772941464E-2</v>
      </c>
      <c r="G48" s="142">
        <f>G43/GapCalc!$H$32</f>
        <v>3.4531704621268082E-2</v>
      </c>
      <c r="H48" s="142">
        <f>H43/GapCalc!$H$32</f>
        <v>3.8490289928869943E-2</v>
      </c>
      <c r="I48" s="142">
        <f>I43/GapCalc!$H$32</f>
        <v>4.2537386641436289E-2</v>
      </c>
      <c r="J48" s="142">
        <f>J43/GapCalc!$H$32</f>
        <v>4.6674841681120877E-2</v>
      </c>
      <c r="K48" s="142">
        <f>K43/GapCalc!$H$32</f>
        <v>5.0904535337927312E-2</v>
      </c>
      <c r="L48" s="142">
        <f>L43/GapCalc!$H$32</f>
        <v>5.5228381655723052E-2</v>
      </c>
      <c r="M48" s="142">
        <f>M43/GapCalc!$H$32</f>
        <v>5.9648328812217898E-2</v>
      </c>
      <c r="N48" s="142">
        <f>N43/GapCalc!$H$32</f>
        <v>6.4166359492205616E-2</v>
      </c>
      <c r="O48" s="142">
        <f>O43/GapCalc!$H$32</f>
        <v>6.878449125333394E-2</v>
      </c>
      <c r="P48" s="142">
        <f>P43/GapCalc!$H$32</f>
        <v>7.3504776883626277E-2</v>
      </c>
      <c r="Q48" s="142">
        <f>Q43/GapCalc!$H$32</f>
        <v>7.8329304749941514E-2</v>
      </c>
      <c r="R48" s="142">
        <f>R43/GapCalc!$H$32</f>
        <v>8.3260199136514418E-2</v>
      </c>
      <c r="S48" s="142">
        <f>S43/GapCalc!$H$32</f>
        <v>8.8299620572677595E-2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16620127.15587448</v>
      </c>
      <c r="D66" s="1544"/>
      <c r="E66" s="1564" t="s">
        <v>285</v>
      </c>
      <c r="G66" s="1520" t="s">
        <v>1073</v>
      </c>
      <c r="H66" s="1565">
        <f>H70/1.63</f>
        <v>2932963.6157425558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5000717.0665985681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882479.48234092374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1746280.7206085422</v>
      </c>
      <c r="D68" s="1545" t="s">
        <v>68</v>
      </c>
      <c r="G68" s="1521" t="s">
        <v>1079</v>
      </c>
      <c r="H68" s="1568">
        <f>IF(GapCalc!D41*C43&lt; 0,0,GapCalc!D41*C43)</f>
        <v>308167.18598974275</v>
      </c>
      <c r="I68" s="1545" t="s">
        <v>68</v>
      </c>
    </row>
    <row r="69" spans="2:10">
      <c r="B69" s="1521" t="s">
        <v>1059</v>
      </c>
      <c r="C69" s="1568">
        <f>'Debt Calc'!E60</f>
        <v>20343809.47686829</v>
      </c>
      <c r="D69" s="1546">
        <v>0.9</v>
      </c>
      <c r="G69" s="1521" t="s">
        <v>1075</v>
      </c>
      <c r="H69" s="1568">
        <f>'Debt Calc'!E59*C43</f>
        <v>3590084.0253296983</v>
      </c>
      <c r="I69" s="1546">
        <v>0.9</v>
      </c>
    </row>
    <row r="70" spans="2:10">
      <c r="B70" s="1523" t="s">
        <v>1042</v>
      </c>
      <c r="C70" s="1577">
        <f>C67+C68+C69</f>
        <v>27090807.264075398</v>
      </c>
      <c r="D70" s="1545" t="s">
        <v>68</v>
      </c>
      <c r="G70" s="1523" t="s">
        <v>1042</v>
      </c>
      <c r="H70" s="1577">
        <f>H67+H68+H69</f>
        <v>4780730.6936603654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0.62999999999999978</v>
      </c>
      <c r="D72" s="1548"/>
      <c r="G72" s="1521" t="s">
        <v>1044</v>
      </c>
      <c r="H72" s="1524">
        <f>(H70-H66)/H66</f>
        <v>0.62999999999999978</v>
      </c>
      <c r="I72" s="1548"/>
    </row>
    <row r="73" spans="2:10">
      <c r="B73" s="1523" t="s">
        <v>1045</v>
      </c>
      <c r="C73" s="1566">
        <f>C72/7</f>
        <v>8.9999999999999969E-2</v>
      </c>
      <c r="D73" s="1548"/>
      <c r="G73" s="1523" t="s">
        <v>1045</v>
      </c>
      <c r="H73" s="1566">
        <f>H72/7</f>
        <v>8.9999999999999969E-2</v>
      </c>
      <c r="I73" s="1548"/>
    </row>
    <row r="74" spans="2:10" ht="13.5" thickBot="1">
      <c r="B74" s="1578" t="s">
        <v>1080</v>
      </c>
      <c r="C74" s="1581">
        <f>GapCalc!H33</f>
        <v>18475231.210445862</v>
      </c>
      <c r="D74" s="1549"/>
      <c r="F74" s="1559"/>
      <c r="G74" s="1578" t="s">
        <v>1082</v>
      </c>
      <c r="H74" s="1581">
        <f>GapCalc!H32</f>
        <v>3260334.9194904468</v>
      </c>
      <c r="I74" s="1549"/>
    </row>
    <row r="75" spans="2:10">
      <c r="B75" s="70" t="s">
        <v>1081</v>
      </c>
      <c r="C75" s="1579">
        <f>(C70-C74)/C74</f>
        <v>0.46633116281426046</v>
      </c>
      <c r="G75" s="70" t="s">
        <v>1081</v>
      </c>
      <c r="H75" s="1579">
        <f>(H70-H74)/H74</f>
        <v>0.46633116281426057</v>
      </c>
    </row>
    <row r="76" spans="2:10">
      <c r="B76" s="70" t="s">
        <v>1045</v>
      </c>
      <c r="C76" s="1579">
        <f>C75/7</f>
        <v>6.6618737544894349E-2</v>
      </c>
      <c r="G76" s="70" t="s">
        <v>1045</v>
      </c>
      <c r="H76" s="1579">
        <f>H75/7</f>
        <v>6.6618737544894363E-2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5586033.2785271397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8308579.1807403099</v>
      </c>
      <c r="D81" s="1545" t="s">
        <v>68</v>
      </c>
    </row>
    <row r="82" spans="2:10">
      <c r="B82" s="1521" t="s">
        <v>1059</v>
      </c>
      <c r="C82" s="1568">
        <f>C68</f>
        <v>1746280.7206085422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10054859.901348852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23947759.06474819</v>
      </c>
      <c r="D93" s="1544"/>
      <c r="E93" s="1564" t="s">
        <v>288</v>
      </c>
      <c r="G93" s="1520" t="s">
        <v>1073</v>
      </c>
      <c r="H93" s="1565">
        <f>H97/1.63</f>
        <v>3291086.5440148478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8308579.1807403099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1466219.8554247606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1746280.7206085422</v>
      </c>
      <c r="D95" s="1545" t="s">
        <v>68</v>
      </c>
      <c r="G95" s="1521" t="s">
        <v>1079</v>
      </c>
      <c r="H95" s="1568">
        <f>IF(GapCalc!D41*C43&lt; 0,0,GapCalc!D41*C43)</f>
        <v>308167.18598974275</v>
      </c>
      <c r="I95" s="1545" t="s">
        <v>68</v>
      </c>
    </row>
    <row r="96" spans="2:10">
      <c r="B96" s="1521" t="s">
        <v>1059</v>
      </c>
      <c r="C96" s="1568">
        <f>'Debt Calc'!H60</f>
        <v>28979987.374190696</v>
      </c>
      <c r="D96" s="1546">
        <v>0.9</v>
      </c>
      <c r="G96" s="1521" t="s">
        <v>1075</v>
      </c>
      <c r="H96" s="1568">
        <f>'Debt Calc'!E59*C43</f>
        <v>3590084.0253296983</v>
      </c>
      <c r="I96" s="1546">
        <v>0.9</v>
      </c>
    </row>
    <row r="97" spans="2:9">
      <c r="B97" s="1523" t="s">
        <v>1042</v>
      </c>
      <c r="C97" s="1577">
        <f>C94+C95+C96</f>
        <v>39034847.275539547</v>
      </c>
      <c r="D97" s="1545" t="s">
        <v>68</v>
      </c>
      <c r="G97" s="1523" t="s">
        <v>1042</v>
      </c>
      <c r="H97" s="1577">
        <f>H94+H95+H96</f>
        <v>5364471.0667442018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18475231.210445862</v>
      </c>
      <c r="D101" s="1549"/>
      <c r="G101" s="1578" t="s">
        <v>1082</v>
      </c>
      <c r="H101" s="1581">
        <f>GapCalc!H32</f>
        <v>3260334.9194904468</v>
      </c>
      <c r="I101" s="1549"/>
    </row>
    <row r="102" spans="2:9">
      <c r="B102" s="70" t="s">
        <v>1081</v>
      </c>
      <c r="C102" s="1579">
        <f>(C97-C101)/C101</f>
        <v>1.1128205017249968</v>
      </c>
      <c r="G102" s="70" t="s">
        <v>1081</v>
      </c>
      <c r="H102" s="1579">
        <f>(H97-H101)/H101</f>
        <v>0.64537423277440698</v>
      </c>
    </row>
    <row r="103" spans="2:9">
      <c r="B103" s="70" t="s">
        <v>1045</v>
      </c>
      <c r="C103" s="1579">
        <f>C102/10</f>
        <v>0.11128205017249967</v>
      </c>
      <c r="G103" s="70" t="s">
        <v>1045</v>
      </c>
      <c r="H103" s="1579">
        <f>H102/10</f>
        <v>6.4537423277440692E-2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50.5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2920482.5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42069464.679681219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42069400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12864619.900946349</v>
      </c>
    </row>
    <row r="15" spans="2:36">
      <c r="B15" s="556"/>
      <c r="C15" s="560" t="s">
        <v>634</v>
      </c>
      <c r="H15" s="561">
        <f>12*PMT(Data!C24/12,Data!C29*12,-'Debt Calc'!H14)</f>
        <v>2920478.0099053644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4707299.6325316392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4707299.6325316392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42069400</v>
      </c>
      <c r="E21" s="561">
        <f>$H$15</f>
        <v>2920478.0099053644</v>
      </c>
      <c r="F21" s="561">
        <f>E21-G21</f>
        <v>-3.7252902984619141E-9</v>
      </c>
      <c r="G21" s="561">
        <f>D21-H21</f>
        <v>2920478.0099053681</v>
      </c>
      <c r="H21" s="561">
        <f>D21-E21</f>
        <v>39148921.990094632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39148921.990094632</v>
      </c>
      <c r="E22" s="561">
        <f t="shared" ref="E22:E50" si="1">$H$15</f>
        <v>2920478.0099053644</v>
      </c>
      <c r="F22" s="561">
        <f t="shared" ref="F22:F50" si="2">E22-G22</f>
        <v>-3.7252902984619141E-9</v>
      </c>
      <c r="G22" s="561">
        <f t="shared" ref="G22:G50" si="3">D22-H22</f>
        <v>2920478.0099053681</v>
      </c>
      <c r="H22" s="561">
        <f t="shared" ref="H22:H39" si="4">D22-E22</f>
        <v>36228443.980189264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36228443.980189264</v>
      </c>
      <c r="E23" s="561">
        <f t="shared" si="1"/>
        <v>2920478.0099053644</v>
      </c>
      <c r="F23" s="561">
        <f t="shared" si="2"/>
        <v>0</v>
      </c>
      <c r="G23" s="561">
        <f t="shared" si="3"/>
        <v>2920478.0099053644</v>
      </c>
      <c r="H23" s="561">
        <f t="shared" si="4"/>
        <v>33307965.970283899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33307965.970283899</v>
      </c>
      <c r="E24" s="561">
        <f t="shared" si="1"/>
        <v>2920478.0099053644</v>
      </c>
      <c r="F24" s="561">
        <f t="shared" si="2"/>
        <v>0</v>
      </c>
      <c r="G24" s="561">
        <f t="shared" si="3"/>
        <v>2920478.0099053644</v>
      </c>
      <c r="H24" s="561">
        <f t="shared" si="4"/>
        <v>30387487.960378535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30387487.960378535</v>
      </c>
      <c r="E25" s="561">
        <f t="shared" si="1"/>
        <v>2920478.0099053644</v>
      </c>
      <c r="F25" s="561">
        <f t="shared" si="2"/>
        <v>0</v>
      </c>
      <c r="G25" s="561">
        <f t="shared" si="3"/>
        <v>2920478.0099053644</v>
      </c>
      <c r="H25" s="561">
        <f t="shared" si="4"/>
        <v>27467009.950473171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27467009.950473171</v>
      </c>
      <c r="E26" s="561">
        <f t="shared" si="1"/>
        <v>2920478.0099053644</v>
      </c>
      <c r="F26" s="561">
        <f t="shared" si="2"/>
        <v>0</v>
      </c>
      <c r="G26" s="561">
        <f t="shared" si="3"/>
        <v>2920478.0099053644</v>
      </c>
      <c r="H26" s="561">
        <f t="shared" si="4"/>
        <v>24546531.940567806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24546531.940567806</v>
      </c>
      <c r="E27" s="561">
        <f t="shared" si="1"/>
        <v>2920478.0099053644</v>
      </c>
      <c r="F27" s="561">
        <f t="shared" si="2"/>
        <v>0</v>
      </c>
      <c r="G27" s="561">
        <f t="shared" si="3"/>
        <v>2920478.0099053644</v>
      </c>
      <c r="H27" s="561">
        <f t="shared" si="4"/>
        <v>21626053.930662442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21626053.930662442</v>
      </c>
      <c r="E28" s="561">
        <f t="shared" si="1"/>
        <v>2920478.0099053644</v>
      </c>
      <c r="F28" s="561">
        <f t="shared" si="2"/>
        <v>0</v>
      </c>
      <c r="G28" s="561">
        <f t="shared" si="3"/>
        <v>2920478.0099053644</v>
      </c>
      <c r="H28" s="561">
        <f t="shared" si="4"/>
        <v>18705575.920757078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18705575.920757078</v>
      </c>
      <c r="E29" s="561">
        <f t="shared" si="1"/>
        <v>2920478.0099053644</v>
      </c>
      <c r="F29" s="561">
        <f t="shared" si="2"/>
        <v>0</v>
      </c>
      <c r="G29" s="561">
        <f t="shared" si="3"/>
        <v>2920478.0099053644</v>
      </c>
      <c r="H29" s="561">
        <f t="shared" si="4"/>
        <v>15785097.910851713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15785097.910851713</v>
      </c>
      <c r="E30" s="561">
        <f t="shared" si="1"/>
        <v>2920478.0099053644</v>
      </c>
      <c r="F30" s="561">
        <f t="shared" si="2"/>
        <v>0</v>
      </c>
      <c r="G30" s="561">
        <f t="shared" si="3"/>
        <v>2920478.0099053644</v>
      </c>
      <c r="H30" s="561">
        <f>D30-E30</f>
        <v>12864619.900946349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12864619.900946349</v>
      </c>
      <c r="E31" s="561">
        <f t="shared" si="1"/>
        <v>2920478.0099053644</v>
      </c>
      <c r="F31" s="561">
        <f t="shared" si="2"/>
        <v>0</v>
      </c>
      <c r="G31" s="561">
        <f t="shared" si="3"/>
        <v>2920478.0099053644</v>
      </c>
      <c r="H31" s="561">
        <f t="shared" si="4"/>
        <v>9944141.8910409845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9944141.8910409845</v>
      </c>
      <c r="E32" s="561">
        <f t="shared" si="1"/>
        <v>2920478.0099053644</v>
      </c>
      <c r="F32" s="561">
        <f t="shared" si="2"/>
        <v>0</v>
      </c>
      <c r="G32" s="561">
        <f t="shared" si="3"/>
        <v>2920478.0099053644</v>
      </c>
      <c r="H32" s="561">
        <f t="shared" si="4"/>
        <v>7023663.8811356202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7023663.8811356202</v>
      </c>
      <c r="E33" s="561">
        <f t="shared" si="1"/>
        <v>2920478.0099053644</v>
      </c>
      <c r="F33" s="561">
        <f t="shared" si="2"/>
        <v>0</v>
      </c>
      <c r="G33" s="561">
        <f t="shared" si="3"/>
        <v>2920478.0099053644</v>
      </c>
      <c r="H33" s="561">
        <f t="shared" si="4"/>
        <v>4103185.8712302558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4103185.8712302558</v>
      </c>
      <c r="E34" s="561">
        <f t="shared" si="1"/>
        <v>2920478.0099053644</v>
      </c>
      <c r="F34" s="561">
        <f t="shared" si="2"/>
        <v>0</v>
      </c>
      <c r="G34" s="561">
        <f t="shared" si="3"/>
        <v>2920478.0099053644</v>
      </c>
      <c r="H34" s="561">
        <f t="shared" si="4"/>
        <v>1182707.8613248914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1182707.8613248914</v>
      </c>
      <c r="E35" s="561">
        <f t="shared" si="1"/>
        <v>2920478.0099053644</v>
      </c>
      <c r="F35" s="561">
        <f t="shared" si="2"/>
        <v>0</v>
      </c>
      <c r="G35" s="561">
        <f t="shared" si="3"/>
        <v>2920478.0099053644</v>
      </c>
      <c r="H35" s="561">
        <f t="shared" si="4"/>
        <v>-1737770.1485804729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-1737770.1485804729</v>
      </c>
      <c r="E36" s="561">
        <f t="shared" si="1"/>
        <v>2920478.0099053644</v>
      </c>
      <c r="F36" s="561">
        <f t="shared" si="2"/>
        <v>0</v>
      </c>
      <c r="G36" s="561">
        <f t="shared" si="3"/>
        <v>2920478.0099053644</v>
      </c>
      <c r="H36" s="561">
        <f t="shared" si="4"/>
        <v>-4658248.1584858373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-4658248.1584858373</v>
      </c>
      <c r="E37" s="561">
        <f t="shared" si="1"/>
        <v>2920478.0099053644</v>
      </c>
      <c r="F37" s="561">
        <f t="shared" si="2"/>
        <v>0</v>
      </c>
      <c r="G37" s="561">
        <f t="shared" si="3"/>
        <v>2920478.0099053644</v>
      </c>
      <c r="H37" s="561">
        <f t="shared" si="4"/>
        <v>-7578726.1683912016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-7578726.1683912016</v>
      </c>
      <c r="E38" s="561">
        <f t="shared" si="1"/>
        <v>2920478.0099053644</v>
      </c>
      <c r="F38" s="561">
        <f t="shared" si="2"/>
        <v>0</v>
      </c>
      <c r="G38" s="561">
        <f t="shared" si="3"/>
        <v>2920478.0099053644</v>
      </c>
      <c r="H38" s="561">
        <f>D38-E38</f>
        <v>-10499204.178296566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-10499204.178296566</v>
      </c>
      <c r="E39" s="561">
        <f t="shared" si="1"/>
        <v>2920478.0099053644</v>
      </c>
      <c r="F39" s="561">
        <f t="shared" si="2"/>
        <v>0</v>
      </c>
      <c r="G39" s="561">
        <f t="shared" si="3"/>
        <v>2920478.0099053644</v>
      </c>
      <c r="H39" s="561">
        <f t="shared" si="4"/>
        <v>-13419682.18820193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-13419682.18820193</v>
      </c>
      <c r="E40" s="561">
        <f t="shared" si="1"/>
        <v>2920478.0099053644</v>
      </c>
      <c r="F40" s="561">
        <f t="shared" si="2"/>
        <v>16340160.198107295</v>
      </c>
      <c r="G40" s="561">
        <f t="shared" si="3"/>
        <v>-13419682.18820193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2920478.0099053644</v>
      </c>
      <c r="F41" s="561">
        <f t="shared" si="2"/>
        <v>2920478.0099053644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2920478.0099053644</v>
      </c>
      <c r="F42" s="561">
        <f t="shared" si="2"/>
        <v>2920478.0099053644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2920478.0099053644</v>
      </c>
      <c r="F43" s="561">
        <f t="shared" si="2"/>
        <v>2920478.0099053644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2920478.0099053644</v>
      </c>
      <c r="F44" s="561">
        <f t="shared" si="2"/>
        <v>2920478.0099053644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2920478.0099053644</v>
      </c>
      <c r="F45" s="561">
        <f t="shared" si="2"/>
        <v>2920478.0099053644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2920478.0099053644</v>
      </c>
      <c r="F46" s="561">
        <f t="shared" si="2"/>
        <v>2920478.0099053644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2920478.0099053644</v>
      </c>
      <c r="F47" s="561">
        <f t="shared" si="2"/>
        <v>2920478.0099053644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2920478.0099053644</v>
      </c>
      <c r="F48" s="561">
        <f t="shared" si="2"/>
        <v>2920478.0099053644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2920478.0099053644</v>
      </c>
      <c r="F49" s="561">
        <f t="shared" si="2"/>
        <v>2920478.0099053644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2920478.0099053644</v>
      </c>
      <c r="F50" s="561">
        <f t="shared" si="2"/>
        <v>2920478.0099053644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96043002.438319489</v>
      </c>
      <c r="F55" s="561"/>
      <c r="G55" s="1663" t="s">
        <v>1064</v>
      </c>
      <c r="H55" s="1667">
        <f>'Cash Flow'!N15/0.05</f>
        <v>103427808.92267834</v>
      </c>
    </row>
    <row r="56" spans="2:28">
      <c r="D56" s="1653" t="s">
        <v>1065</v>
      </c>
      <c r="E56" s="1665">
        <f>'Cash Flow'!K21/1.2</f>
        <v>3355767.8284593322</v>
      </c>
      <c r="F56" s="561"/>
      <c r="G56" s="1661" t="s">
        <v>1065</v>
      </c>
      <c r="H56" s="1668">
        <f>'Cash Flow'!N21/1.2</f>
        <v>3595978.8750500847</v>
      </c>
    </row>
    <row r="57" spans="2:28">
      <c r="D57" s="1653" t="s">
        <v>1066</v>
      </c>
      <c r="E57" s="1665">
        <f>E55*0.6</f>
        <v>57625801.462991692</v>
      </c>
      <c r="F57" s="561"/>
      <c r="G57" s="1661" t="s">
        <v>1066</v>
      </c>
      <c r="H57" s="1668">
        <f>H55*0.6</f>
        <v>62056685.353606999</v>
      </c>
    </row>
    <row r="58" spans="2:28">
      <c r="D58" s="1653" t="s">
        <v>1067</v>
      </c>
      <c r="E58" s="1665">
        <f>-PV(6.5%,34,E56)</f>
        <v>45559947.432860427</v>
      </c>
      <c r="F58" s="561"/>
      <c r="G58" s="1661" t="s">
        <v>1067</v>
      </c>
      <c r="H58" s="1668">
        <f>-PV(6.5%,30,H56)</f>
        <v>46958722.694111869</v>
      </c>
    </row>
    <row r="59" spans="2:28">
      <c r="D59" s="1652" t="s">
        <v>1068</v>
      </c>
      <c r="E59" s="1665">
        <f>E58-H27</f>
        <v>23933893.502197985</v>
      </c>
      <c r="F59" s="561"/>
      <c r="G59" s="1660" t="s">
        <v>1068</v>
      </c>
      <c r="H59" s="1668">
        <f>H58-H30</f>
        <v>34094102.79316552</v>
      </c>
    </row>
    <row r="60" spans="2:28" ht="13.5" thickBot="1">
      <c r="D60" s="1654" t="s">
        <v>1069</v>
      </c>
      <c r="E60" s="1666">
        <f>E59*GapCalc!I33</f>
        <v>20343809.47686829</v>
      </c>
      <c r="F60" s="561"/>
      <c r="G60" s="1662" t="s">
        <v>1069</v>
      </c>
      <c r="H60" s="1669">
        <f>H59*GapCalc!I33</f>
        <v>28979987.374190696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6565000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29588400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78740.478699999992</v>
      </c>
      <c r="C7" s="1417">
        <f>C4*E4</f>
        <v>354882.67783200002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63148.304700000001</v>
      </c>
      <c r="C8" s="1417">
        <f>C7*D7</f>
        <v>284608.88024150499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347757.18494150497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39370.239350000003</v>
      </c>
    </row>
    <row r="14" spans="1:5">
      <c r="A14" t="s">
        <v>992</v>
      </c>
      <c r="B14">
        <v>24</v>
      </c>
      <c r="C14" s="1425">
        <f>C3*(E3/12)*B14</f>
        <v>157480.95740000001</v>
      </c>
    </row>
    <row r="15" spans="1:5">
      <c r="A15" s="40" t="s">
        <v>994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347757.18494150497</v>
      </c>
      <c r="Y56" s="1309">
        <f>X56/'Rental Income'!D15</f>
        <v>3443.1404449653955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420341.31827483827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731743.69160817168</v>
      </c>
      <c r="Y70" s="1307">
        <f>X70/D10</f>
        <v>7244.9870456254621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1244.9870456254621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37135500</v>
      </c>
      <c r="C7" s="465">
        <f>'Dev Summary_5-20'!B8</f>
        <v>3190331</v>
      </c>
      <c r="D7" s="465">
        <f t="shared" ref="D7:D14" si="0">B7-C7</f>
        <v>33945169</v>
      </c>
      <c r="E7" s="477">
        <f t="shared" ref="E7:E15" si="1">D7/B7</f>
        <v>0.91408945618074344</v>
      </c>
      <c r="F7" s="477"/>
      <c r="G7" s="472" t="e">
        <f t="shared" ref="G7:G14" si="2">B7/$B$15</f>
        <v>#REF!</v>
      </c>
      <c r="I7" s="147">
        <f>B7/$H$4</f>
        <v>337595.45454545453</v>
      </c>
      <c r="J7" s="53">
        <f>B7/$H$5</f>
        <v>376.52086628543617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189584.59674894126</v>
      </c>
      <c r="C9" s="446">
        <f>'Dev Summary_5-20'!B10</f>
        <v>50000</v>
      </c>
      <c r="D9" s="446">
        <f t="shared" si="0"/>
        <v>139584.59674894126</v>
      </c>
      <c r="E9" s="477">
        <f t="shared" si="1"/>
        <v>0.73626549383538342</v>
      </c>
      <c r="F9" s="477"/>
      <c r="G9" s="473" t="e">
        <f t="shared" si="2"/>
        <v>#REF!</v>
      </c>
      <c r="I9" s="53">
        <f t="shared" si="3"/>
        <v>1723.4963340812842</v>
      </c>
      <c r="J9" s="53">
        <f t="shared" si="4"/>
        <v>1.9222188095565282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42069464.679681219</v>
      </c>
      <c r="C21" s="48">
        <v>18731659</v>
      </c>
      <c r="D21" s="48">
        <f>B21-C21</f>
        <v>23337805.679681219</v>
      </c>
      <c r="E21" s="55">
        <f>D21/B21</f>
        <v>0.55474453638467502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2054447.9065982848</v>
      </c>
      <c r="C28" s="50"/>
      <c r="D28" s="50">
        <f t="shared" si="5"/>
        <v>2054447.9065982848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40849050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37264.145000000004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33537.730500000005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314667.17916666664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40849050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9395.281500000001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394864.33616666665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32679240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45872.917880000001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32679240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52960.417880000001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443826</v>
      </c>
      <c r="E10" s="748">
        <f>'PreDev Flow of Funds'!Y10+'PreDev Flow of Funds'!Y12</f>
        <v>1395966</v>
      </c>
      <c r="F10" s="748">
        <f>(D10-E10)/18</f>
        <v>-52896.666666666664</v>
      </c>
      <c r="G10" s="748">
        <f>$F$10</f>
        <v>-52896.666666666664</v>
      </c>
      <c r="H10" s="748">
        <f t="shared" ref="H10:W10" si="2">$F$10</f>
        <v>-52896.666666666664</v>
      </c>
      <c r="I10" s="748">
        <f t="shared" si="2"/>
        <v>-52896.666666666664</v>
      </c>
      <c r="J10" s="748">
        <f t="shared" si="2"/>
        <v>-52896.666666666664</v>
      </c>
      <c r="K10" s="748">
        <f t="shared" si="2"/>
        <v>-52896.666666666664</v>
      </c>
      <c r="L10" s="748">
        <f t="shared" si="2"/>
        <v>-52896.666666666664</v>
      </c>
      <c r="M10" s="748">
        <f t="shared" si="2"/>
        <v>-52896.666666666664</v>
      </c>
      <c r="N10" s="748">
        <f t="shared" si="2"/>
        <v>-52896.666666666664</v>
      </c>
      <c r="O10" s="748">
        <f t="shared" si="2"/>
        <v>-52896.666666666664</v>
      </c>
      <c r="P10" s="748">
        <f t="shared" si="2"/>
        <v>-52896.666666666664</v>
      </c>
      <c r="Q10" s="748">
        <f t="shared" si="2"/>
        <v>-52896.666666666664</v>
      </c>
      <c r="R10" s="748">
        <f t="shared" si="2"/>
        <v>-52896.666666666664</v>
      </c>
      <c r="S10" s="748">
        <f t="shared" si="2"/>
        <v>-52896.666666666664</v>
      </c>
      <c r="T10" s="748">
        <f t="shared" si="2"/>
        <v>-52896.666666666664</v>
      </c>
      <c r="U10" s="748">
        <f t="shared" si="2"/>
        <v>-52896.666666666664</v>
      </c>
      <c r="V10" s="748">
        <f t="shared" si="2"/>
        <v>-52896.666666666664</v>
      </c>
      <c r="W10" s="748">
        <f t="shared" si="2"/>
        <v>-52896.666666666664</v>
      </c>
      <c r="X10" s="748"/>
      <c r="Y10" s="748">
        <f>SUM(E10:W10)</f>
        <v>443825.99999999988</v>
      </c>
    </row>
    <row r="11" spans="1:25" ht="15">
      <c r="A11" s="402"/>
      <c r="B11" s="403" t="s">
        <v>388</v>
      </c>
      <c r="C11" s="748"/>
      <c r="D11" s="748">
        <f>'Development Budget'!G41</f>
        <v>443826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37135500</v>
      </c>
      <c r="E13" s="748">
        <f>'PreDev Flow of Funds'!Y14</f>
        <v>69798.3</v>
      </c>
      <c r="F13" s="748">
        <f>(D13-E13)/18</f>
        <v>2059205.6500000001</v>
      </c>
      <c r="G13" s="748">
        <f>$F$13</f>
        <v>2059205.6500000001</v>
      </c>
      <c r="H13" s="748">
        <f t="shared" ref="H13:W13" si="5">$F$13</f>
        <v>2059205.6500000001</v>
      </c>
      <c r="I13" s="748">
        <f t="shared" si="5"/>
        <v>2059205.6500000001</v>
      </c>
      <c r="J13" s="748">
        <f t="shared" si="5"/>
        <v>2059205.6500000001</v>
      </c>
      <c r="K13" s="748">
        <f t="shared" si="5"/>
        <v>2059205.6500000001</v>
      </c>
      <c r="L13" s="748">
        <f t="shared" si="5"/>
        <v>2059205.6500000001</v>
      </c>
      <c r="M13" s="748">
        <f t="shared" si="5"/>
        <v>2059205.6500000001</v>
      </c>
      <c r="N13" s="748">
        <f t="shared" si="5"/>
        <v>2059205.6500000001</v>
      </c>
      <c r="O13" s="748">
        <f t="shared" si="5"/>
        <v>2059205.6500000001</v>
      </c>
      <c r="P13" s="748">
        <f t="shared" si="5"/>
        <v>2059205.6500000001</v>
      </c>
      <c r="Q13" s="748">
        <f t="shared" si="5"/>
        <v>2059205.6500000001</v>
      </c>
      <c r="R13" s="748">
        <f t="shared" si="5"/>
        <v>2059205.6500000001</v>
      </c>
      <c r="S13" s="748">
        <f t="shared" si="5"/>
        <v>2059205.6500000001</v>
      </c>
      <c r="T13" s="748">
        <f t="shared" si="5"/>
        <v>2059205.6500000001</v>
      </c>
      <c r="U13" s="748">
        <f t="shared" si="5"/>
        <v>2059205.6500000001</v>
      </c>
      <c r="V13" s="748">
        <f t="shared" si="5"/>
        <v>2059205.6500000001</v>
      </c>
      <c r="W13" s="748">
        <f t="shared" si="5"/>
        <v>2059205.6500000001</v>
      </c>
      <c r="X13" s="748"/>
      <c r="Y13" s="748">
        <f t="shared" si="3"/>
        <v>37135499.999999993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37135500</v>
      </c>
      <c r="E15" s="748">
        <f>'PreDev Flow of Funds'!Y16+'PreDev Flow of Funds'!Y17+'PreDev Flow of Funds'!Y19</f>
        <v>72500</v>
      </c>
      <c r="F15" s="748">
        <f>(D15-E15)/18</f>
        <v>2059055.5555555555</v>
      </c>
      <c r="G15" s="748">
        <f>$F$15</f>
        <v>2059055.5555555555</v>
      </c>
      <c r="H15" s="748">
        <f t="shared" ref="H15:W15" si="7">$F$15</f>
        <v>2059055.5555555555</v>
      </c>
      <c r="I15" s="748">
        <f t="shared" si="7"/>
        <v>2059055.5555555555</v>
      </c>
      <c r="J15" s="748">
        <f t="shared" si="7"/>
        <v>2059055.5555555555</v>
      </c>
      <c r="K15" s="748">
        <f t="shared" si="7"/>
        <v>2059055.5555555555</v>
      </c>
      <c r="L15" s="748">
        <f t="shared" si="7"/>
        <v>2059055.5555555555</v>
      </c>
      <c r="M15" s="748">
        <f t="shared" si="7"/>
        <v>2059055.5555555555</v>
      </c>
      <c r="N15" s="748">
        <f t="shared" si="7"/>
        <v>2059055.5555555555</v>
      </c>
      <c r="O15" s="748">
        <f t="shared" si="7"/>
        <v>2059055.5555555555</v>
      </c>
      <c r="P15" s="748">
        <f t="shared" si="7"/>
        <v>2059055.5555555555</v>
      </c>
      <c r="Q15" s="748">
        <f t="shared" si="7"/>
        <v>2059055.5555555555</v>
      </c>
      <c r="R15" s="748">
        <f t="shared" si="7"/>
        <v>2059055.5555555555</v>
      </c>
      <c r="S15" s="748">
        <f t="shared" si="7"/>
        <v>2059055.5555555555</v>
      </c>
      <c r="T15" s="748">
        <f t="shared" si="7"/>
        <v>2059055.5555555555</v>
      </c>
      <c r="U15" s="748">
        <f t="shared" si="7"/>
        <v>2059055.5555555555</v>
      </c>
      <c r="V15" s="748">
        <f t="shared" si="7"/>
        <v>2059055.5555555555</v>
      </c>
      <c r="W15" s="748">
        <f t="shared" si="7"/>
        <v>2059055.5555555555</v>
      </c>
      <c r="X15" s="748"/>
      <c r="Y15" s="748">
        <f t="shared" si="3"/>
        <v>37135500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29588400</v>
      </c>
      <c r="E33" s="748">
        <v>0</v>
      </c>
      <c r="F33" s="748">
        <f>D33</f>
        <v>29588400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29588400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92838.75</v>
      </c>
      <c r="E43" s="748">
        <f>D43</f>
        <v>92838.75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92838.75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283838.75</v>
      </c>
      <c r="E52" s="748">
        <f>D52</f>
        <v>283838.75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283838.75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189584.59674894126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15221830.574999997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40015016.773082934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-12397007.590509553</v>
      </c>
      <c r="E87" s="749">
        <f>E80-E84-E85-E86-E88-E89-E90-E91</f>
        <v>380677.49999999627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15221830.574999997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66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66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7" t="s">
        <v>590</v>
      </c>
      <c r="D74" s="1768"/>
      <c r="E74" s="1768"/>
      <c r="F74" s="1768"/>
      <c r="G74" s="1768"/>
      <c r="H74" s="1768"/>
      <c r="I74" s="1769"/>
      <c r="J74" s="1770" t="s">
        <v>583</v>
      </c>
      <c r="K74" s="1771"/>
      <c r="L74" s="1771"/>
      <c r="M74" s="1771"/>
      <c r="N74" s="1771"/>
      <c r="O74" s="177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-1328253.5774999999</v>
      </c>
      <c r="K103" s="162">
        <f>J103+(C116*0.25)/2</f>
        <v>-2656507.1549999998</v>
      </c>
      <c r="L103" s="162">
        <f>K103+((C116-K103)/4)</f>
        <v>-4648887.5212500002</v>
      </c>
      <c r="M103" s="162">
        <f>L103+((C116-K103)/4)</f>
        <v>-6641267.8875000002</v>
      </c>
      <c r="N103" s="162">
        <f>M103+((C116-K103)/4)</f>
        <v>-8633648.2537500001</v>
      </c>
      <c r="O103" s="162">
        <f>N103+((C116-K103)/4)</f>
        <v>-10626028.620000001</v>
      </c>
      <c r="P103" s="162">
        <f>O103</f>
        <v>-10626028.620000001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9967028.7408333328</v>
      </c>
      <c r="K104" s="371">
        <f>((C117-1033493)/6)+J104</f>
        <v>19934057.481666666</v>
      </c>
      <c r="L104" s="371">
        <f>((C117-1033493)/6)+K104</f>
        <v>29901086.222499996</v>
      </c>
      <c r="M104" s="371">
        <f>((C117-1033493)/6)+L104</f>
        <v>39868114.963333331</v>
      </c>
      <c r="N104" s="371">
        <f>((C117-1033493)/6)+M104</f>
        <v>49835143.704166666</v>
      </c>
      <c r="O104" s="371">
        <f>((C117-1033493)/6)+N104</f>
        <v>59802172.445</v>
      </c>
      <c r="P104" s="371">
        <f>(286645+100000+646848)+O104</f>
        <v>60835665.445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8638775.1633333322</v>
      </c>
      <c r="K110" s="371">
        <f t="shared" ref="K110:P110" si="9">SUM(K103:K104)</f>
        <v>17277550.326666664</v>
      </c>
      <c r="L110" s="371">
        <f t="shared" si="9"/>
        <v>25252198.701249994</v>
      </c>
      <c r="M110" s="371">
        <f t="shared" si="9"/>
        <v>33226847.075833332</v>
      </c>
      <c r="N110" s="371">
        <f t="shared" si="9"/>
        <v>41201495.450416669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5">
        <f>'PreDev Flow of Funds'!D47</f>
        <v>14824249.954999998</v>
      </c>
      <c r="D114" s="1774"/>
    </row>
    <row r="115" spans="2:19">
      <c r="B115" s="397" t="s">
        <v>601</v>
      </c>
      <c r="C115" s="1776">
        <f>M102</f>
        <v>1323400.22</v>
      </c>
      <c r="D115" s="1774"/>
    </row>
    <row r="116" spans="2:19">
      <c r="B116" s="397" t="s">
        <v>583</v>
      </c>
      <c r="C116" s="1776">
        <f>'Development Budget'!G37-Predevelopment!D27-Predevelopment!D28-Predevelopment!D29-Timeline!M102-Predevelopment!D17</f>
        <v>-10626028.619999999</v>
      </c>
      <c r="D116" s="1774"/>
    </row>
    <row r="117" spans="2:19" ht="16.5" thickBot="1">
      <c r="B117" s="398" t="s">
        <v>602</v>
      </c>
      <c r="C117" s="1777">
        <f>C118-C114-C116-C115</f>
        <v>60835665.445</v>
      </c>
      <c r="D117" s="1778"/>
    </row>
    <row r="118" spans="2:19" ht="16.5" thickTop="1">
      <c r="B118" s="368" t="s">
        <v>586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