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77EC1CF7-A6B7-415C-8F4D-D69365E0C0C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<sst xmlns="http://schemas.openxmlformats.org/spreadsheetml/2006/main" count="1992" uniqueCount="1105">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</sst>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1102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7.7536856641549259E-2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7.7536856641549259E-2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-1695507.338439892</v>
      </c>
      <c r="E18" s="1754">
        <f ca="1">-D18/D28</f>
        <v>1.8742230316817321E-2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66151.31578947368</v>
      </c>
    </row>
    <row r="22" spans="1:6">
      <c r="A22" s="64"/>
      <c r="B22" s="4" t="s">
        <v>16</v>
      </c>
      <c r="C22" s="4"/>
      <c r="D22" s="1531">
        <f>'Development Budget'!G44</f>
        <v>55779000</v>
      </c>
      <c r="E22" s="1531">
        <f t="shared" ref="E22:E28" si="0">D22/$D$10</f>
        <v>366967.10526315792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1872240</v>
      </c>
      <c r="E23" s="1531">
        <f t="shared" si="0"/>
        <v>12317.368421052632</v>
      </c>
    </row>
    <row r="24" spans="1:6">
      <c r="A24" s="64"/>
      <c r="B24" s="4" t="s">
        <v>18</v>
      </c>
      <c r="C24" s="4"/>
      <c r="D24" s="1531">
        <f>'Development Budget'!G97</f>
        <v>2637086</v>
      </c>
      <c r="E24" s="1531">
        <f t="shared" si="0"/>
        <v>17349.25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6030393.6748299366</v>
      </c>
      <c r="E25" s="1531">
        <f t="shared" si="0"/>
        <v>39673.642597565369</v>
      </c>
    </row>
    <row r="26" spans="1:6">
      <c r="A26" s="64"/>
      <c r="B26" s="4" t="s">
        <v>20</v>
      </c>
      <c r="C26" s="4"/>
      <c r="D26" s="1531">
        <f>'Development Budget'!G181</f>
        <v>4601914</v>
      </c>
      <c r="E26" s="1531">
        <f t="shared" si="0"/>
        <v>30275.75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9488911.3541851491</v>
      </c>
      <c r="E27" s="1532">
        <f t="shared" si="0"/>
        <v>62427.048382797031</v>
      </c>
    </row>
    <row r="28" spans="1:6" ht="16.5" thickTop="1">
      <c r="A28" s="4"/>
      <c r="B28" s="4"/>
      <c r="C28" s="150" t="s">
        <v>14</v>
      </c>
      <c r="D28" s="1533">
        <f>SUM(D21:D27)</f>
        <v>90464545.029015079</v>
      </c>
      <c r="E28" s="1531">
        <f t="shared" si="0"/>
        <v>595161.48045404663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58786261.054633379</v>
      </c>
      <c r="E32" s="1586">
        <f t="shared" si="1"/>
        <v>386751.7174646933</v>
      </c>
    </row>
    <row r="33" spans="1:5">
      <c r="A33" s="64"/>
      <c r="B33" s="4" t="s">
        <v>1051</v>
      </c>
      <c r="C33" s="4"/>
      <c r="D33" s="1587">
        <f>GapCalc!D29</f>
        <v>4751742.5961572556</v>
      </c>
      <c r="E33" s="1586">
        <f>D33/$D$10</f>
        <v>31261.464448402996</v>
      </c>
    </row>
    <row r="34" spans="1:5">
      <c r="A34" s="65"/>
      <c r="B34" s="4" t="s">
        <v>26</v>
      </c>
      <c r="C34" s="4"/>
      <c r="D34" s="1587">
        <f>GapCalc!D30</f>
        <v>26926541.378224447</v>
      </c>
      <c r="E34" s="1586">
        <f>D34/$D$10</f>
        <v>177148.29854095032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90464545.029015079</v>
      </c>
      <c r="E36" s="1586">
        <f>D36/$D$10</f>
        <v>595161.48045404663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63006102.770676836</v>
      </c>
      <c r="E40" s="1586">
        <f t="shared" ref="E40" si="2">D40/$D$10</f>
        <v>414513.83401761076</v>
      </c>
    </row>
    <row r="41" spans="1:5">
      <c r="A41" s="60"/>
      <c r="B41" s="4" t="s">
        <v>1051</v>
      </c>
      <c r="C41" s="4"/>
      <c r="D41" s="1591">
        <f>GapCalc!D29+GapCalc!D38</f>
        <v>4751742.5961572556</v>
      </c>
      <c r="E41" s="1586">
        <f>D41/$D$10</f>
        <v>31261.464448402996</v>
      </c>
    </row>
    <row r="42" spans="1:5">
      <c r="A42" s="60"/>
      <c r="B42" s="1557" t="s">
        <v>26</v>
      </c>
      <c r="C42" s="4"/>
      <c r="D42" s="1592">
        <f>GapCalc!D30+GapCalc!D39</f>
        <v>26926541.378224447</v>
      </c>
      <c r="E42" s="1586">
        <f>D42/$D$10</f>
        <v>177148.29854095032</v>
      </c>
    </row>
    <row r="43" spans="1:5">
      <c r="A43" s="60"/>
      <c r="B43" s="1714" t="s">
        <v>1101</v>
      </c>
      <c r="C43" s="4"/>
      <c r="D43" s="1592">
        <f>IF(D32-D40&gt;0,0,D32-D40)</f>
        <v>-4219841.7160434574</v>
      </c>
      <c r="E43" s="1586">
        <f>D43/$D$10</f>
        <v>-27762.116552917483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90464545.029015079</v>
      </c>
      <c r="E45" s="1588">
        <f>D45/$D$10</f>
        <v>595161.48045404663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1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66151.31578947368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55779000</v>
      </c>
      <c r="E18" s="1531">
        <f t="shared" ref="E18:E24" si="0">D18/$D$11</f>
        <v>366967.10526315792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1872240</v>
      </c>
      <c r="E19" s="1531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2637086</v>
      </c>
      <c r="E20" s="1531">
        <f t="shared" si="0"/>
        <v>17349.25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6030393.6748299366</v>
      </c>
      <c r="E21" s="1531">
        <f t="shared" si="0"/>
        <v>39673.642597565369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4601914</v>
      </c>
      <c r="E22" s="1531">
        <f t="shared" si="0"/>
        <v>30275.75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9488911.3541851491</v>
      </c>
      <c r="E23" s="1532">
        <f t="shared" si="0"/>
        <v>62427.048382797031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90464545.029015079</v>
      </c>
      <c r="E24" s="1531">
        <f t="shared" si="0"/>
        <v>595161.48045404663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58786261.054633379</v>
      </c>
      <c r="E28" s="1586">
        <f t="shared" si="1"/>
        <v>386751.7174646933</v>
      </c>
      <c r="F28" s="62"/>
      <c r="G28" s="1419" t="s">
        <v>608</v>
      </c>
      <c r="H28" s="1608">
        <f>H32/D11</f>
        <v>31261.464448402996</v>
      </c>
      <c r="I28" s="703"/>
    </row>
    <row r="29" spans="1:10" ht="15.75">
      <c r="A29" s="64"/>
      <c r="B29" s="4" t="s">
        <v>1051</v>
      </c>
      <c r="C29" s="4"/>
      <c r="D29" s="1587">
        <v>4751742.5961572556</v>
      </c>
      <c r="E29" s="1586">
        <f>D29/$D$11</f>
        <v>31261.464448402996</v>
      </c>
      <c r="F29" s="520"/>
      <c r="G29" s="1420" t="s">
        <v>971</v>
      </c>
      <c r="H29" s="1609">
        <f>H33/D11</f>
        <v>177148.29854095032</v>
      </c>
      <c r="I29" s="703"/>
    </row>
    <row r="30" spans="1:10" ht="16.5" thickBot="1">
      <c r="A30" s="65"/>
      <c r="B30" s="4" t="s">
        <v>26</v>
      </c>
      <c r="C30" s="4"/>
      <c r="D30" s="1587">
        <v>26926541.378224447</v>
      </c>
      <c r="E30" s="1586">
        <f>D30/$D$11</f>
        <v>177148.29854095032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4751742.5961572556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90464545.029015079</v>
      </c>
      <c r="E33" s="1586">
        <f>D33/$D$11</f>
        <v>595161.48045404663</v>
      </c>
      <c r="F33" s="62"/>
      <c r="G33" s="1441" t="s">
        <v>971</v>
      </c>
      <c r="H33" s="1611">
        <f>D30+D39</f>
        <v>26926541.378224447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31678283.974381704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0.350173473643419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63006102.770676836</v>
      </c>
      <c r="E37" s="1586">
        <f t="shared" ref="E37" si="2">D37/$D$11</f>
        <v>414513.83401761076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4751742.5961572556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26926541.378224447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4219841.7160434574</v>
      </c>
      <c r="E41" s="1588">
        <f>D41/$D$11</f>
        <v>27762.116552917483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63006102.770676836</v>
      </c>
      <c r="E42" s="1586">
        <f>D42/$D$11</f>
        <v>414513.83401761076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-632976.25740651856</v>
      </c>
      <c r="I43" s="1596">
        <f>D38+H43</f>
        <v>-632976.25740651856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-3586865.4586369386</v>
      </c>
      <c r="I44" s="1596">
        <f>D39+H44</f>
        <v>-3586865.4586369386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25485360.140550539</v>
      </c>
      <c r="J46" s="1582" t="s">
        <v>1083</v>
      </c>
      <c r="K46" s="1583">
        <f>'Cash Flow'!C76</f>
        <v>7.7536856641549259E-2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8904781.1296098717</v>
      </c>
      <c r="J47" s="1584" t="s">
        <v>1098</v>
      </c>
      <c r="K47" s="1607">
        <f>'Cash Flow'!C70</f>
        <v>41541137.029097378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-1441181.2376739085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4497416.495391272</v>
      </c>
      <c r="J51" s="1585" t="s">
        <v>1083</v>
      </c>
      <c r="K51" s="1618">
        <f>'Cash Flow'!H76</f>
        <v>7.7536856641549259E-2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4751742.5961572556</v>
      </c>
      <c r="J52" s="1584" t="s">
        <v>1097</v>
      </c>
      <c r="K52" s="1607">
        <f>'Cash Flow'!H70</f>
        <v>7330788.8874877729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-254326.10076598357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-1695507.338439892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36458185.54629384</v>
      </c>
      <c r="J58" s="1582" t="s">
        <v>1083</v>
      </c>
      <c r="K58" s="1583">
        <f>'Cash Flow'!C103</f>
        <v>0.12069987231452448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59426842.440458953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9531644.1680693924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5033658.9430866949</v>
      </c>
      <c r="J63" s="1585" t="s">
        <v>1083</v>
      </c>
      <c r="K63" s="1618">
        <f>'Cash Flow'!H103</f>
        <v>7.2670634218835919E-2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4751742.5961572556</v>
      </c>
      <c r="J64" s="1584" t="s">
        <v>1097</v>
      </c>
      <c r="K64" s="1607">
        <f>'Cash Flow'!H97</f>
        <v>8204864.0772313122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281916.34692943934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9813560.5149988309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9" zoomScale="130" zoomScaleNormal="130" workbookViewId="0">
      <selection activeCell="M47" sqref="M47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0.78947368421052633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1103</v>
      </c>
      <c r="N9" s="298">
        <f>E46+E183</f>
        <v>30</v>
      </c>
      <c r="O9" s="332">
        <f t="shared" si="0"/>
        <v>0.19736842105263158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62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1" zoomScaleNormal="100" workbookViewId="0">
      <selection activeCell="M151" sqref="M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4219841.7160434574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65000</v>
      </c>
      <c r="J18" s="1015"/>
      <c r="K18" s="1016"/>
      <c r="L18" s="1016"/>
      <c r="M18" s="1431">
        <f>F9*N17</f>
        <v>9880000</v>
      </c>
      <c r="N18" s="1674">
        <v>9880000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164.47368421052633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986.84210526315792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66151.31578947368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44503200</v>
      </c>
      <c r="H32" s="1039"/>
      <c r="I32" s="950">
        <f t="shared" si="0"/>
        <v>292784.21052631579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48953520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44503200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4450320</v>
      </c>
      <c r="G36" s="854">
        <f>F36</f>
        <v>4450320</v>
      </c>
      <c r="H36" s="950"/>
      <c r="I36" s="950">
        <f t="shared" si="0"/>
        <v>29278.42105263158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3115224.0000000005</v>
      </c>
      <c r="H37" s="1072"/>
      <c r="I37" s="950">
        <f t="shared" si="0"/>
        <v>20494.894736842107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3115224.0000000005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2225160</v>
      </c>
      <c r="H38" s="1072"/>
      <c r="I38" s="950">
        <f t="shared" si="0"/>
        <v>14639.21052631579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2225160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667548</v>
      </c>
      <c r="H40" s="1072"/>
      <c r="I40" s="950">
        <f t="shared" si="0"/>
        <v>4391.7631578947367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667548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667548</v>
      </c>
      <c r="H41" s="1072"/>
      <c r="I41" s="950">
        <f t="shared" si="0"/>
        <v>4391.7631578947367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667548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55779000</v>
      </c>
      <c r="H44" s="1324"/>
      <c r="I44" s="1325">
        <f t="shared" si="0"/>
        <v>366967.10526315792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55779000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55779000</v>
      </c>
      <c r="H46" s="1333"/>
      <c r="I46" s="1325">
        <f t="shared" si="0"/>
        <v>366967.10526315792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55779000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5577900</v>
      </c>
      <c r="H47" s="1039"/>
      <c r="I47" s="950">
        <f t="shared" si="0"/>
        <v>36696.710526315786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5577900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50920</v>
      </c>
      <c r="G49" s="1092">
        <f>F49</f>
        <v>50920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55936</v>
      </c>
      <c r="G50" s="1092">
        <f>F50</f>
        <v>55936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8.0592105263157894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108081</v>
      </c>
      <c r="H52" s="1101"/>
      <c r="I52" s="950">
        <f t="shared" si="0"/>
        <v>711.05921052631584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108081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1739800</v>
      </c>
      <c r="H54" s="1039"/>
      <c r="I54" s="950">
        <f t="shared" si="0"/>
        <v>11446.052631578947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1576000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1576000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102440</v>
      </c>
      <c r="H57" s="1117"/>
      <c r="I57" s="950">
        <f t="shared" si="0"/>
        <v>673.9473684210526</v>
      </c>
      <c r="J57" s="1015"/>
      <c r="K57" s="1118"/>
      <c r="L57" s="1119"/>
      <c r="M57" s="1120">
        <f>(5000*F9)*1.6</f>
        <v>1216000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102440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197.36842105263159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1541792.5</v>
      </c>
      <c r="H59" s="1128"/>
      <c r="I59" s="950">
        <f t="shared" si="0"/>
        <v>10143.371710526315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1872240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139447.5</v>
      </c>
      <c r="H67" s="1039"/>
      <c r="I67" s="950">
        <f t="shared" si="0"/>
        <v>917.41776315789468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139447.5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46.05263157894737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625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164.47368421052633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197.36842105263159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223.68421052631578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330447.5</v>
      </c>
      <c r="H80" s="1101"/>
      <c r="I80" s="950">
        <f t="shared" si="0"/>
        <v>2173.9967105263158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330447.5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2537086</v>
      </c>
      <c r="H90" s="1111"/>
      <c r="I90" s="950">
        <f t="shared" si="3"/>
        <v>16691.355263157893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2537086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657.89473684210532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1791624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1791624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395200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2637086</v>
      </c>
      <c r="H97" s="1101"/>
      <c r="I97" s="950">
        <f t="shared" si="3"/>
        <v>17349.25</v>
      </c>
      <c r="J97" s="1102"/>
      <c r="K97" s="1166">
        <f>I97/I250</f>
        <v>2.915049204253662E-2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2637086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250080.12264474371</v>
      </c>
      <c r="H102" s="1111"/>
      <c r="I102" s="950">
        <f t="shared" si="3"/>
        <v>1645.2639647680508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250080.12264474371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235080.12264474371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4702407.2331116134</v>
      </c>
      <c r="N103" s="1172">
        <v>4701602.4528948739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250080.12264474371</v>
      </c>
      <c r="H114" s="1101"/>
      <c r="I114" s="950">
        <f t="shared" si="3"/>
        <v>1645.2639647680508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250080.12264474371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4144431.4043516535</v>
      </c>
      <c r="H116" s="1177"/>
      <c r="I116" s="950">
        <f t="shared" si="3"/>
        <v>27265.996081260877</v>
      </c>
      <c r="J116" s="1178"/>
      <c r="K116" s="1179" t="s">
        <v>822</v>
      </c>
      <c r="L116" s="1073"/>
      <c r="M116" s="1180">
        <f>0.5*Data!C20*Data!C17/12*Data!C19</f>
        <v>4144431.4043516535</v>
      </c>
      <c r="N116" s="1181">
        <v>4144431.4043516535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4144431.4043516535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3867.5171746469332</v>
      </c>
      <c r="J117" s="1015"/>
      <c r="K117" s="1184" t="s">
        <v>824</v>
      </c>
      <c r="L117" s="1185"/>
      <c r="M117" s="1186">
        <f>0.01*Data!C20</f>
        <v>587862.61054633383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1949.0217499999999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778268.96235000016</v>
      </c>
      <c r="H121" s="1117"/>
      <c r="I121" s="950">
        <f t="shared" si="3"/>
        <v>5120.1905417763164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778268.96235000016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778268.96235000016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645.91704988125048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88179.391581950069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101.31578947368421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5920393.6748299366</v>
      </c>
      <c r="H148" s="1128"/>
      <c r="I148" s="950">
        <f t="shared" si="6"/>
        <v>38949.958387039056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5920393.6748299366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562224.77195673715</v>
      </c>
      <c r="H151" s="1093"/>
      <c r="I151" s="950">
        <f t="shared" ref="I151:I158" si="7">G151/$F$9</f>
        <v>3698.8471839259023</v>
      </c>
      <c r="J151" s="1094"/>
      <c r="K151" s="1244" t="s">
        <v>862</v>
      </c>
      <c r="L151" s="1245"/>
      <c r="M151" s="1558">
        <f>Data!C31*Data!C30</f>
        <v>630061.02770676836</v>
      </c>
      <c r="N151" s="1345">
        <v>562224.77195673715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5290763.4949170044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394.73684210526318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328.94736842105266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723.68421052631584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4601914</v>
      </c>
      <c r="H178" s="1093"/>
      <c r="I178" s="950">
        <f t="shared" si="6"/>
        <v>30275.75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4601914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4601914</v>
      </c>
      <c r="H181" s="1128"/>
      <c r="I181" s="950">
        <f t="shared" si="6"/>
        <v>30275.75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4601914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85.526315789473685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78.94736842105263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164.47368421052633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95.39473684210526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613.48684210526312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328.94736842105266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1848.6842105263158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715683.56487373402</v>
      </c>
      <c r="H233" s="1111"/>
      <c r="I233" s="950">
        <f t="shared" si="8"/>
        <v>4708.4445057482499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715683.56487373402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1154433.564873734</v>
      </c>
      <c r="H234" s="1282"/>
      <c r="I234" s="950">
        <f t="shared" si="8"/>
        <v>7594.9576636429874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1154433.564873734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16447.36842105263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136.51315789473685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16583.88157894737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4.3859649122807012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13.157894736842104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17.543859649122805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90464545.029015079</v>
      </c>
      <c r="H250" s="1298"/>
      <c r="I250" s="1299">
        <f>G250/F9</f>
        <v>595161.48045404663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609.82948436751792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J33" sqref="J33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152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148344</v>
      </c>
      <c r="D5" t="s">
        <v>427</v>
      </c>
      <c r="G5" s="510"/>
    </row>
    <row r="6" spans="1:15">
      <c r="B6" s="1350" t="s">
        <v>12</v>
      </c>
      <c r="C6" s="700">
        <f>'Construction Calculation'!C14</f>
        <v>148344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24724</v>
      </c>
      <c r="D8" t="s">
        <v>427</v>
      </c>
      <c r="G8" s="510"/>
    </row>
    <row r="9" spans="1:15">
      <c r="B9" s="1350" t="s">
        <v>429</v>
      </c>
      <c r="C9" s="700">
        <f>'Construction Calculation'!C47</f>
        <v>76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58786261.054633379</v>
      </c>
      <c r="D20" s="1375">
        <f>MIN(D22,GapCalc!D24)</f>
        <v>58801954.268859804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58801954.268859804</v>
      </c>
      <c r="G22" s="147"/>
    </row>
    <row r="23" spans="1:13">
      <c r="A23" s="1430" t="s">
        <v>438</v>
      </c>
      <c r="B23" s="1370"/>
      <c r="C23" s="1370" t="s">
        <v>68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-4373913.9999999795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4373914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74475561.599999994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63006102.770676836</v>
      </c>
      <c r="D30" s="1376">
        <f>-PV($C$24/12,$C$29*12,C27/12)</f>
        <v>63006102.770676836</v>
      </c>
      <c r="E30" s="1384"/>
      <c r="F30" t="s">
        <v>437</v>
      </c>
      <c r="G30" s="1381"/>
      <c r="H30" s="1376">
        <f>PV(G23,G29,-'Cash Flow'!E41*H28,)</f>
        <v>7051351.5945955003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4373914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1038</v>
      </c>
      <c r="E38" s="1391">
        <f>C37*GapCalc!D24</f>
        <v>72371636.02321206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71936728.037089825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311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314</v>
      </c>
      <c r="C19" s="1713" t="s">
        <v>1104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5248696.8</v>
      </c>
      <c r="F21" s="95">
        <f t="shared" si="8"/>
        <v>5371934.2199999997</v>
      </c>
      <c r="G21" s="95">
        <f t="shared" si="8"/>
        <v>5497933.3754999992</v>
      </c>
      <c r="H21" s="95">
        <f t="shared" si="8"/>
        <v>5626752.1378874993</v>
      </c>
      <c r="I21" s="95">
        <f t="shared" si="8"/>
        <v>5758449.4343146859</v>
      </c>
      <c r="J21" s="95">
        <f t="shared" si="8"/>
        <v>5893085.2604068518</v>
      </c>
      <c r="K21" s="95">
        <f t="shared" si="8"/>
        <v>6030720.6928095231</v>
      </c>
      <c r="L21" s="95">
        <f t="shared" si="8"/>
        <v>6171417.9015534986</v>
      </c>
      <c r="M21" s="95">
        <f t="shared" si="8"/>
        <v>6315240.1622159043</v>
      </c>
      <c r="N21" s="95">
        <f t="shared" si="8"/>
        <v>6462251.8678541947</v>
      </c>
      <c r="O21" s="95">
        <f t="shared" si="8"/>
        <v>6612518.5406888453</v>
      </c>
      <c r="P21" s="95">
        <f t="shared" si="8"/>
        <v>6766106.8435092</v>
      </c>
      <c r="Q21" s="95">
        <f t="shared" si="8"/>
        <v>6923084.5907756733</v>
      </c>
      <c r="R21" s="95">
        <f t="shared" si="8"/>
        <v>7083520.7593900654</v>
      </c>
      <c r="S21" s="96">
        <f t="shared" si="8"/>
        <v>7247485.4991043946</v>
      </c>
      <c r="T21" s="95">
        <f t="shared" si="8"/>
        <v>7415050.1425371133</v>
      </c>
      <c r="U21" s="95">
        <f t="shared" si="8"/>
        <v>7586287.2147640828</v>
      </c>
      <c r="V21" s="95">
        <f t="shared" si="8"/>
        <v>7761270.4424499469</v>
      </c>
      <c r="W21" s="95">
        <f t="shared" si="8"/>
        <v>7940074.7624840466</v>
      </c>
      <c r="X21" s="95">
        <f t="shared" si="8"/>
        <v>8122776.3300830461</v>
      </c>
      <c r="Y21" s="95">
        <f t="shared" si="8"/>
        <v>8309452.5263208142</v>
      </c>
      <c r="Z21" s="95">
        <f t="shared" si="8"/>
        <v>8500181.9650440253</v>
      </c>
      <c r="AA21" s="95">
        <f t="shared" si="8"/>
        <v>8695044.4991301</v>
      </c>
      <c r="AB21" s="95">
        <f t="shared" si="8"/>
        <v>8894121.2260419242</v>
      </c>
      <c r="AC21" s="95">
        <f t="shared" si="8"/>
        <v>9097494.4926317185</v>
      </c>
      <c r="AD21" s="95">
        <f t="shared" si="8"/>
        <v>9305247.8991441131</v>
      </c>
      <c r="AE21" s="95">
        <f t="shared" si="8"/>
        <v>9517466.3023662008</v>
      </c>
      <c r="AF21" s="95">
        <f t="shared" si="8"/>
        <v>9734235.8178698607</v>
      </c>
      <c r="AG21" s="95">
        <f t="shared" si="8"/>
        <v>9955643.8212891705</v>
      </c>
      <c r="AH21" s="95">
        <f t="shared" si="8"/>
        <v>10181778.948573003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-4373914</v>
      </c>
      <c r="F22" s="95">
        <f t="shared" ref="F22:AH22" si="9">$E$22</f>
        <v>-4373914</v>
      </c>
      <c r="G22" s="95">
        <f t="shared" si="9"/>
        <v>-4373914</v>
      </c>
      <c r="H22" s="95">
        <f t="shared" si="9"/>
        <v>-4373914</v>
      </c>
      <c r="I22" s="95">
        <f t="shared" si="9"/>
        <v>-4373914</v>
      </c>
      <c r="J22" s="95">
        <f t="shared" si="9"/>
        <v>-4373914</v>
      </c>
      <c r="K22" s="95">
        <f t="shared" si="9"/>
        <v>-4373914</v>
      </c>
      <c r="L22" s="95">
        <f t="shared" si="9"/>
        <v>-4373914</v>
      </c>
      <c r="M22" s="95">
        <f t="shared" si="9"/>
        <v>-4373914</v>
      </c>
      <c r="N22" s="95">
        <f t="shared" si="9"/>
        <v>-4373914</v>
      </c>
      <c r="O22" s="95">
        <f t="shared" si="9"/>
        <v>-4373914</v>
      </c>
      <c r="P22" s="95">
        <f t="shared" si="9"/>
        <v>-4373914</v>
      </c>
      <c r="Q22" s="95">
        <f t="shared" si="9"/>
        <v>-4373914</v>
      </c>
      <c r="R22" s="95">
        <f t="shared" si="9"/>
        <v>-4373914</v>
      </c>
      <c r="S22" s="96">
        <f t="shared" si="9"/>
        <v>-4373914</v>
      </c>
      <c r="T22" s="95">
        <f t="shared" si="9"/>
        <v>-4373914</v>
      </c>
      <c r="U22" s="95">
        <f t="shared" si="9"/>
        <v>-4373914</v>
      </c>
      <c r="V22" s="95">
        <f t="shared" si="9"/>
        <v>-4373914</v>
      </c>
      <c r="W22" s="95">
        <f t="shared" si="9"/>
        <v>-4373914</v>
      </c>
      <c r="X22" s="95">
        <f t="shared" si="9"/>
        <v>-4373914</v>
      </c>
      <c r="Y22" s="95">
        <f t="shared" si="9"/>
        <v>-4373914</v>
      </c>
      <c r="Z22" s="95">
        <f t="shared" si="9"/>
        <v>-4373914</v>
      </c>
      <c r="AA22" s="95">
        <f t="shared" si="9"/>
        <v>-4373914</v>
      </c>
      <c r="AB22" s="95">
        <f t="shared" si="9"/>
        <v>-4373914</v>
      </c>
      <c r="AC22" s="95">
        <f t="shared" si="9"/>
        <v>-4373914</v>
      </c>
      <c r="AD22" s="95">
        <f t="shared" si="9"/>
        <v>-4373914</v>
      </c>
      <c r="AE22" s="95">
        <f t="shared" si="9"/>
        <v>-4373914</v>
      </c>
      <c r="AF22" s="95">
        <f t="shared" si="9"/>
        <v>-4373914</v>
      </c>
      <c r="AG22" s="95">
        <f t="shared" si="9"/>
        <v>-4373914</v>
      </c>
      <c r="AH22" s="95">
        <f t="shared" si="9"/>
        <v>-4373914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874782.79999999981</v>
      </c>
      <c r="F25" s="119">
        <f t="shared" ref="F25:AH25" si="11">+F21+F22+F23</f>
        <v>998020.21999999974</v>
      </c>
      <c r="G25" s="119">
        <f t="shared" si="11"/>
        <v>1124019.3754999992</v>
      </c>
      <c r="H25" s="119">
        <f t="shared" si="11"/>
        <v>1252838.1378874993</v>
      </c>
      <c r="I25" s="119">
        <f t="shared" si="11"/>
        <v>1384535.4343146859</v>
      </c>
      <c r="J25" s="119">
        <f t="shared" si="11"/>
        <v>1519171.2604068518</v>
      </c>
      <c r="K25" s="119">
        <f t="shared" si="11"/>
        <v>1656806.6928095231</v>
      </c>
      <c r="L25" s="119">
        <f t="shared" si="11"/>
        <v>1797503.9015534986</v>
      </c>
      <c r="M25" s="119">
        <f t="shared" si="11"/>
        <v>1941326.1622159043</v>
      </c>
      <c r="N25" s="119">
        <f t="shared" si="11"/>
        <v>2088337.8678541947</v>
      </c>
      <c r="O25" s="119">
        <f t="shared" si="11"/>
        <v>2238604.5406888453</v>
      </c>
      <c r="P25" s="119">
        <f t="shared" si="11"/>
        <v>2392192.8435092</v>
      </c>
      <c r="Q25" s="119">
        <f t="shared" si="11"/>
        <v>2549170.5907756733</v>
      </c>
      <c r="R25" s="119">
        <f t="shared" si="11"/>
        <v>2709606.7593900654</v>
      </c>
      <c r="S25" s="160">
        <f t="shared" si="11"/>
        <v>2873571.4991043946</v>
      </c>
      <c r="T25" s="119">
        <f t="shared" si="11"/>
        <v>3041136.1425371133</v>
      </c>
      <c r="U25" s="119">
        <f t="shared" si="11"/>
        <v>3212373.2147640828</v>
      </c>
      <c r="V25" s="119">
        <f t="shared" si="11"/>
        <v>3387356.4424499469</v>
      </c>
      <c r="W25" s="119">
        <f t="shared" si="11"/>
        <v>3566160.7624840466</v>
      </c>
      <c r="X25" s="119">
        <f t="shared" si="11"/>
        <v>3748862.3300830461</v>
      </c>
      <c r="Y25" s="119">
        <f t="shared" si="11"/>
        <v>3935538.5263208142</v>
      </c>
      <c r="Z25" s="119">
        <f t="shared" si="11"/>
        <v>4126267.9650440253</v>
      </c>
      <c r="AA25" s="119">
        <f t="shared" si="11"/>
        <v>4321130.4991301</v>
      </c>
      <c r="AB25" s="119">
        <f t="shared" si="11"/>
        <v>4520207.2260419242</v>
      </c>
      <c r="AC25" s="119">
        <f t="shared" si="11"/>
        <v>4723580.4926317185</v>
      </c>
      <c r="AD25" s="119">
        <f t="shared" si="11"/>
        <v>4931333.8991441131</v>
      </c>
      <c r="AE25" s="119">
        <f t="shared" si="11"/>
        <v>5143552.3023662008</v>
      </c>
      <c r="AF25" s="119">
        <f t="shared" si="11"/>
        <v>5360321.8178698607</v>
      </c>
      <c r="AG25" s="119">
        <f t="shared" si="11"/>
        <v>5581729.8212891705</v>
      </c>
      <c r="AH25" s="119">
        <f t="shared" si="11"/>
        <v>5807864.9485730026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1.2281755471186675</v>
      </c>
      <c r="G27" s="122">
        <f t="shared" si="12"/>
        <v>1.2569825048000485</v>
      </c>
      <c r="H27" s="122">
        <f t="shared" si="12"/>
        <v>1.2864341040741769</v>
      </c>
      <c r="I27" s="122">
        <f t="shared" si="12"/>
        <v>1.3165438173486461</v>
      </c>
      <c r="J27" s="122">
        <f t="shared" si="12"/>
        <v>1.3473253613141118</v>
      </c>
      <c r="K27" s="122">
        <f t="shared" si="12"/>
        <v>1.3787926998129187</v>
      </c>
      <c r="L27" s="122">
        <f t="shared" si="12"/>
        <v>1.4109600466660979</v>
      </c>
      <c r="M27" s="122">
        <f t="shared" si="12"/>
        <v>1.4438418684537246</v>
      </c>
      <c r="N27" s="122">
        <f t="shared" si="12"/>
        <v>1.4774528872433694</v>
      </c>
      <c r="O27" s="122">
        <f t="shared" si="12"/>
        <v>1.5118080832610896</v>
      </c>
      <c r="P27" s="122">
        <f t="shared" si="12"/>
        <v>1.5469226974991277</v>
      </c>
      <c r="Q27" s="122">
        <f t="shared" si="12"/>
        <v>1.5828122342541882</v>
      </c>
      <c r="R27" s="122">
        <f t="shared" si="12"/>
        <v>1.619492463589834</v>
      </c>
      <c r="S27" s="161">
        <f t="shared" si="12"/>
        <v>1.6569794237162401</v>
      </c>
      <c r="T27" s="122">
        <f t="shared" si="12"/>
        <v>1.6952894232801818</v>
      </c>
      <c r="U27" s="122">
        <f t="shared" si="12"/>
        <v>1.7344390435578025</v>
      </c>
      <c r="V27" s="122">
        <f t="shared" si="12"/>
        <v>1.774445140542303</v>
      </c>
      <c r="W27" s="122">
        <f t="shared" si="12"/>
        <v>1.8153248469183543</v>
      </c>
      <c r="X27" s="122">
        <f t="shared" si="12"/>
        <v>1.8570955739145869</v>
      </c>
      <c r="Y27" s="122">
        <f t="shared" si="12"/>
        <v>1.8997750130251336</v>
      </c>
      <c r="Z27" s="122">
        <f t="shared" si="12"/>
        <v>1.9433811375907313</v>
      </c>
      <c r="AA27" s="122">
        <f t="shared" si="12"/>
        <v>1.9879322042294614</v>
      </c>
      <c r="AB27" s="122">
        <f t="shared" si="12"/>
        <v>2.0334467541067163</v>
      </c>
      <c r="AC27" s="122">
        <f t="shared" si="12"/>
        <v>2.0799436140334993</v>
      </c>
      <c r="AD27" s="122">
        <f t="shared" si="12"/>
        <v>2.1274418973816389</v>
      </c>
      <c r="AE27" s="122">
        <f t="shared" si="12"/>
        <v>2.1759610048039812</v>
      </c>
      <c r="AF27" s="122">
        <f t="shared" si="12"/>
        <v>2.2255206247470483</v>
      </c>
      <c r="AG27" s="122">
        <f t="shared" si="12"/>
        <v>2.2761407337430892</v>
      </c>
      <c r="AH27" s="122">
        <f t="shared" si="12"/>
        <v>2.3278415964678323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874782.79999999981</v>
      </c>
      <c r="F41" s="129">
        <f t="shared" ref="F41:S41" si="20">F25+F37</f>
        <v>998020.21999999974</v>
      </c>
      <c r="G41" s="129">
        <f t="shared" si="20"/>
        <v>1124019.3754999992</v>
      </c>
      <c r="H41" s="129">
        <f t="shared" si="20"/>
        <v>1252838.1378874993</v>
      </c>
      <c r="I41" s="129">
        <f t="shared" si="20"/>
        <v>1384535.4343146859</v>
      </c>
      <c r="J41" s="129">
        <f t="shared" si="20"/>
        <v>1519171.2604068518</v>
      </c>
      <c r="K41" s="129">
        <f t="shared" si="20"/>
        <v>1656806.6928095231</v>
      </c>
      <c r="L41" s="129">
        <f t="shared" si="20"/>
        <v>1797503.9015534986</v>
      </c>
      <c r="M41" s="129">
        <f t="shared" si="20"/>
        <v>1941326.1622159043</v>
      </c>
      <c r="N41" s="129">
        <f t="shared" si="20"/>
        <v>2088337.8678541947</v>
      </c>
      <c r="O41" s="129">
        <f t="shared" si="20"/>
        <v>2238604.5406888453</v>
      </c>
      <c r="P41" s="129">
        <f t="shared" si="20"/>
        <v>2392192.8435092</v>
      </c>
      <c r="Q41" s="129">
        <f t="shared" si="20"/>
        <v>2549170.5907756733</v>
      </c>
      <c r="R41" s="129">
        <f t="shared" si="20"/>
        <v>2709606.7593900654</v>
      </c>
      <c r="S41" s="130">
        <f t="shared" si="20"/>
        <v>2873571.4991043946</v>
      </c>
      <c r="T41" s="130">
        <f t="shared" ref="T41:AH41" si="21">T25+T37</f>
        <v>3041136.1425371133</v>
      </c>
      <c r="U41" s="130">
        <f t="shared" si="21"/>
        <v>3212373.2147640828</v>
      </c>
      <c r="V41" s="130">
        <f t="shared" si="21"/>
        <v>3387356.4424499469</v>
      </c>
      <c r="W41" s="130">
        <f t="shared" si="21"/>
        <v>3566160.7624840466</v>
      </c>
      <c r="X41" s="130">
        <f t="shared" si="21"/>
        <v>3748862.3300830461</v>
      </c>
      <c r="Y41" s="130">
        <f t="shared" si="21"/>
        <v>3935538.5263208142</v>
      </c>
      <c r="Z41" s="130">
        <f t="shared" si="21"/>
        <v>4126267.9650440253</v>
      </c>
      <c r="AA41" s="130">
        <f t="shared" si="21"/>
        <v>4321130.4991301</v>
      </c>
      <c r="AB41" s="130">
        <f t="shared" si="21"/>
        <v>4520207.2260419242</v>
      </c>
      <c r="AC41" s="130">
        <f t="shared" si="21"/>
        <v>4723580.4926317185</v>
      </c>
      <c r="AD41" s="130">
        <f t="shared" si="21"/>
        <v>4931333.8991441131</v>
      </c>
      <c r="AE41" s="130">
        <f t="shared" si="21"/>
        <v>5143552.3023662008</v>
      </c>
      <c r="AF41" s="130">
        <f t="shared" si="21"/>
        <v>5360321.8178698607</v>
      </c>
      <c r="AG41" s="130">
        <f t="shared" si="21"/>
        <v>5581729.8212891705</v>
      </c>
      <c r="AH41" s="130">
        <f t="shared" si="21"/>
        <v>5807864.9485730026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743565.37999999977</v>
      </c>
      <c r="F42" s="129">
        <f t="shared" ref="F42:S42" si="22">((F41*$C$42))</f>
        <v>848317.1869999998</v>
      </c>
      <c r="G42" s="129">
        <f t="shared" si="22"/>
        <v>955416.46917499928</v>
      </c>
      <c r="H42" s="129">
        <f t="shared" si="22"/>
        <v>1064912.4172043744</v>
      </c>
      <c r="I42" s="129">
        <f t="shared" si="22"/>
        <v>1176855.1191674829</v>
      </c>
      <c r="J42" s="129">
        <f t="shared" si="22"/>
        <v>1291295.571345824</v>
      </c>
      <c r="K42" s="129">
        <f t="shared" si="22"/>
        <v>1408285.6888880946</v>
      </c>
      <c r="L42" s="129">
        <f t="shared" si="22"/>
        <v>1527878.3163204738</v>
      </c>
      <c r="M42" s="129">
        <f t="shared" si="22"/>
        <v>1650127.2378835187</v>
      </c>
      <c r="N42" s="129">
        <f t="shared" si="22"/>
        <v>1775087.1876760654</v>
      </c>
      <c r="O42" s="129">
        <f t="shared" si="22"/>
        <v>1902813.8595855185</v>
      </c>
      <c r="P42" s="129">
        <f t="shared" si="22"/>
        <v>2033363.91698282</v>
      </c>
      <c r="Q42" s="129">
        <f t="shared" si="22"/>
        <v>2166795.0021593221</v>
      </c>
      <c r="R42" s="129">
        <f t="shared" si="22"/>
        <v>2303165.7454815554</v>
      </c>
      <c r="S42" s="129">
        <f t="shared" si="22"/>
        <v>2442535.7742387354</v>
      </c>
      <c r="T42" s="129">
        <f t="shared" ref="T42:AH42" si="23">((T41*$C$42))</f>
        <v>2584965.7211565464</v>
      </c>
      <c r="U42" s="129">
        <f t="shared" si="23"/>
        <v>2730517.2325494704</v>
      </c>
      <c r="V42" s="129">
        <f t="shared" si="23"/>
        <v>2879252.9760824549</v>
      </c>
      <c r="W42" s="129">
        <f t="shared" si="23"/>
        <v>3031236.6481114398</v>
      </c>
      <c r="X42" s="129">
        <f t="shared" si="23"/>
        <v>3186532.9805705892</v>
      </c>
      <c r="Y42" s="129">
        <f t="shared" si="23"/>
        <v>3345207.747372692</v>
      </c>
      <c r="Z42" s="129">
        <f t="shared" si="23"/>
        <v>3507327.7702874215</v>
      </c>
      <c r="AA42" s="129">
        <f t="shared" si="23"/>
        <v>3672960.9242605851</v>
      </c>
      <c r="AB42" s="129">
        <f t="shared" si="23"/>
        <v>3842176.1421356355</v>
      </c>
      <c r="AC42" s="129">
        <f t="shared" si="23"/>
        <v>4015043.4187369607</v>
      </c>
      <c r="AD42" s="129">
        <f t="shared" si="23"/>
        <v>4191633.8142724959</v>
      </c>
      <c r="AE42" s="129">
        <f t="shared" si="23"/>
        <v>4372019.4570112703</v>
      </c>
      <c r="AF42" s="129">
        <f t="shared" si="23"/>
        <v>4556273.5451893816</v>
      </c>
      <c r="AG42" s="129">
        <f t="shared" si="23"/>
        <v>4744470.3480957951</v>
      </c>
      <c r="AH42" s="129">
        <f t="shared" si="23"/>
        <v>4936685.2062870525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131217.41999999995</v>
      </c>
      <c r="F43" s="108">
        <f t="shared" ref="F43:S43" si="24">$C$43*(F41)</f>
        <v>149703.03299999997</v>
      </c>
      <c r="G43" s="108">
        <f t="shared" si="24"/>
        <v>168602.90632499987</v>
      </c>
      <c r="H43" s="108">
        <f t="shared" si="24"/>
        <v>187925.72068312488</v>
      </c>
      <c r="I43" s="108">
        <f t="shared" si="24"/>
        <v>207680.31514720287</v>
      </c>
      <c r="J43" s="108">
        <f t="shared" si="24"/>
        <v>227875.68906102775</v>
      </c>
      <c r="K43" s="108">
        <f t="shared" si="24"/>
        <v>248521.00392142846</v>
      </c>
      <c r="L43" s="108">
        <f t="shared" si="24"/>
        <v>269625.58523302479</v>
      </c>
      <c r="M43" s="108">
        <f t="shared" si="24"/>
        <v>291198.92433238565</v>
      </c>
      <c r="N43" s="108">
        <f t="shared" si="24"/>
        <v>313250.68017812917</v>
      </c>
      <c r="O43" s="108">
        <f t="shared" si="24"/>
        <v>335790.68110332679</v>
      </c>
      <c r="P43" s="108">
        <f t="shared" si="24"/>
        <v>358828.92652638</v>
      </c>
      <c r="Q43" s="108">
        <f t="shared" si="24"/>
        <v>382375.58861635096</v>
      </c>
      <c r="R43" s="108">
        <f t="shared" si="24"/>
        <v>406441.01390850981</v>
      </c>
      <c r="S43" s="108">
        <f t="shared" si="24"/>
        <v>431035.7248656592</v>
      </c>
      <c r="T43" s="108">
        <f t="shared" ref="T43:AH43" si="25">$C$43*(T41)</f>
        <v>456170.42138056696</v>
      </c>
      <c r="U43" s="108">
        <f t="shared" si="25"/>
        <v>481855.98221461242</v>
      </c>
      <c r="V43" s="108">
        <f t="shared" si="25"/>
        <v>508103.46636749199</v>
      </c>
      <c r="W43" s="108">
        <f t="shared" si="25"/>
        <v>534924.11437260697</v>
      </c>
      <c r="X43" s="108">
        <f t="shared" si="25"/>
        <v>562329.34951245692</v>
      </c>
      <c r="Y43" s="108">
        <f t="shared" si="25"/>
        <v>590330.77894812205</v>
      </c>
      <c r="Z43" s="108">
        <f t="shared" si="25"/>
        <v>618940.1947566038</v>
      </c>
      <c r="AA43" s="108">
        <f t="shared" si="25"/>
        <v>648169.57486951503</v>
      </c>
      <c r="AB43" s="108">
        <f t="shared" si="25"/>
        <v>678031.08390628861</v>
      </c>
      <c r="AC43" s="108">
        <f t="shared" si="25"/>
        <v>708537.07389475778</v>
      </c>
      <c r="AD43" s="108">
        <f t="shared" si="25"/>
        <v>739700.08487161691</v>
      </c>
      <c r="AE43" s="108">
        <f t="shared" si="25"/>
        <v>771532.84535493015</v>
      </c>
      <c r="AF43" s="108">
        <f t="shared" si="25"/>
        <v>804048.2726804791</v>
      </c>
      <c r="AG43" s="108">
        <f t="shared" si="25"/>
        <v>837259.47319337551</v>
      </c>
      <c r="AH43" s="108">
        <f t="shared" si="25"/>
        <v>871179.74228595034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3.2487752055205966E-2</v>
      </c>
      <c r="F47" s="142">
        <f>F41/GapCalc!$H$33</f>
        <v>3.7064552999261202E-2</v>
      </c>
      <c r="G47" s="142">
        <f>G41/GapCalc!$H$33</f>
        <v>4.174391949234877E-2</v>
      </c>
      <c r="H47" s="142">
        <f>H41/GapCalc!$H$33</f>
        <v>4.6528000766584608E-2</v>
      </c>
      <c r="I47" s="142">
        <f>I41/GapCalc!$H$33</f>
        <v>5.1418985263156101E-2</v>
      </c>
      <c r="J47" s="142">
        <f>J41/GapCalc!$H$33</f>
        <v>5.6419101104288459E-2</v>
      </c>
      <c r="K47" s="142">
        <f>K41/GapCalc!$H$33</f>
        <v>6.1530616559220867E-2</v>
      </c>
      <c r="L47" s="142">
        <f>L41/GapCalc!$H$33</f>
        <v>6.6755840503420316E-2</v>
      </c>
      <c r="M47" s="142">
        <f>M41/GapCalc!$H$33</f>
        <v>7.2097122870219757E-2</v>
      </c>
      <c r="N47" s="142">
        <f>N41/GapCalc!$H$33</f>
        <v>7.7556855094024005E-2</v>
      </c>
      <c r="O47" s="142">
        <f>O41/GapCalc!$H$33</f>
        <v>8.3137470544182468E-2</v>
      </c>
      <c r="P47" s="142">
        <f>P41/GapCalc!$H$33</f>
        <v>8.8841444948580428E-2</v>
      </c>
      <c r="Q47" s="142">
        <f>Q41/GapCalc!$H$33</f>
        <v>9.4671296805953445E-2</v>
      </c>
      <c r="R47" s="142">
        <f>R41/GapCalc!$H$33</f>
        <v>0.10062958778587622</v>
      </c>
      <c r="S47" s="142">
        <f>S41/GapCalc!$H$33</f>
        <v>0.10671892311532657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2.7614589246925069E-2</v>
      </c>
      <c r="F48" s="142">
        <f>F43/GapCalc!$H$32</f>
        <v>3.1504870049372018E-2</v>
      </c>
      <c r="G48" s="142">
        <f>G43/GapCalc!$H$32</f>
        <v>3.548233156849645E-2</v>
      </c>
      <c r="H48" s="142">
        <f>H43/GapCalc!$H$32</f>
        <v>3.954880065159691E-2</v>
      </c>
      <c r="I48" s="142">
        <f>I43/GapCalc!$H$32</f>
        <v>4.3706137473682682E-2</v>
      </c>
      <c r="J48" s="142">
        <f>J43/GapCalc!$H$32</f>
        <v>4.7956235938645182E-2</v>
      </c>
      <c r="K48" s="142">
        <f>K43/GapCalc!$H$32</f>
        <v>5.2301024075337738E-2</v>
      </c>
      <c r="L48" s="142">
        <f>L43/GapCalc!$H$32</f>
        <v>5.6742464427907265E-2</v>
      </c>
      <c r="M48" s="142">
        <f>M43/GapCalc!$H$32</f>
        <v>6.128255443968679E-2</v>
      </c>
      <c r="N48" s="142">
        <f>N43/GapCalc!$H$32</f>
        <v>6.5923326829920387E-2</v>
      </c>
      <c r="O48" s="142">
        <f>O43/GapCalc!$H$32</f>
        <v>7.0666849962555095E-2</v>
      </c>
      <c r="P48" s="142">
        <f>P43/GapCalc!$H$32</f>
        <v>7.5515228206293361E-2</v>
      </c>
      <c r="Q48" s="142">
        <f>Q43/GapCalc!$H$32</f>
        <v>8.0470602285060408E-2</v>
      </c>
      <c r="R48" s="142">
        <f>R43/GapCalc!$H$32</f>
        <v>8.5535149617994785E-2</v>
      </c>
      <c r="S48" s="142">
        <f>S43/GapCalc!$H$32</f>
        <v>9.0711084648027587E-2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25485360.140550539</v>
      </c>
      <c r="D66" s="1544"/>
      <c r="E66" s="1564" t="s">
        <v>284</v>
      </c>
      <c r="G66" s="1520" t="s">
        <v>1072</v>
      </c>
      <c r="H66" s="1565">
        <f>H70/1.63</f>
        <v>4497416.495391272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7488647.8327807747</v>
      </c>
      <c r="D67" s="1545" t="s">
        <v>68</v>
      </c>
      <c r="G67" s="1521" t="s">
        <v>1073</v>
      </c>
      <c r="H67" s="1560">
        <f>SUMIFS(E43:AH43, E50:AH50, "&lt;=" &amp; VALUE(RIGHT(E66, LEN(E66)-FIND(" ", E66))))</f>
        <v>1321526.0881377838</v>
      </c>
      <c r="I67" s="1545" t="s">
        <v>68</v>
      </c>
    </row>
    <row r="68" spans="2:10">
      <c r="B68" s="1521" t="s">
        <v>1077</v>
      </c>
      <c r="C68" s="1568">
        <f>IF(GapCalc!D41*C42&lt; 0,0,GapCalc!D41*C42)</f>
        <v>3586865.4586369386</v>
      </c>
      <c r="D68" s="1545" t="s">
        <v>68</v>
      </c>
      <c r="G68" s="1521" t="s">
        <v>1078</v>
      </c>
      <c r="H68" s="1568">
        <f>IF(GapCalc!D41*C43&lt; 0,0,GapCalc!D41*C43)</f>
        <v>632976.25740651856</v>
      </c>
      <c r="I68" s="1545" t="s">
        <v>68</v>
      </c>
    </row>
    <row r="69" spans="2:10">
      <c r="B69" s="1521" t="s">
        <v>1058</v>
      </c>
      <c r="C69" s="1568">
        <f>'Debt Calc'!E60</f>
        <v>30465623.737679664</v>
      </c>
      <c r="D69" s="1546">
        <v>0.9</v>
      </c>
      <c r="G69" s="1521" t="s">
        <v>1074</v>
      </c>
      <c r="H69" s="1568">
        <f>'Debt Calc'!E59*C43</f>
        <v>5376286.54194347</v>
      </c>
      <c r="I69" s="1546">
        <v>0.9</v>
      </c>
    </row>
    <row r="70" spans="2:10">
      <c r="B70" s="1523" t="s">
        <v>1041</v>
      </c>
      <c r="C70" s="1577">
        <f>C67+C68+C69</f>
        <v>41541137.029097378</v>
      </c>
      <c r="D70" s="1545" t="s">
        <v>68</v>
      </c>
      <c r="G70" s="1523" t="s">
        <v>1041</v>
      </c>
      <c r="H70" s="1577">
        <f>H67+H68+H69</f>
        <v>7330788.8874877729</v>
      </c>
      <c r="I70" s="1545" t="s">
        <v>68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0.63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0.09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26926541.378224447</v>
      </c>
      <c r="D74" s="1549"/>
      <c r="F74" s="1559"/>
      <c r="G74" s="1578" t="s">
        <v>1081</v>
      </c>
      <c r="H74" s="1581">
        <f>GapCalc!H32</f>
        <v>4751742.5961572556</v>
      </c>
      <c r="I74" s="1549"/>
    </row>
    <row r="75" spans="2:10">
      <c r="B75" s="70" t="s">
        <v>1080</v>
      </c>
      <c r="C75" s="1579">
        <f>(C70-C74)/C74</f>
        <v>0.54275799649084477</v>
      </c>
      <c r="G75" s="70" t="s">
        <v>1080</v>
      </c>
      <c r="H75" s="1579">
        <f>(H70-H74)/H74</f>
        <v>0.54275799649084477</v>
      </c>
    </row>
    <row r="76" spans="2:10">
      <c r="B76" s="70" t="s">
        <v>1044</v>
      </c>
      <c r="C76" s="1579">
        <f>C75/7</f>
        <v>7.7536856641549259E-2</v>
      </c>
      <c r="G76" s="70" t="s">
        <v>1044</v>
      </c>
      <c r="H76" s="1579">
        <f>H75/7</f>
        <v>7.7536856641549259E-2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8904781.1296098717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12441740.574660832</v>
      </c>
      <c r="D81" s="1545" t="s">
        <v>68</v>
      </c>
    </row>
    <row r="82" spans="2:10">
      <c r="B82" s="1521" t="s">
        <v>1058</v>
      </c>
      <c r="C82" s="1568">
        <f>C68</f>
        <v>3586865.4586369386</v>
      </c>
      <c r="D82" s="1545" t="s">
        <v>68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16028606.03329777</v>
      </c>
      <c r="D84" s="1545" t="s">
        <v>68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36458185.54629384</v>
      </c>
      <c r="D93" s="1544"/>
      <c r="E93" s="1564" t="s">
        <v>287</v>
      </c>
      <c r="G93" s="1520" t="s">
        <v>1072</v>
      </c>
      <c r="H93" s="1565">
        <f>H97/1.63</f>
        <v>5033658.9430866949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12441740.574660832</v>
      </c>
      <c r="D94" s="1545" t="s">
        <v>68</v>
      </c>
      <c r="G94" s="1521" t="s">
        <v>1073</v>
      </c>
      <c r="H94" s="1560">
        <f>SUMIFS(E43:AH43, E50:AH50, "&lt;=" &amp; VALUE(RIGHT(J93, LEN(J93)-FIND(" ", J93))))</f>
        <v>2195601.2778813234</v>
      </c>
      <c r="I94" s="1545" t="s">
        <v>68</v>
      </c>
    </row>
    <row r="95" spans="2:10">
      <c r="B95" s="1521" t="s">
        <v>1077</v>
      </c>
      <c r="C95" s="1568">
        <f>IF(GapCalc!D41*C42&lt; 0,0,GapCalc!D41*C42)</f>
        <v>3586865.4586369386</v>
      </c>
      <c r="D95" s="1545" t="s">
        <v>68</v>
      </c>
      <c r="G95" s="1521" t="s">
        <v>1078</v>
      </c>
      <c r="H95" s="1568">
        <f>IF(GapCalc!D41*C43&lt; 0,0,GapCalc!D41*C43)</f>
        <v>632976.25740651856</v>
      </c>
      <c r="I95" s="1545" t="s">
        <v>68</v>
      </c>
    </row>
    <row r="96" spans="2:10">
      <c r="B96" s="1521" t="s">
        <v>1058</v>
      </c>
      <c r="C96" s="1568">
        <f>'Debt Calc'!H60</f>
        <v>43398236.407161184</v>
      </c>
      <c r="D96" s="1546">
        <v>0.9</v>
      </c>
      <c r="G96" s="1521" t="s">
        <v>1074</v>
      </c>
      <c r="H96" s="1568">
        <f>'Debt Calc'!E59*C43</f>
        <v>5376286.54194347</v>
      </c>
      <c r="I96" s="1546">
        <v>0.9</v>
      </c>
    </row>
    <row r="97" spans="2:9">
      <c r="B97" s="1523" t="s">
        <v>1041</v>
      </c>
      <c r="C97" s="1577">
        <f>C94+C95+C96</f>
        <v>59426842.440458953</v>
      </c>
      <c r="D97" s="1545" t="s">
        <v>68</v>
      </c>
      <c r="G97" s="1523" t="s">
        <v>1041</v>
      </c>
      <c r="H97" s="1577">
        <f>H94+H95+H96</f>
        <v>8204864.0772313122</v>
      </c>
      <c r="I97" s="1545" t="s">
        <v>68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26926541.378224447</v>
      </c>
      <c r="D101" s="1549"/>
      <c r="G101" s="1578" t="s">
        <v>1081</v>
      </c>
      <c r="H101" s="1581">
        <f>GapCalc!H32</f>
        <v>4751742.5961572556</v>
      </c>
      <c r="I101" s="1549"/>
    </row>
    <row r="102" spans="2:9">
      <c r="B102" s="70" t="s">
        <v>1080</v>
      </c>
      <c r="C102" s="1579">
        <f>(C97-C101)/C101</f>
        <v>1.2069987231452448</v>
      </c>
      <c r="G102" s="70" t="s">
        <v>1080</v>
      </c>
      <c r="H102" s="1579">
        <f>(H97-H101)/H101</f>
        <v>0.72670634218835917</v>
      </c>
    </row>
    <row r="103" spans="2:9">
      <c r="B103" s="70" t="s">
        <v>1044</v>
      </c>
      <c r="C103" s="1579">
        <f>C102/10</f>
        <v>0.12069987231452448</v>
      </c>
      <c r="G103" s="70" t="s">
        <v>1044</v>
      </c>
      <c r="H103" s="1579">
        <f>H102/10</f>
        <v>7.2670634218835919E-2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123620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24724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148344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148344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148344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152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76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76</v>
      </c>
      <c r="D49" s="876"/>
      <c r="E49" s="855" t="s">
        <v>576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0</v>
      </c>
      <c r="D55" s="855"/>
      <c r="E55" s="855"/>
      <c r="F55" s="937"/>
      <c r="G55" s="855"/>
      <c r="H55" s="872" t="s">
        <v>684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76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4373914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63006102.770676836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63006100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19266961.923417434</v>
      </c>
    </row>
    <row r="15" spans="2:36">
      <c r="B15" s="556"/>
      <c r="C15" s="560" t="s">
        <v>633</v>
      </c>
      <c r="H15" s="561">
        <f>12*PMT(Data!C24/12,Data!C29*12,-'Debt Calc'!H14)</f>
        <v>4373913.8076582588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-1695042.389939446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-1695042.389939446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63006100</v>
      </c>
      <c r="E21" s="561">
        <f>$H$15</f>
        <v>4373913.8076582588</v>
      </c>
      <c r="F21" s="561">
        <f>E21-G21</f>
        <v>0</v>
      </c>
      <c r="G21" s="561">
        <f>D21-H21</f>
        <v>4373913.8076582551</v>
      </c>
      <c r="H21" s="561">
        <f>D21-E21</f>
        <v>58632186.192341745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58632186.192341745</v>
      </c>
      <c r="E22" s="561">
        <f t="shared" ref="E22:E50" si="1">$H$15</f>
        <v>4373913.8076582588</v>
      </c>
      <c r="F22" s="561">
        <f t="shared" ref="F22:F50" si="2">E22-G22</f>
        <v>0</v>
      </c>
      <c r="G22" s="561">
        <f t="shared" ref="G22:G50" si="3">D22-H22</f>
        <v>4373913.8076582551</v>
      </c>
      <c r="H22" s="561">
        <f t="shared" ref="H22:H39" si="4">D22-E22</f>
        <v>54258272.38468349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54258272.38468349</v>
      </c>
      <c r="E23" s="561">
        <f t="shared" si="1"/>
        <v>4373913.8076582588</v>
      </c>
      <c r="F23" s="561">
        <f t="shared" si="2"/>
        <v>0</v>
      </c>
      <c r="G23" s="561">
        <f t="shared" si="3"/>
        <v>4373913.8076582551</v>
      </c>
      <c r="H23" s="561">
        <f t="shared" si="4"/>
        <v>49884358.577025235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49884358.577025235</v>
      </c>
      <c r="E24" s="561">
        <f t="shared" si="1"/>
        <v>4373913.8076582588</v>
      </c>
      <c r="F24" s="561">
        <f t="shared" si="2"/>
        <v>0</v>
      </c>
      <c r="G24" s="561">
        <f t="shared" si="3"/>
        <v>4373913.8076582551</v>
      </c>
      <c r="H24" s="561">
        <f t="shared" si="4"/>
        <v>45510444.76936698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45510444.76936698</v>
      </c>
      <c r="E25" s="561">
        <f t="shared" si="1"/>
        <v>4373913.8076582588</v>
      </c>
      <c r="F25" s="561">
        <f t="shared" si="2"/>
        <v>0</v>
      </c>
      <c r="G25" s="561">
        <f t="shared" si="3"/>
        <v>4373913.8076582551</v>
      </c>
      <c r="H25" s="561">
        <f t="shared" si="4"/>
        <v>41136530.961708724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41136530.961708724</v>
      </c>
      <c r="E26" s="561">
        <f t="shared" si="1"/>
        <v>4373913.8076582588</v>
      </c>
      <c r="F26" s="561">
        <f t="shared" si="2"/>
        <v>0</v>
      </c>
      <c r="G26" s="561">
        <f t="shared" si="3"/>
        <v>4373913.8076582551</v>
      </c>
      <c r="H26" s="561">
        <f t="shared" si="4"/>
        <v>36762617.154050469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36762617.154050469</v>
      </c>
      <c r="E27" s="561">
        <f t="shared" si="1"/>
        <v>4373913.8076582588</v>
      </c>
      <c r="F27" s="561">
        <f t="shared" si="2"/>
        <v>0</v>
      </c>
      <c r="G27" s="561">
        <f t="shared" si="3"/>
        <v>4373913.8076582588</v>
      </c>
      <c r="H27" s="561">
        <f t="shared" si="4"/>
        <v>32388703.346392211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32388703.346392211</v>
      </c>
      <c r="E28" s="561">
        <f t="shared" si="1"/>
        <v>4373913.8076582588</v>
      </c>
      <c r="F28" s="561">
        <f t="shared" si="2"/>
        <v>0</v>
      </c>
      <c r="G28" s="561">
        <f t="shared" si="3"/>
        <v>4373913.8076582588</v>
      </c>
      <c r="H28" s="561">
        <f t="shared" si="4"/>
        <v>28014789.538733952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28014789.538733952</v>
      </c>
      <c r="E29" s="561">
        <f t="shared" si="1"/>
        <v>4373913.8076582588</v>
      </c>
      <c r="F29" s="561">
        <f t="shared" si="2"/>
        <v>0</v>
      </c>
      <c r="G29" s="561">
        <f t="shared" si="3"/>
        <v>4373913.8076582588</v>
      </c>
      <c r="H29" s="561">
        <f t="shared" si="4"/>
        <v>23640875.731075693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23640875.731075693</v>
      </c>
      <c r="E30" s="561">
        <f t="shared" si="1"/>
        <v>4373913.8076582588</v>
      </c>
      <c r="F30" s="561">
        <f t="shared" si="2"/>
        <v>0</v>
      </c>
      <c r="G30" s="561">
        <f t="shared" si="3"/>
        <v>4373913.8076582588</v>
      </c>
      <c r="H30" s="561">
        <f>D30-E30</f>
        <v>19266961.923417434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19266961.923417434</v>
      </c>
      <c r="E31" s="561">
        <f t="shared" si="1"/>
        <v>4373913.8076582588</v>
      </c>
      <c r="F31" s="561">
        <f t="shared" si="2"/>
        <v>0</v>
      </c>
      <c r="G31" s="561">
        <f t="shared" si="3"/>
        <v>4373913.8076582588</v>
      </c>
      <c r="H31" s="561">
        <f t="shared" si="4"/>
        <v>14893048.115759175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14893048.115759175</v>
      </c>
      <c r="E32" s="561">
        <f t="shared" si="1"/>
        <v>4373913.8076582588</v>
      </c>
      <c r="F32" s="561">
        <f t="shared" si="2"/>
        <v>0</v>
      </c>
      <c r="G32" s="561">
        <f t="shared" si="3"/>
        <v>4373913.8076582588</v>
      </c>
      <c r="H32" s="561">
        <f t="shared" si="4"/>
        <v>10519134.308100916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10519134.308100916</v>
      </c>
      <c r="E33" s="561">
        <f t="shared" si="1"/>
        <v>4373913.8076582588</v>
      </c>
      <c r="F33" s="561">
        <f t="shared" si="2"/>
        <v>0</v>
      </c>
      <c r="G33" s="561">
        <f t="shared" si="3"/>
        <v>4373913.8076582588</v>
      </c>
      <c r="H33" s="561">
        <f t="shared" si="4"/>
        <v>6145220.5004426576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6145220.5004426576</v>
      </c>
      <c r="E34" s="561">
        <f t="shared" si="1"/>
        <v>4373913.8076582588</v>
      </c>
      <c r="F34" s="561">
        <f t="shared" si="2"/>
        <v>0</v>
      </c>
      <c r="G34" s="561">
        <f t="shared" si="3"/>
        <v>4373913.8076582588</v>
      </c>
      <c r="H34" s="561">
        <f t="shared" si="4"/>
        <v>1771306.6927843988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1771306.6927843988</v>
      </c>
      <c r="E35" s="561">
        <f t="shared" si="1"/>
        <v>4373913.8076582588</v>
      </c>
      <c r="F35" s="561">
        <f t="shared" si="2"/>
        <v>0</v>
      </c>
      <c r="G35" s="561">
        <f t="shared" si="3"/>
        <v>4373913.8076582588</v>
      </c>
      <c r="H35" s="561">
        <f t="shared" si="4"/>
        <v>-2602607.11487386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-2602607.11487386</v>
      </c>
      <c r="E36" s="561">
        <f t="shared" si="1"/>
        <v>4373913.8076582588</v>
      </c>
      <c r="F36" s="561">
        <f t="shared" si="2"/>
        <v>0</v>
      </c>
      <c r="G36" s="561">
        <f t="shared" si="3"/>
        <v>4373913.8076582588</v>
      </c>
      <c r="H36" s="561">
        <f t="shared" si="4"/>
        <v>-6976520.9225321189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-6976520.9225321189</v>
      </c>
      <c r="E37" s="561">
        <f t="shared" si="1"/>
        <v>4373913.8076582588</v>
      </c>
      <c r="F37" s="561">
        <f t="shared" si="2"/>
        <v>0</v>
      </c>
      <c r="G37" s="561">
        <f t="shared" si="3"/>
        <v>4373913.8076582588</v>
      </c>
      <c r="H37" s="561">
        <f t="shared" si="4"/>
        <v>-11350434.730190378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-11350434.730190378</v>
      </c>
      <c r="E38" s="561">
        <f t="shared" si="1"/>
        <v>4373913.8076582588</v>
      </c>
      <c r="F38" s="561">
        <f t="shared" si="2"/>
        <v>0</v>
      </c>
      <c r="G38" s="561">
        <f t="shared" si="3"/>
        <v>4373913.8076582588</v>
      </c>
      <c r="H38" s="561">
        <f>D38-E38</f>
        <v>-15724348.537848637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-15724348.537848637</v>
      </c>
      <c r="E39" s="561">
        <f t="shared" si="1"/>
        <v>4373913.8076582588</v>
      </c>
      <c r="F39" s="561">
        <f t="shared" si="2"/>
        <v>0</v>
      </c>
      <c r="G39" s="561">
        <f t="shared" si="3"/>
        <v>4373913.8076582588</v>
      </c>
      <c r="H39" s="561">
        <f t="shared" si="4"/>
        <v>-20098262.345506895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-20098262.345506895</v>
      </c>
      <c r="E40" s="561">
        <f t="shared" si="1"/>
        <v>4373913.8076582588</v>
      </c>
      <c r="F40" s="561">
        <f t="shared" si="2"/>
        <v>24472176.153165154</v>
      </c>
      <c r="G40" s="561">
        <f t="shared" si="3"/>
        <v>-20098262.345506895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4373913.8076582588</v>
      </c>
      <c r="F41" s="561">
        <f t="shared" si="2"/>
        <v>4373913.8076582588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4373913.8076582588</v>
      </c>
      <c r="F42" s="561">
        <f t="shared" si="2"/>
        <v>4373913.8076582588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4373913.8076582588</v>
      </c>
      <c r="F43" s="561">
        <f t="shared" si="2"/>
        <v>4373913.8076582588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4373913.8076582588</v>
      </c>
      <c r="F44" s="561">
        <f t="shared" si="2"/>
        <v>4373913.8076582588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4373913.8076582588</v>
      </c>
      <c r="F45" s="561">
        <f t="shared" si="2"/>
        <v>4373913.8076582588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4373913.8076582588</v>
      </c>
      <c r="F46" s="561">
        <f t="shared" si="2"/>
        <v>4373913.8076582588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4373913.8076582588</v>
      </c>
      <c r="F47" s="561">
        <f t="shared" si="2"/>
        <v>4373913.8076582588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4373913.8076582588</v>
      </c>
      <c r="F48" s="561">
        <f t="shared" si="2"/>
        <v>4373913.8076582588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4373913.8076582588</v>
      </c>
      <c r="F49" s="561">
        <f t="shared" si="2"/>
        <v>4373913.8076582588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4373913.8076582588</v>
      </c>
      <c r="F50" s="561">
        <f t="shared" si="2"/>
        <v>4373913.8076582588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143948031.00871441</v>
      </c>
      <c r="F55" s="561"/>
      <c r="G55" s="1663" t="s">
        <v>1063</v>
      </c>
      <c r="H55" s="1667">
        <f>'Cash Flow'!N15/0.05</f>
        <v>155016285.08049378</v>
      </c>
    </row>
    <row r="56" spans="2:28">
      <c r="D56" s="1653" t="s">
        <v>1064</v>
      </c>
      <c r="E56" s="1665">
        <f>'Cash Flow'!K21/1.2</f>
        <v>5025600.5773412697</v>
      </c>
      <c r="F56" s="561"/>
      <c r="G56" s="1661" t="s">
        <v>1064</v>
      </c>
      <c r="H56" s="1668">
        <f>'Cash Flow'!N21/1.2</f>
        <v>5385209.8898784956</v>
      </c>
    </row>
    <row r="57" spans="2:28">
      <c r="D57" s="1653" t="s">
        <v>1065</v>
      </c>
      <c r="E57" s="1665">
        <f>E55*0.6</f>
        <v>86368818.605228648</v>
      </c>
      <c r="F57" s="561"/>
      <c r="G57" s="1661" t="s">
        <v>1065</v>
      </c>
      <c r="H57" s="1668">
        <f>H55*0.6</f>
        <v>93009771.048296258</v>
      </c>
    </row>
    <row r="58" spans="2:28">
      <c r="D58" s="1653" t="s">
        <v>1066</v>
      </c>
      <c r="E58" s="1665">
        <f>-PV(6.5%,34,E56)</f>
        <v>68230613.62601535</v>
      </c>
      <c r="F58" s="561"/>
      <c r="G58" s="1661" t="s">
        <v>1066</v>
      </c>
      <c r="H58" s="1668">
        <f>-PV(6.5%,30,H56)</f>
        <v>70323710.637724712</v>
      </c>
    </row>
    <row r="59" spans="2:28">
      <c r="D59" s="1652" t="s">
        <v>1067</v>
      </c>
      <c r="E59" s="1665">
        <f>E58-H27</f>
        <v>35841910.279623136</v>
      </c>
      <c r="F59" s="561"/>
      <c r="G59" s="1660" t="s">
        <v>1067</v>
      </c>
      <c r="H59" s="1668">
        <f>H58-H30</f>
        <v>51056748.714307278</v>
      </c>
    </row>
    <row r="60" spans="2:28" ht="13.5" thickBot="1">
      <c r="D60" s="1654" t="s">
        <v>1068</v>
      </c>
      <c r="E60" s="1666">
        <f>E59*GapCalc!I33</f>
        <v>30465623.737679664</v>
      </c>
      <c r="F60" s="561"/>
      <c r="G60" s="1662" t="s">
        <v>1068</v>
      </c>
      <c r="H60" s="1669">
        <f>H59*GapCalc!I33</f>
        <v>43398236.407161184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9880000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44503200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118500.5224</v>
      </c>
      <c r="C7" s="1417">
        <f>C4*E4</f>
        <v>533770.49073600001</v>
      </c>
      <c r="D7" s="1409">
        <f>(1-'Rental Income'!O19)</f>
        <v>0.80263157894736836</v>
      </c>
    </row>
    <row r="8" spans="1:5">
      <c r="A8" s="1410" t="s">
        <v>979</v>
      </c>
      <c r="B8" s="1417">
        <f>B7*D7</f>
        <v>95112.261399999988</v>
      </c>
      <c r="C8" s="1417">
        <f>C7*D7</f>
        <v>428421.05177494732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523533.31317494728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59250.261200000001</v>
      </c>
    </row>
    <row r="14" spans="1:5">
      <c r="A14" t="s">
        <v>991</v>
      </c>
      <c r="B14">
        <v>24</v>
      </c>
      <c r="C14" s="1425">
        <f>C3*(E3/12)*B14</f>
        <v>237001.0448</v>
      </c>
    </row>
    <row r="15" spans="1:5">
      <c r="A15" s="40" t="s">
        <v>993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6527364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164</v>
      </c>
      <c r="D19" s="57">
        <f>SUM(D15:D18)</f>
        <v>6206296.7999999998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79283</v>
      </c>
      <c r="E22" s="48">
        <v>1043</v>
      </c>
      <c r="F22" s="453" t="s">
        <v>171</v>
      </c>
      <c r="N22" s="428">
        <f>D22*0.8</f>
        <v>63426.400000000001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173</v>
      </c>
      <c r="D23" s="48">
        <f>(E23*$D$10-20)/2</f>
        <v>101374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14166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80343.360000000001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182</v>
      </c>
      <c r="D26" s="51">
        <f>SUM(D22:D25)</f>
        <v>275166.36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28272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191</v>
      </c>
      <c r="D31" s="48">
        <f>E31*$D$10</f>
        <v>24928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193</v>
      </c>
      <c r="C32" s="43"/>
      <c r="D32" s="50">
        <f>E32*$D$10</f>
        <v>4560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201</v>
      </c>
      <c r="D37" s="48">
        <f>E37*$D$10</f>
        <v>120080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63992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264632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56088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40382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60192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20672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129200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247464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523533.31317494728</v>
      </c>
      <c r="Y56" s="1309">
        <f>X56/'Rental Income'!D15</f>
        <v>3444.298112993074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723.30417157894738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127680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263.15789473684208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596117.4465082807</v>
      </c>
    </row>
    <row r="65" spans="1:25">
      <c r="B65" t="s">
        <v>249</v>
      </c>
      <c r="D65" s="48">
        <f>E65*$D$10</f>
        <v>22800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202480</v>
      </c>
      <c r="E67" s="48">
        <f>SUM(E62:E66)</f>
        <v>1438.1578947368421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45600</v>
      </c>
      <c r="E69" s="426">
        <v>300</v>
      </c>
    </row>
    <row r="70" spans="1:25">
      <c r="V70" s="40" t="s">
        <v>255</v>
      </c>
      <c r="X70" s="1307">
        <f>SUM(X68,X64,X54,X39,X31)</f>
        <v>953399.75984161405</v>
      </c>
      <c r="Y70" s="1307">
        <f>X70/D10</f>
        <v>6272.3668410632499</v>
      </c>
    </row>
    <row r="71" spans="1:25">
      <c r="A71" s="40" t="s">
        <v>256</v>
      </c>
      <c r="D71" s="48">
        <f>E71*$D$10</f>
        <v>76000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309">
        <f>Y70-6000</f>
        <v>272.36684106324992</v>
      </c>
    </row>
    <row r="75" spans="1:25">
      <c r="A75" s="44" t="s">
        <v>259</v>
      </c>
      <c r="B75" s="45"/>
      <c r="C75" s="45"/>
      <c r="D75" s="52">
        <f>D19-D73</f>
        <v>4815582.2059199996</v>
      </c>
      <c r="E75" s="52">
        <f>D75/D10</f>
        <v>31681.46188105263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148344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55779000</v>
      </c>
      <c r="C7" s="465">
        <f>'Dev Summary_5-20'!B8</f>
        <v>3190331</v>
      </c>
      <c r="D7" s="465">
        <f t="shared" ref="D7:D14" si="0">B7-C7</f>
        <v>52588669</v>
      </c>
      <c r="E7" s="477">
        <f t="shared" ref="E7:E15" si="1">D7/B7</f>
        <v>0.94280408397425552</v>
      </c>
      <c r="F7" s="477"/>
      <c r="G7" s="472" t="e">
        <f t="shared" ref="G7:G14" si="2">B7/$B$15</f>
        <v>#REF!</v>
      </c>
      <c r="I7" s="147">
        <f>B7/$H$4</f>
        <v>507081.81818181818</v>
      </c>
      <c r="J7" s="53">
        <f>B7/$H$5</f>
        <v>376.01116324219385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250080.12264474371</v>
      </c>
      <c r="C9" s="446">
        <f>'Dev Summary_5-20'!B10</f>
        <v>50000</v>
      </c>
      <c r="D9" s="446">
        <f t="shared" si="0"/>
        <v>200080.12264474371</v>
      </c>
      <c r="E9" s="477">
        <f t="shared" si="1"/>
        <v>0.80006407757953435</v>
      </c>
      <c r="F9" s="477"/>
      <c r="G9" s="473" t="e">
        <f t="shared" si="2"/>
        <v>#REF!</v>
      </c>
      <c r="I9" s="53">
        <f t="shared" si="3"/>
        <v>2273.4556604067611</v>
      </c>
      <c r="J9" s="53">
        <f t="shared" si="4"/>
        <v>1.6858121841445808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1.9970562071940894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2537086</v>
      </c>
      <c r="C14" s="467">
        <f>'Dev Summary_5-20'!B14</f>
        <v>282276.62941911275</v>
      </c>
      <c r="D14" s="467">
        <f t="shared" si="0"/>
        <v>2254809.3705808874</v>
      </c>
      <c r="E14" s="478">
        <f t="shared" si="1"/>
        <v>0.88873982615523772</v>
      </c>
      <c r="F14" s="478"/>
      <c r="G14" s="474" t="e">
        <f t="shared" si="2"/>
        <v>#REF!</v>
      </c>
      <c r="I14" s="53">
        <f t="shared" si="3"/>
        <v>23064.418181818182</v>
      </c>
      <c r="J14" s="53">
        <f t="shared" si="4"/>
        <v>17.102720703230329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63006102.770676836</v>
      </c>
      <c r="C21" s="48">
        <v>18731659</v>
      </c>
      <c r="D21" s="48">
        <f>B21-C21</f>
        <v>44274443.770676836</v>
      </c>
      <c r="E21" s="55">
        <f>D21/B21</f>
        <v>0.7027008785454073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4219841.7160434574</v>
      </c>
      <c r="C28" s="50"/>
      <c r="D28" s="50">
        <f t="shared" si="5"/>
        <v>4219841.7160434574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61356900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55721.21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50149.089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456513.14166666672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61356900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14112.087000000001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576495.52766666678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49085520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68021.395879999996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49085520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75108.895879999996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667548</v>
      </c>
      <c r="E10" s="748">
        <f>'PreDev Flow of Funds'!Y10+'PreDev Flow of Funds'!Y12</f>
        <v>1395966</v>
      </c>
      <c r="F10" s="748">
        <f>(D10-E10)/18</f>
        <v>-40467.666666666664</v>
      </c>
      <c r="G10" s="748">
        <f>$F$10</f>
        <v>-40467.666666666664</v>
      </c>
      <c r="H10" s="748">
        <f t="shared" ref="H10:W10" si="2">$F$10</f>
        <v>-40467.666666666664</v>
      </c>
      <c r="I10" s="748">
        <f t="shared" si="2"/>
        <v>-40467.666666666664</v>
      </c>
      <c r="J10" s="748">
        <f t="shared" si="2"/>
        <v>-40467.666666666664</v>
      </c>
      <c r="K10" s="748">
        <f t="shared" si="2"/>
        <v>-40467.666666666664</v>
      </c>
      <c r="L10" s="748">
        <f t="shared" si="2"/>
        <v>-40467.666666666664</v>
      </c>
      <c r="M10" s="748">
        <f t="shared" si="2"/>
        <v>-40467.666666666664</v>
      </c>
      <c r="N10" s="748">
        <f t="shared" si="2"/>
        <v>-40467.666666666664</v>
      </c>
      <c r="O10" s="748">
        <f t="shared" si="2"/>
        <v>-40467.666666666664</v>
      </c>
      <c r="P10" s="748">
        <f t="shared" si="2"/>
        <v>-40467.666666666664</v>
      </c>
      <c r="Q10" s="748">
        <f t="shared" si="2"/>
        <v>-40467.666666666664</v>
      </c>
      <c r="R10" s="748">
        <f t="shared" si="2"/>
        <v>-40467.666666666664</v>
      </c>
      <c r="S10" s="748">
        <f t="shared" si="2"/>
        <v>-40467.666666666664</v>
      </c>
      <c r="T10" s="748">
        <f t="shared" si="2"/>
        <v>-40467.666666666664</v>
      </c>
      <c r="U10" s="748">
        <f t="shared" si="2"/>
        <v>-40467.666666666664</v>
      </c>
      <c r="V10" s="748">
        <f t="shared" si="2"/>
        <v>-40467.666666666664</v>
      </c>
      <c r="W10" s="748">
        <f t="shared" si="2"/>
        <v>-40467.666666666664</v>
      </c>
      <c r="X10" s="748"/>
      <c r="Y10" s="748">
        <f>SUM(E10:W10)</f>
        <v>667547.99999999977</v>
      </c>
    </row>
    <row r="11" spans="1:25" ht="15">
      <c r="A11" s="402"/>
      <c r="B11" s="403" t="s">
        <v>387</v>
      </c>
      <c r="C11" s="748"/>
      <c r="D11" s="748">
        <f>'Development Budget'!G41</f>
        <v>667548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55779000</v>
      </c>
      <c r="E13" s="748">
        <f>'PreDev Flow of Funds'!Y14</f>
        <v>69798.3</v>
      </c>
      <c r="F13" s="748">
        <f>(D13-E13)/18</f>
        <v>3094955.6500000004</v>
      </c>
      <c r="G13" s="748">
        <f>$F$13</f>
        <v>3094955.6500000004</v>
      </c>
      <c r="H13" s="748">
        <f t="shared" ref="H13:W13" si="5">$F$13</f>
        <v>3094955.6500000004</v>
      </c>
      <c r="I13" s="748">
        <f t="shared" si="5"/>
        <v>3094955.6500000004</v>
      </c>
      <c r="J13" s="748">
        <f t="shared" si="5"/>
        <v>3094955.6500000004</v>
      </c>
      <c r="K13" s="748">
        <f t="shared" si="5"/>
        <v>3094955.6500000004</v>
      </c>
      <c r="L13" s="748">
        <f t="shared" si="5"/>
        <v>3094955.6500000004</v>
      </c>
      <c r="M13" s="748">
        <f t="shared" si="5"/>
        <v>3094955.6500000004</v>
      </c>
      <c r="N13" s="748">
        <f t="shared" si="5"/>
        <v>3094955.6500000004</v>
      </c>
      <c r="O13" s="748">
        <f t="shared" si="5"/>
        <v>3094955.6500000004</v>
      </c>
      <c r="P13" s="748">
        <f t="shared" si="5"/>
        <v>3094955.6500000004</v>
      </c>
      <c r="Q13" s="748">
        <f t="shared" si="5"/>
        <v>3094955.6500000004</v>
      </c>
      <c r="R13" s="748">
        <f t="shared" si="5"/>
        <v>3094955.6500000004</v>
      </c>
      <c r="S13" s="748">
        <f t="shared" si="5"/>
        <v>3094955.6500000004</v>
      </c>
      <c r="T13" s="748">
        <f t="shared" si="5"/>
        <v>3094955.6500000004</v>
      </c>
      <c r="U13" s="748">
        <f t="shared" si="5"/>
        <v>3094955.6500000004</v>
      </c>
      <c r="V13" s="748">
        <f t="shared" si="5"/>
        <v>3094955.6500000004</v>
      </c>
      <c r="W13" s="748">
        <f t="shared" si="5"/>
        <v>3094955.6500000004</v>
      </c>
      <c r="X13" s="748"/>
      <c r="Y13" s="748">
        <f t="shared" si="3"/>
        <v>55778999.999999985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55779000</v>
      </c>
      <c r="E15" s="748">
        <f>'PreDev Flow of Funds'!Y16+'PreDev Flow of Funds'!Y17+'PreDev Flow of Funds'!Y19</f>
        <v>72500</v>
      </c>
      <c r="F15" s="748">
        <f>(D15-E15)/18</f>
        <v>3094805.5555555555</v>
      </c>
      <c r="G15" s="748">
        <f>$F$15</f>
        <v>3094805.5555555555</v>
      </c>
      <c r="H15" s="748">
        <f t="shared" ref="H15:W15" si="7">$F$15</f>
        <v>3094805.5555555555</v>
      </c>
      <c r="I15" s="748">
        <f t="shared" si="7"/>
        <v>3094805.5555555555</v>
      </c>
      <c r="J15" s="748">
        <f t="shared" si="7"/>
        <v>3094805.5555555555</v>
      </c>
      <c r="K15" s="748">
        <f t="shared" si="7"/>
        <v>3094805.5555555555</v>
      </c>
      <c r="L15" s="748">
        <f t="shared" si="7"/>
        <v>3094805.5555555555</v>
      </c>
      <c r="M15" s="748">
        <f t="shared" si="7"/>
        <v>3094805.5555555555</v>
      </c>
      <c r="N15" s="748">
        <f t="shared" si="7"/>
        <v>3094805.5555555555</v>
      </c>
      <c r="O15" s="748">
        <f t="shared" si="7"/>
        <v>3094805.5555555555</v>
      </c>
      <c r="P15" s="748">
        <f t="shared" si="7"/>
        <v>3094805.5555555555</v>
      </c>
      <c r="Q15" s="748">
        <f t="shared" si="7"/>
        <v>3094805.5555555555</v>
      </c>
      <c r="R15" s="748">
        <f t="shared" si="7"/>
        <v>3094805.5555555555</v>
      </c>
      <c r="S15" s="748">
        <f t="shared" si="7"/>
        <v>3094805.5555555555</v>
      </c>
      <c r="T15" s="748">
        <f t="shared" si="7"/>
        <v>3094805.5555555555</v>
      </c>
      <c r="U15" s="748">
        <f t="shared" si="7"/>
        <v>3094805.5555555555</v>
      </c>
      <c r="V15" s="748">
        <f t="shared" si="7"/>
        <v>3094805.5555555555</v>
      </c>
      <c r="W15" s="748">
        <f t="shared" si="7"/>
        <v>3094805.5555555555</v>
      </c>
      <c r="X15" s="748"/>
      <c r="Y15" s="748">
        <f t="shared" si="3"/>
        <v>55778999.999999978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44503200</v>
      </c>
      <c r="E33" s="748">
        <v>0</v>
      </c>
      <c r="F33" s="748">
        <f>D33</f>
        <v>44503200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44503200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139447.5</v>
      </c>
      <c r="E43" s="748">
        <f>D43</f>
        <v>139447.5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139447.5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330447.5</v>
      </c>
      <c r="E52" s="748">
        <f>D52</f>
        <v>330447.5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330447.5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2537086</v>
      </c>
      <c r="E58" s="748">
        <f>'PreDev Flow of Funds'!Y46</f>
        <v>96238.814999999988</v>
      </c>
      <c r="F58" s="748">
        <f>(D58-E58)/18</f>
        <v>135602.62138888889</v>
      </c>
      <c r="G58" s="748">
        <f>$F$58</f>
        <v>135602.62138888889</v>
      </c>
      <c r="H58" s="748">
        <f t="shared" ref="H58:W58" si="18">$F$58</f>
        <v>135602.62138888889</v>
      </c>
      <c r="I58" s="748">
        <f t="shared" si="18"/>
        <v>135602.62138888889</v>
      </c>
      <c r="J58" s="748">
        <f t="shared" si="18"/>
        <v>135602.62138888889</v>
      </c>
      <c r="K58" s="748">
        <f t="shared" si="18"/>
        <v>135602.62138888889</v>
      </c>
      <c r="L58" s="748">
        <f t="shared" si="18"/>
        <v>135602.62138888889</v>
      </c>
      <c r="M58" s="748">
        <f t="shared" si="18"/>
        <v>135602.62138888889</v>
      </c>
      <c r="N58" s="748">
        <f t="shared" si="18"/>
        <v>135602.62138888889</v>
      </c>
      <c r="O58" s="748">
        <f t="shared" si="18"/>
        <v>135602.62138888889</v>
      </c>
      <c r="P58" s="748">
        <f t="shared" si="18"/>
        <v>135602.62138888889</v>
      </c>
      <c r="Q58" s="748">
        <f t="shared" si="18"/>
        <v>135602.62138888889</v>
      </c>
      <c r="R58" s="748">
        <f t="shared" si="18"/>
        <v>135602.62138888889</v>
      </c>
      <c r="S58" s="748">
        <f t="shared" si="18"/>
        <v>135602.62138888889</v>
      </c>
      <c r="T58" s="748">
        <f t="shared" si="18"/>
        <v>135602.62138888889</v>
      </c>
      <c r="U58" s="748">
        <f t="shared" si="18"/>
        <v>135602.62138888889</v>
      </c>
      <c r="V58" s="748">
        <f t="shared" si="18"/>
        <v>135602.62138888889</v>
      </c>
      <c r="W58" s="748">
        <f t="shared" si="18"/>
        <v>135602.62138888889</v>
      </c>
      <c r="X58" s="748"/>
      <c r="Y58" s="748">
        <f t="shared" si="3"/>
        <v>2537086.0000000005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250080.12264474371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15315048.074999997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58786261.054633379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-10905599.913842745</v>
      </c>
      <c r="E87" s="749">
        <f>E80-E84-E85-E86-E88-E89-E90-E91</f>
        <v>473894.99999999627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15315048.074999997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-1197749.0774999999</v>
      </c>
      <c r="K103" s="162">
        <f>J103+(C116*0.25)/2</f>
        <v>-2395498.1549999998</v>
      </c>
      <c r="L103" s="162">
        <f>K103+((C116-K103)/4)</f>
        <v>-4192121.7712499998</v>
      </c>
      <c r="M103" s="162">
        <f>L103+((C116-K103)/4)</f>
        <v>-5988745.3874999993</v>
      </c>
      <c r="N103" s="162">
        <f>M103+((C116-K103)/4)</f>
        <v>-7785369.0037499992</v>
      </c>
      <c r="O103" s="162">
        <f>N103+((C116-K103)/4)</f>
        <v>-9581992.6199999992</v>
      </c>
      <c r="P103" s="162">
        <f>O103</f>
        <v>-9581992.6199999992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9793022.7408333328</v>
      </c>
      <c r="K104" s="371">
        <f>((C117-1033493)/6)+J104</f>
        <v>19586045.481666666</v>
      </c>
      <c r="L104" s="371">
        <f>((C117-1033493)/6)+K104</f>
        <v>29379068.222499996</v>
      </c>
      <c r="M104" s="371">
        <f>((C117-1033493)/6)+L104</f>
        <v>39172090.963333331</v>
      </c>
      <c r="N104" s="371">
        <f>((C117-1033493)/6)+M104</f>
        <v>48965113.704166666</v>
      </c>
      <c r="O104" s="371">
        <f>((C117-1033493)/6)+N104</f>
        <v>58758136.445</v>
      </c>
      <c r="P104" s="371">
        <f>(286645+100000+646848)+O104</f>
        <v>59791629.445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8595273.6633333322</v>
      </c>
      <c r="K110" s="371">
        <f t="shared" ref="K110:P110" si="9">SUM(K103:K104)</f>
        <v>17190547.326666664</v>
      </c>
      <c r="L110" s="371">
        <f t="shared" si="9"/>
        <v>25186946.451249998</v>
      </c>
      <c r="M110" s="371">
        <f t="shared" si="9"/>
        <v>33183345.575833332</v>
      </c>
      <c r="N110" s="371">
        <f t="shared" si="9"/>
        <v>41179744.700416669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-9581992.6199999992</v>
      </c>
      <c r="D116" s="1769"/>
    </row>
    <row r="117" spans="2:19" ht="16.5" thickBot="1">
      <c r="B117" s="398" t="s">
        <v>601</v>
      </c>
      <c r="C117" s="1772">
        <f>C118-C114-C116-C115</f>
        <v>59791629.445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