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"/>
    </mc:Choice>
  </mc:AlternateContent>
  <xr:revisionPtr revIDLastSave="0" documentId="13_ncr:1_{CF70C260-F89A-4B8F-BE04-D56FDF167D8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E18" i="28" s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28" i="28" s="1"/>
  <c r="D22" i="6"/>
  <c r="I250" i="1"/>
  <c r="K97" i="1" s="1"/>
  <c r="G254" i="1"/>
  <c r="D23" i="2"/>
  <c r="E23" i="2" l="1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<sst xmlns="http://schemas.openxmlformats.org/spreadsheetml/2006/main" count="1995" uniqueCount="1106">
  <si>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</si>
  <si>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</si>
  <si>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</si>
  <si>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</si>
  <si>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</si>
  <si>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</si>
  <si>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</si>
  <si>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</si>
  <si>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</si>
  <si>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</si>
  <si>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</si>
  <si>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</si>
  <si>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</si>
  <si>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</si>
  <si>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</si>
  <si>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</si>
  <si>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</si>
  <si>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</si>
  <si>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</si>
  <si>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</si>
  <si>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</si>
  <si>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</si>
  <si>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</si>
  <si>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</si>
  <si>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</si>
  <si>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</si>
  <si>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</si>
  <si>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</si>
  <si>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</si>
  <si>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</si>
  <si>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</si>
  <si>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</si>
  <si>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</si>
  <si>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</si>
  <si>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</si>
  <si>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</si>
  <si>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</si>
  <si>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</si>
  <si>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</si>
  <si>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</si>
  <si>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</si>
  <si>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</si>
  <si>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</si>
  <si>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</si>
  <si>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</si>
  <si>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</si>
  <si>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</si>
  <si>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</si>
  <si>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</si>
  <si>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</si>
  <si>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</si>
  <si>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</si>
  <si>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</si>
  <si>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</si>
  <si>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</si>
  <si>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</si>
  <si>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</si>
  <si>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</si>
  <si>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</si>
  <si>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</si>
  <si>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</si>
  <si>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</si>
  <si>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</si>
  <si>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</si>
  <si>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</si>
  <si>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</si>
  <si>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</si>
  <si>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</si>
  <si>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</si>
  <si>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</si>
  <si>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</si>
  <si>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</si>
  <si>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</si>
  <si>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</si>
  <si>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</si>
  <si>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</si>
  <si>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</si>
  <si>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</si>
  <si>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</si>
  <si>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</si>
  <si>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</si>
  <si>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</si>
  <si>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</si>
  <si>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</si>
  <si>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</si>
  <si>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</si>
  <si>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</si>
  <si>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</si>
  <si>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</si>
  <si>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</si>
  <si>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</si>
  <si>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</si>
  <si>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</si>
  <si>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</si>
  <si>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</si>
  <si>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</si>
  <si>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</si>
  <si>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</si>
  <si>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</si>
  <si>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</si>
  <si>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</si>
  <si>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</si>
  <si>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</si>
  <si>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</si>
  <si>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</si>
  <si>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</si>
  <si>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</si>
  <si>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</si>
  <si>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</si>
  <si>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</si>
  <si>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</si>
  <si>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</si>
  <si>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</si>
  <si>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</si>
  <si>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</si>
  <si>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</si>
  <si>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</si>
  <si>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</si>
  <si>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</si>
  <si>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</si>
  <si>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</si>
  <si>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</si>
  <si>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</si>
  <si>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</si>
  <si>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</si>
  <si>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</si>
  <si>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</si>
  <si>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</si>
  <si>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</si>
  <si>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</si>
  <si>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</si>
  <si>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</si>
  <si>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</si>
  <si>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</si>
  <si>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</si>
  <si>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</si>
  <si>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</si>
  <si>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</si>
  <si>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</si>
  <si>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</si>
  <si>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</si>
  <si>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</si>
  <si>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</si>
  <si>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</si>
  <si>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</si>
  <si>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</si>
  <si>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</si>
  <si>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</si>
  <si>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</si>
  <si>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</si>
  <si>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</si>
  <si>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</si>
  <si>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</si>
  <si>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</si>
  <si>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</si>
  <si>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</si>
  <si>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</si>
  <si>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</si>
  <si>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</si>
  <si>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</si>
  <si>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</si>
  <si>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</si>
  <si>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</si>
  <si>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</si>
  <si>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</si>
  <si>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</si>
  <si>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</si>
  <si>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</si>
  <si>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</si>
  <si>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</si>
  <si>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</si>
  <si>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</si>
  <si>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</si>
  <si>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</si>
  <si>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</si>
  <si>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</si>
  <si>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</si>
  <si>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</si>
  <si>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</si>
  <si>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</si>
  <si>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</si>
  <si>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</si>
  <si>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</si>
  <si>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</si>
  <si>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</si>
  <si>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</si>
  <si>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</si>
  <si>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</si>
  <si>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</si>
  <si>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</si>
  <si>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</si>
  <si>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</si>
  <si>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</si>
  <si>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</si>
  <si>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</si>
  <si>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</si>
  <si>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</si>
  <si>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</si>
  <si>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</si>
  <si>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</si>
  <si>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</si>
  <si>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</si>
  <si>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</si>
  <si>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</si>
  <si>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</si>
  <si>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</si>
  <si>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</si>
  <si>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</si>
  <si>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</si>
  <si>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</si>
  <si>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</si>
  <si>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</si>
  <si>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</si>
  <si>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</si>
  <si>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</si>
  <si>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</si>
  <si>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</si>
  <si>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</si>
  <si>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</si>
  <si>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</si>
  <si>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</si>
  <si>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</si>
  <si>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</si>
  <si>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</si>
  <si>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</si>
  <si>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</si>
  <si>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</si>
  <si>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</si>
  <si>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</si>
  <si>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</si>
  <si>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</si>
  <si>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</si>
  <si>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</si>
  <si>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</si>
  <si>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</si>
  <si>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</si>
  <si>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</si>
  <si>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</si>
  <si>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</si>
  <si>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</si>
  <si>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</si>
  <si>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</si>
  <si>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</si>
  <si>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</si>
  <si>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</si>
  <si>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</si>
  <si>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</si>
  <si>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</si>
  <si>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</si>
  <si>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</si>
  <si>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</si>
  <si>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</si>
  <si>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</si>
  <si>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</si>
  <si>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</si>
  <si>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</si>
  <si>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</si>
  <si>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</si>
  <si>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</si>
  <si>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</si>
  <si>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</si>
  <si>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</si>
  <si>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</si>
  <si>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</si>
  <si>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</si>
  <si>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</si>
  <si>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</si>
  <si>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</si>
  <si>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</si>
  <si>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</si>
  <si>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</si>
  <si>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</si>
  <si>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</si>
  <si>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</si>
  <si>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</si>
  <si>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</si>
  <si>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</si>
  <si>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</si>
  <si>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</si>
  <si>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</si>
  <si>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</si>
  <si>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</si>
  <si>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</si>
  <si>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</si>
  <si>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</si>
  <si>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</si>
  <si>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</si>
  <si>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</si>
  <si>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</si>
  <si>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</si>
  <si>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</si>
  <si>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</si>
  <si>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</si>
  <si>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</si>
  <si>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</si>
  <si>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</si>
  <si>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</si>
  <si>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</si>
  <si>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</si>
  <si>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</si>
  <si>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</si>
  <si>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</si>
  <si>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</si>
  <si>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</si>
  <si>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</si>
  <si>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</si>
  <si>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</si>
  <si>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</si>
  <si>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</si>
  <si>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</si>
  <si>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</si>
  <si>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</si>
  <si>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</si>
  <si>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</si>
  <si>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</si>
  <si>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</si>
  <si>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</si>
  <si>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</si>
  <si>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</si>
  <si>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</si>
  <si>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</si>
  <si>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</si>
  <si>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</si>
  <si>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</si>
  <si>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</si>
  <si>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</si>
  <si>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</si>
  <si>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</si>
  <si>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</si>
  <si>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</si>
  <si>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</si>
  <si>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</si>
  <si>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</si>
  <si>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</si>
  <si>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</si>
  <si>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</si>
  <si>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</si>
  <si>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</si>
  <si>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</si>
  <si>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</si>
  <si>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</si>
  <si>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</si>
  <si>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</si>
  <si>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</si>
  <si>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</si>
  <si>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</si>
  <si>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</si>
  <si>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</si>
  <si>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</si>
  <si>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</si>
  <si>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</si>
  <si>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</si>
  <si>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</si>
  <si>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</si>
  <si>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</si>
  <si>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</si>
  <si>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</si>
  <si>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</si>
  <si>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</si>
  <si>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</si>
  <si>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</si>
  <si>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</si>
  <si>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</si>
  <si>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</si>
  <si>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</si>
  <si>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</si>
  <si>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</si>
  <si>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</si>
  <si>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</si>
  <si>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</si>
  <si>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</si>
  <si>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</si>
  <si>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</si>
  <si>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</si>
  <si>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</si>
  <si>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</si>
  <si>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</si>
  <si>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</si>
  <si>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</si>
  <si>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</si>
  <si>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</si>
  <si>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</si>
  <si>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</si>
  <si>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</si>
  <si>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</si>
  <si>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</si>
  <si>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</si>
  <si>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</si>
  <si>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</si>
  <si>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</si>
  <si>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</si>
  <si>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</si>
  <si>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</si>
  <si>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</si>
  <si>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</si>
  <si>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</si>
  <si>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</si>
  <si>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</si>
  <si>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</si>
  <si>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</si>
  <si>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</si>
  <si>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</si>
  <si>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</si>
  <si>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</si>
  <si>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</si>
  <si>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</si>
  <si>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</si>
  <si>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</si>
  <si>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</si>
  <si>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</si>
  <si>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</si>
  <si>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</si>
  <si>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</si>
  <si>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</si>
  <si>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</si>
  <si>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</si>
  <si>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</si>
  <si>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</si>
  <si>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</si>
  <si>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</si>
  <si>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</si>
  <si>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</si>
  <si>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</si>
  <si>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</si>
  <si>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</si>
  <si>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</si>
  <si>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</si>
  <si>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</si>
  <si>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</si>
  <si>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</si>
  <si>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</si>
  <si>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</si>
  <si>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</si>
  <si>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</si>
  <si>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</si>
  <si>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</si>
  <si>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</si>
  <si>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</si>
  <si>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</si>
  <si>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</si>
  <si>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</si>
  <si>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</si>
  <si>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</si>
  <si>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</si>
  <si>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</si>
  <si>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</si>
  <si>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</si>
  <si>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</si>
  <si>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</si>
  <si>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</si>
  <si>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</si>
  <si>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</si>
  <si>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</si>
  <si>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</si>
  <si>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</si>
  <si>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</si>
  <si>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</si>
  <si>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</si>
  <si>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</si>
  <si>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</si>
  <si>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</si>
  <si>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</si>
  <si>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</si>
  <si>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</si>
  <si>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</si>
  <si>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</si>
  <si>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</si>
  <si>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</si>
  <si>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</si>
  <si>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</si>
  <si>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</si>
  <si>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</si>
  <si>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</si>
  <si>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</si>
  <si>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</si>
  <si>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</si>
  <si>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</si>
  <si>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</si>
  <si>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</si>
  <si>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</si>
  <si>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</si>
  <si>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</si>
  <si>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</si>
  <si>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</si>
  <si>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</si>
  <si>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</si>
  <si>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</si>
  <si>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</si>
  <si>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</si>
  <si>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</si>
  <si>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</si>
  <si>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</si>
  <si>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</si>
  <si>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</si>
  <si>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</si>
  <si>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</si>
  <si>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</si>
  <si>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</si>
  <si>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</si>
  <si>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</si>
  <si>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</si>
  <si>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</si>
  <si>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</si>
  <si>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</si>
  <si>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</si>
  <si>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</si>
  <si>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</si>
  <si>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</si>
  <si>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</si>
  <si>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</si>
  <si>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</si>
  <si>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</si>
  <si>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</si>
  <si>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</si>
  <si>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</si>
  <si>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</si>
  <si>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</si>
  <si>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</si>
  <si>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</si>
  <si>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</si>
  <si>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</si>
  <si>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</si>
  <si>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</si>
  <si>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</si>
  <si>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</si>
  <si>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</si>
  <si>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</si>
  <si>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</si>
  <si>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</si>
  <si>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</si>
  <si>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</si>
  <si>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</si>
  <si>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</si>
  <si>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</si>
  <si>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</si>
  <si>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</si>
  <si>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</si>
  <si>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</si>
  <si>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</si>
  <si>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</si>
  <si>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</si>
  <si>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</si>
  <si>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</si>
  <si>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</si>
  <si>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</si>
  <si>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</si>
  <si>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</si>
  <si>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</si>
  <si>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</si>
  <si>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</si>
  <si>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</si>
  <si>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</si>
  <si>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</si>
  <si>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</si>
  <si>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</si>
  <si>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</si>
  <si>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</si>
  <si>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</si>
  <si>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</si>
  <si>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</si>
  <si>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</si>
  <si>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</si>
  <si>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</si>
  <si>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</si>
  <si>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</si>
  <si>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</si>
  <si>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</si>
  <si>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</si>
  <si>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</si>
  <si>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</si>
  <si>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</si>
  <si>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</si>
  <si>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</si>
  <si>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</si>
  <si>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</si>
  <si>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</si>
  <si>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</si>
  <si>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</si>
  <si>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</si>
  <si>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</si>
  <si>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</si>
  <si>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</si>
  <si>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</si>
  <si>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</si>
  <si>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</si>
  <si>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</si>
  <si>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</si>
  <si>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</si>
  <si>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</si>
  <si>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</si>
  <si>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</si>
  <si>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</si>
  <si>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</si>
  <si>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</si>
  <si>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</si>
  <si>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</si>
  <si>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</si>
  <si>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</si>
  <si>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</si>
  <si>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</si>
  <si>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</si>
  <si>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</si>
  <si>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</si>
  <si>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</si>
  <si>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</si>
  <si>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</si>
  <si>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</si>
  <si>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</si>
  <si>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</si>
  <si>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</si>
  <si>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</si>
  <si>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</si>
  <si>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</si>
  <si>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</si>
  <si>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</si>
  <si>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</si>
  <si>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</si>
  <si>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</si>
  <si>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</si>
  <si>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</si>
  <si>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</si>
  <si>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</si>
  <si>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</si>
  <si>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</si>
  <si>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</si>
  <si>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</si>
  <si>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</si>
  <si>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</si>
  <si>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</si>
  <si>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</si>
  <si>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</si>
  <si>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</si>
  <si>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</si>
  <si>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</si>
  <si>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</si>
  <si>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</si>
  <si>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</si>
  <si>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</si>
  <si>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</si>
  <si>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</si>
  <si>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</si>
  <si>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</si>
  <si>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</si>
  <si>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</si>
  <si>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</si>
  <si>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</si>
  <si>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</si>
  <si>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</si>
  <si>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</si>
  <si>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</si>
  <si>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</si>
  <si>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</si>
  <si>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</si>
  <si>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</si>
  <si>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</si>
  <si>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</si>
  <si>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</si>
  <si>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</si>
  <si>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</si>
  <si>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</si>
  <si>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</si>
  <si>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</si>
  <si>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</si>
  <si>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</si>
  <si>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</si>
  <si>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</si>
  <si>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</si>
  <si>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</si>
  <si>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</si>
  <si>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</si>
  <si>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</si>
  <si>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</si>
  <si>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</si>
  <si>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</si>
  <si>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</si>
  <si>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</si>
  <si>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</si>
  <si>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</si>
  <si>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</si>
  <si>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</si>
  <si>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</si>
  <si>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</si>
  <si>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</si>
  <si>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</si>
  <si>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</si>
  <si>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</si>
  <si>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</si>
  <si>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</si>
  <si>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</si>
  <si>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</si>
  <si>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</si>
  <si>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</si>
  <si>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</si>
  <si>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</si>
  <si>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</si>
  <si>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</si>
  <si>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</si>
  <si>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</si>
  <si>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</si>
  <si>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</si>
  <si>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</si>
  <si>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</si>
  <si>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</si>
  <si>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</si>
  <si>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</si>
  <si>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</si>
  <si>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</si>
  <si>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</si>
  <si>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</si>
  <si>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</si>
  <si>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</si>
  <si>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</si>
  <si>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</si>
  <si>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</si>
  <si>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</si>
  <si>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</si>
  <si>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</si>
  <si>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</si>
  <si>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</si>
  <si>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</si>
  <si>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</si>
  <si>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</si>
  <si>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</si>
  <si>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</si>
  <si>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</si>
  <si>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</si>
  <si>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</si>
  <si>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</si>
  <si>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</si>
  <si>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</si>
  <si>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</si>
  <si>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</si>
  <si>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</si>
  <si>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</si>
  <si>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</si>
  <si>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</si>
  <si>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</si>
  <si>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</si>
  <si>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</si>
  <si>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</si>
  <si>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</si>
  <si>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</si>
  <si>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</si>
  <si>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</si>
  <si>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</si>
  <si>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</si>
  <si>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</si>
  <si>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</si>
  <si>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</si>
  <si>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</si>
  <si>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</si>
  <si>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</si>
  <si>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</si>
  <si>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</si>
  <si>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</si>
  <si>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</si>
  <si>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</si>
  <si>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</si>
  <si>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</si>
  <si>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</si>
  <si>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</si>
  <si>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</si>
  <si>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</si>
  <si>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</si>
  <si>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</si>
  <si>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</si>
  <si>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</si>
  <si>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</si>
  <si>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</si>
  <si>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</si>
  <si>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</si>
  <si>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</si>
  <si>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</si>
  <si>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</si>
  <si>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</si>
  <si>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</si>
  <si>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</si>
  <si>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</si>
  <si>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</si>
  <si>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</si>
  <si>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</si>
  <si>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</si>
  <si>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</si>
  <si>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</si>
  <si>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</si>
  <si>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</si>
  <si>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</si>
  <si>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</si>
  <si>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</si>
  <si>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</si>
  <si>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</si>
  <si>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</si>
  <si>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</si>
  <si>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</si>
  <si>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</si>
  <si>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</si>
  <si>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</si>
  <si>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</si>
  <si>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</si>
  <si>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</si>
  <si>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</si>
  <si>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</si>
  <si>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</si>
  <si>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</si>
  <si>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</si>
  <si>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</si>
  <si>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</si>
  <si>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</si>
  <si>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</si>
  <si>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</si>
  <si>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</si>
  <si>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</si>
  <si>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</si>
  <si>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</si>
  <si>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</si>
  <si>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</si>
  <si>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</si>
  <si>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</si>
  <si>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</si>
  <si>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</si>
  <si>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</si>
  <si>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</si>
  <si>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</si>
  <si>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</si>
  <si>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</si>
  <si>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</si>
  <si>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</si>
  <si>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</si>
  <si>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</si>
  <si>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</si>
  <si>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</si>
  <si>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</si>
  <si>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</si>
  <si>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</si>
  <si>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</si>
  <si>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</si>
  <si>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</si>
  <si>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</si>
  <si>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</si>
  <si>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</si>
  <si>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</si>
  <si>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</si>
  <si>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</si>
  <si>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</si>
  <si>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</si>
  <si>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</si>
  <si>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</si>
  <si>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</si>
  <si>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</si>
  <si>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</si>
  <si>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</si>
  <si>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</si>
  <si>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</si>
  <si>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</si>
  <si>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</si>
  <si>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</si>
  <si>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</si>
  <si>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</si>
  <si>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</si>
  <si>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</si>
  <si>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</si>
  <si>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</si>
  <si>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</si>
  <si>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</si>
  <si>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</si>
  <si>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</si>
  <si>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</si>
  <si>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</si>
  <si>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</si>
  <si>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</si>
  <si>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</si>
  <si>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</si>
  <si>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</si>
  <si>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</si>
  <si>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</si>
  <si>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</si>
  <si>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</si>
  <si>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</si>
  <si>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</si>
  <si>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</si>
  <si>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</si>
  <si>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</si>
  <si>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</si>
  <si>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</si>
  <si>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</si>
  <si>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</si>
  <si>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</si>
  <si>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</si>
  <si>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</si>
  <si>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</si>
  <si>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</si>
  <si>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</si>
  <si>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</si>
  <si>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</si>
  <si>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</si>
  <si>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</si>
  <si>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</si>
  <si>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</si>
  <si>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</si>
  <si>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</si>
  <si>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</si>
  <si>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</si>
  <si>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</si>
  <si>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</si>
  <si>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</si>
  <si>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</si>
  <si>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</si>
  <si>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</si>
  <si>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</si>
  <si>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</si>
  <si>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</si>
  <si>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</si>
  <si>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</si>
  <si>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</si>
  <si>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</si>
  <si>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</si>
  <si>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</si>
  <si>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</si>
  <si>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</si>
  <si>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</si>
  <si>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</si>
  <si>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</si>
  <si>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</si>
  <si>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</si>
  <si>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</si>
  <si>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</si>
  <si>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</si>
  <si>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</si>
  <si>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</si>
  <si>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</si>
  <si>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</si>
  <si>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</si>
  <si>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</si>
  <si>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</si>
  <si>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</si>
  <si>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</si>
  <si>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</si>
  <si>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</si>
  <si>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</si>
  <si>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</si>
  <si>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</si>
  <si>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</si>
  <si>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</si>
  <si>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</si>
  <si>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</si>
  <si>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</si>
  <si>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</si>
  <si>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</si>
  <si>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</si>
  <si>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</si>
  <si>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</si>
  <si>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</si>
  <si>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</si>
  <si>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</si>
  <si>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</si>
  <si>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</si>
  <si>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</si>
  <si>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</si>
  <si>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</si>
  <si>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</si>
  <si>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</si>
  <si>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</si>
  <si>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</si>
  <si>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</si>
  <si>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</si>
  <si>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</si>
  <si>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</si>
  <si>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</si>
  <si>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</si>
  <si>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</si>
  <si>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</si>
  <si>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</si>
  <si>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</si>
  <si>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</si>
  <si>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</si>
  <si>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</si>
  <si>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</si>
  <si>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</si>
  <si>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</si>
  <si>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</si>
  <si>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</si>
  <si>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</si>
  <si>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</si>
  <si>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</si>
  <si>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</si>
  <si>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</si>
  <si>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</si>
  <si>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</si>
  <si>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</si>
  <si>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</si>
  <si>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</si>
  <si>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</si>
  <si>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</si>
  <si>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</si>
  <si>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</si>
  <si>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</si>
  <si>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</si>
  <si>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</si>
  <si>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</si>
  <si>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</si>
  <si>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</si>
  <si>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</si>
  <si>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</si>
  <si>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</si>
  <si>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</si>
  <si>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</si>
  <si>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</si>
  <si>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</si>
  <si>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</si>
  <si>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</si>
  <si>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</si>
  <si>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</si>
  <si>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</si>
  <si>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</si>
  <si>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</si>
  <si>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</si>
  <si>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</si>
  <si>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</si>
  <si>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</si>
  <si>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</si>
  <si>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</si>
  <si>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</si>
  <si>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</si>
  <si>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</si>
  <si>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</si>
  <si>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</si>
  <si>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</si>
  <si>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</si>
  <si>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</si>
  <si>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</si>
  <si>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</si>
  <si>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</si>
  <si>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</si>
  <si>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</si>
  <si>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</si>
  <si>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</si>
  <si>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</si>
  <si>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</si>
  <si>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</si>
  <si>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</si>
  <si>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</si>
  <si>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</si>
  <si>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</si>
  <si>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</si>
  <si>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</si>
  <si>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</si>
  <si>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</si>
  <si>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</si>
  <si>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</si>
  <si>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</si>
  <si>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</si>
  <si>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</si>
  <si>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</si>
  <si>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</si>
  <si>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</si>
  <si>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</si>
  <si>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</si>
  <si>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</si>
  <si>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</si>
  <si>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</si>
  <si>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</si>
  <si>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</si>
  <si>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</si>
  <si>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</si>
  <si>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</si>
  <si>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</si>
  <si>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</si>
  <si>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</si>
  <si>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</si>
  <si>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</si>
  <si>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</si>
  <si>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</si>
  <si>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</si>
  <si>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</si>
  <si>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</si>
  <si>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</si>
  <si>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</si>
  <si>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</si>
  <si>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</si>
  <si>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</si>
  <si>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</si>
  <si>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</si>
  <si>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</si>
  <si>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</si>
  <si>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</si>
  <si>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</si>
  <si>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</si>
  <si>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</si>
  <si>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</si>
  <si>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</si>
  <si>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</si>
  <si>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</si>
  <si>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</si>
  <si>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</si>
  <si>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</si>
  <si>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</si>
  <si>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</si>
  <si>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</si>
  <si>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</si>
  <si>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</si>
  <si>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</si>
  <si>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</si>
  <si>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</si>
  <si>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</si>
  <si>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80% AMI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</si>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</sst>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F12" sqref="F12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202</v>
      </c>
      <c r="E10" s="699"/>
    </row>
    <row r="11" spans="1:5">
      <c r="A11" s="690"/>
      <c r="B11" s="698" t="s">
        <v>11</v>
      </c>
      <c r="C11" s="698"/>
      <c r="D11" s="700">
        <f>D12+D13</f>
        <v>196860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196860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1103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5.3739174414200175E-2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5.3739174414200175E-2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-6830083.3955279915</v>
      </c>
      <c r="E18" s="1754">
        <f ca="1">D18/-D28</f>
        <v>5.3752187679139057E-2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13305000</v>
      </c>
      <c r="E21" s="1531">
        <f>D21/$D$10</f>
        <v>65866.336633663363</v>
      </c>
    </row>
    <row r="22" spans="1:6">
      <c r="A22" s="64"/>
      <c r="B22" s="4" t="s">
        <v>16</v>
      </c>
      <c r="C22" s="4"/>
      <c r="D22" s="1531">
        <f>'Development Budget'!G44</f>
        <v>81146435.312499985</v>
      </c>
      <c r="E22" s="1531">
        <f t="shared" ref="E22:E28" si="0">D22/$D$10</f>
        <v>401715.02629950485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2298240</v>
      </c>
      <c r="E23" s="1531">
        <f t="shared" si="0"/>
        <v>11377.425742574258</v>
      </c>
    </row>
    <row r="24" spans="1:6">
      <c r="A24" s="64"/>
      <c r="B24" s="4" t="s">
        <v>18</v>
      </c>
      <c r="C24" s="4"/>
      <c r="D24" s="1531">
        <f>'Development Budget'!G97</f>
        <v>3356436</v>
      </c>
      <c r="E24" s="1531">
        <f t="shared" si="0"/>
        <v>16616.019801980197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8463835.0966323353</v>
      </c>
      <c r="E25" s="1531">
        <f t="shared" si="0"/>
        <v>41900.173745704633</v>
      </c>
    </row>
    <row r="26" spans="1:6">
      <c r="A26" s="64"/>
      <c r="B26" s="4" t="s">
        <v>20</v>
      </c>
      <c r="C26" s="4"/>
      <c r="D26" s="1531">
        <f>'Development Budget'!G181</f>
        <v>6135595.5</v>
      </c>
      <c r="E26" s="1531">
        <f t="shared" si="0"/>
        <v>30374.23514851485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12360605.35725534</v>
      </c>
      <c r="E27" s="1532">
        <f t="shared" si="0"/>
        <v>61191.115629976928</v>
      </c>
    </row>
    <row r="28" spans="1:6" ht="16.5" thickTop="1">
      <c r="A28" s="4"/>
      <c r="B28" s="4"/>
      <c r="C28" s="150" t="s">
        <v>14</v>
      </c>
      <c r="D28" s="1533">
        <f>SUM(D21:D27)</f>
        <v>127066147.26638766</v>
      </c>
      <c r="E28" s="1531">
        <f t="shared" si="0"/>
        <v>629040.33300191909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83205212.517524853</v>
      </c>
      <c r="E32" s="1586">
        <f t="shared" si="1"/>
        <v>411906.99266101414</v>
      </c>
    </row>
    <row r="33" spans="1:5">
      <c r="A33" s="64"/>
      <c r="B33" s="4" t="s">
        <v>1052</v>
      </c>
      <c r="C33" s="4"/>
      <c r="D33" s="1587">
        <f>GapCalc!D29</f>
        <v>6579140.2123294212</v>
      </c>
      <c r="E33" s="1586">
        <f>D33/$D$10</f>
        <v>32570.001051135747</v>
      </c>
    </row>
    <row r="34" spans="1:5">
      <c r="A34" s="65"/>
      <c r="B34" s="4" t="s">
        <v>26</v>
      </c>
      <c r="C34" s="4"/>
      <c r="D34" s="1587">
        <f>GapCalc!D30</f>
        <v>37281794.536533386</v>
      </c>
      <c r="E34" s="1586">
        <f>D34/$D$10</f>
        <v>184563.33928976924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127066147.26638766</v>
      </c>
      <c r="E36" s="1586">
        <f>D36/$D$10</f>
        <v>629040.33300191909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84018366.957555011</v>
      </c>
      <c r="E40" s="1586">
        <f t="shared" ref="E40" si="2">D40/$D$10</f>
        <v>415932.5096908664</v>
      </c>
    </row>
    <row r="41" spans="1:5">
      <c r="A41" s="60"/>
      <c r="B41" s="4" t="s">
        <v>1052</v>
      </c>
      <c r="C41" s="4"/>
      <c r="D41" s="1591">
        <f>GapCalc!D29+GapCalc!D38</f>
        <v>6579140.2123294212</v>
      </c>
      <c r="E41" s="1586">
        <f>D41/$D$10</f>
        <v>32570.001051135747</v>
      </c>
    </row>
    <row r="42" spans="1:5">
      <c r="A42" s="60"/>
      <c r="B42" s="1557" t="s">
        <v>26</v>
      </c>
      <c r="C42" s="4"/>
      <c r="D42" s="1592">
        <f>GapCalc!D30+GapCalc!D39</f>
        <v>37281794.536533386</v>
      </c>
      <c r="E42" s="1586">
        <f>D42/$D$10</f>
        <v>184563.33928976924</v>
      </c>
    </row>
    <row r="43" spans="1:5">
      <c r="A43" s="60"/>
      <c r="B43" s="1714" t="s">
        <v>1102</v>
      </c>
      <c r="C43" s="4"/>
      <c r="D43" s="1592">
        <f>IF(D32-D40&gt;0,0,D32-D40)</f>
        <v>-813154.44003015757</v>
      </c>
      <c r="E43" s="1586">
        <f>D43/$D$10</f>
        <v>-4025.5170298522653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127066147.26638766</v>
      </c>
      <c r="E45" s="1588">
        <f>D45/$D$10</f>
        <v>629040.33300191909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0" zoomScaleNormal="100" workbookViewId="0">
      <selection activeCell="D38" sqref="D38:D39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202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196860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196860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13305000</v>
      </c>
      <c r="E17" s="1531">
        <f>D17/$D$11</f>
        <v>65866.336633663363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81146435.312499985</v>
      </c>
      <c r="E18" s="1531">
        <f t="shared" ref="E18:E24" si="0">D18/$D$11</f>
        <v>401715.02629950485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2298240</v>
      </c>
      <c r="E19" s="1531">
        <f t="shared" si="0"/>
        <v>11377.425742574258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3356436</v>
      </c>
      <c r="E20" s="1531">
        <f t="shared" si="0"/>
        <v>16616.019801980197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8463835.0966323353</v>
      </c>
      <c r="E21" s="1531">
        <f t="shared" si="0"/>
        <v>41900.173745704633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6135595.5</v>
      </c>
      <c r="E22" s="1531">
        <f t="shared" si="0"/>
        <v>30374.23514851485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12360605.35725534</v>
      </c>
      <c r="E23" s="1532">
        <f t="shared" si="0"/>
        <v>61191.115629976928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127066147.26638766</v>
      </c>
      <c r="E24" s="1531">
        <f t="shared" si="0"/>
        <v>629040.33300191909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83205212.517524853</v>
      </c>
      <c r="E28" s="1586">
        <f t="shared" si="1"/>
        <v>411906.99266101414</v>
      </c>
      <c r="F28" s="62"/>
      <c r="G28" s="1419" t="s">
        <v>609</v>
      </c>
      <c r="H28" s="1608">
        <f>H32/D11</f>
        <v>32570.001051135747</v>
      </c>
      <c r="I28" s="703"/>
    </row>
    <row r="29" spans="1:10" ht="15.75">
      <c r="A29" s="64"/>
      <c r="B29" s="4" t="s">
        <v>1052</v>
      </c>
      <c r="C29" s="4"/>
      <c r="D29" s="1587">
        <v>6579140.2123294212</v>
      </c>
      <c r="E29" s="1586">
        <f>D29/$D$11</f>
        <v>32570.001051135747</v>
      </c>
      <c r="F29" s="520"/>
      <c r="G29" s="1420" t="s">
        <v>972</v>
      </c>
      <c r="H29" s="1609">
        <f>H33/D11</f>
        <v>184563.33928976924</v>
      </c>
      <c r="I29" s="703"/>
    </row>
    <row r="30" spans="1:10" ht="16.5" thickBot="1">
      <c r="A30" s="65"/>
      <c r="B30" s="4" t="s">
        <v>26</v>
      </c>
      <c r="C30" s="4"/>
      <c r="D30" s="1587">
        <v>37281794.536533386</v>
      </c>
      <c r="E30" s="1586">
        <f>D30/$D$11</f>
        <v>184563.33928976924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6579140.2123294212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127066147.26638766</v>
      </c>
      <c r="E33" s="1586">
        <f>D33/$D$11</f>
        <v>629040.33300191909</v>
      </c>
      <c r="F33" s="62"/>
      <c r="G33" s="1441" t="s">
        <v>972</v>
      </c>
      <c r="H33" s="1611">
        <f>D30+D39</f>
        <v>37281794.536533386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43860934.748862803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0.34518190479884941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84018366.957555011</v>
      </c>
      <c r="E37" s="1586">
        <f t="shared" ref="E37" si="2">D37/$D$11</f>
        <v>415932.5096908664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6579140.2123294212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37281794.536533386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813154.44003015757</v>
      </c>
      <c r="E41" s="1588">
        <f>D41/$D$11</f>
        <v>4025.5170298522653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84018366.957555011</v>
      </c>
      <c r="E42" s="1586">
        <f>D42/$D$11</f>
        <v>415932.5096908664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-121973.16600452363</v>
      </c>
      <c r="I43" s="1596">
        <f>D38+H43</f>
        <v>-121973.16600452363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-691181.27402563393</v>
      </c>
      <c r="I44" s="1596">
        <f>D39+H44</f>
        <v>-691181.27402563393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31476223.650334593</v>
      </c>
      <c r="J46" s="1582" t="s">
        <v>1084</v>
      </c>
      <c r="K46" s="1583">
        <f>'Cash Flow'!C76</f>
        <v>5.3739174414200175E-2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9602132.4154033717</v>
      </c>
      <c r="J47" s="1584" t="s">
        <v>1099</v>
      </c>
      <c r="K47" s="1607">
        <f>'Cash Flow'!C70</f>
        <v>51306244.550045386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-5805570.8861987926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5554627.7030002223</v>
      </c>
      <c r="J51" s="1585" t="s">
        <v>1084</v>
      </c>
      <c r="K51" s="1618">
        <f>'Cash Flow'!H76</f>
        <v>5.3739174414200175E-2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6579140.2123294212</v>
      </c>
      <c r="J52" s="1584" t="s">
        <v>1098</v>
      </c>
      <c r="K52" s="1607">
        <f>'Cash Flow'!H70</f>
        <v>9054043.1558903623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-1024512.5093291989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-6830083.3955279915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46109886.072760038</v>
      </c>
      <c r="J58" s="1582" t="s">
        <v>1084</v>
      </c>
      <c r="K58" s="1583">
        <f>'Cash Flow'!C103</f>
        <v>0.1015973620179375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75159114.298598856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8828091.5362266526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6269805.1836695056</v>
      </c>
      <c r="J63" s="1585" t="s">
        <v>1084</v>
      </c>
      <c r="K63" s="1618">
        <f>'Cash Flow'!H103</f>
        <v>5.5336139975087427E-2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6579140.2123294212</v>
      </c>
      <c r="J64" s="1584" t="s">
        <v>1098</v>
      </c>
      <c r="K64" s="1607">
        <f>'Cash Flow'!H97</f>
        <v>10219782.449381294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-309335.02865991555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8518756.507566737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zoomScale="130" zoomScaleNormal="130" workbookViewId="0">
      <selection activeCell="O30" sqref="O30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44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40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35</v>
      </c>
      <c r="E10" s="278">
        <f>IF(D10="","",D10/D$15)</f>
        <v>0.17326732673267325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123</v>
      </c>
      <c r="E11" s="278">
        <f>IF(D11="","",D11/D$15)</f>
        <v>0.6089108910891089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160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202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164050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725124</v>
      </c>
      <c r="F18" s="285"/>
      <c r="H18" s="286"/>
      <c r="I18" s="287"/>
      <c r="K18" s="226"/>
      <c r="M18" s="328" t="s">
        <v>10</v>
      </c>
      <c r="N18" s="1423">
        <f>N17+N16</f>
        <v>202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8000</v>
      </c>
      <c r="K41" s="292">
        <f>E41*I41</f>
        <v>38820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11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7370</v>
      </c>
      <c r="K42" s="292">
        <f>E42*I42</f>
        <v>22880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9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9000</v>
      </c>
      <c r="K43" s="292">
        <f>E43*I43</f>
        <v>22464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40</v>
      </c>
      <c r="F46" s="203"/>
      <c r="G46" s="203"/>
      <c r="H46" s="246"/>
      <c r="I46" s="247"/>
      <c r="J46" s="296">
        <f>SUM(J41:J45)</f>
        <v>24370</v>
      </c>
      <c r="K46" s="297">
        <f>SUM(K41:K45)</f>
        <v>84164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24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9600</v>
      </c>
      <c r="K50" s="292">
        <f>E50*I50</f>
        <v>57600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24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16080</v>
      </c>
      <c r="K51" s="292">
        <f>E51*I51</f>
        <v>74880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112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112000</v>
      </c>
      <c r="K52" s="292">
        <f>E52*I52</f>
        <v>508480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160</v>
      </c>
      <c r="F55" s="247"/>
      <c r="G55" s="247"/>
      <c r="H55" s="246"/>
      <c r="I55" s="247"/>
      <c r="J55" s="296">
        <f>SUM(J50:J54)</f>
        <v>137680</v>
      </c>
      <c r="K55" s="297">
        <f>SUM(K50:K54)</f>
        <v>640960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202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10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813154.44003015757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202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13130000</v>
      </c>
      <c r="F18" s="845"/>
      <c r="G18" s="1392">
        <f>E18</f>
        <v>13130000</v>
      </c>
      <c r="H18" s="950"/>
      <c r="I18" s="950">
        <f>G18/$F$9</f>
        <v>65000</v>
      </c>
      <c r="J18" s="1015"/>
      <c r="K18" s="1016"/>
      <c r="L18" s="1016"/>
      <c r="M18" s="1431">
        <f>F9*N17</f>
        <v>13130000</v>
      </c>
      <c r="N18" s="1674">
        <v>13130000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13130000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123.76237623762377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742.57425742574253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13305000</v>
      </c>
      <c r="H28" s="1333"/>
      <c r="I28" s="1325">
        <f t="shared" si="0"/>
        <v>65866.336633663363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13305000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64797148.25</v>
      </c>
      <c r="H32" s="1039"/>
      <c r="I32" s="950">
        <f t="shared" si="0"/>
        <v>320777.96163366339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71276863.075000003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59058000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5739148.2500000009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6479714.8250000002</v>
      </c>
      <c r="G36" s="854">
        <f>F36</f>
        <v>6479714.8250000002</v>
      </c>
      <c r="H36" s="950"/>
      <c r="I36" s="950">
        <f t="shared" si="0"/>
        <v>32077.796163366336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4535800.3775000004</v>
      </c>
      <c r="H37" s="1072"/>
      <c r="I37" s="950">
        <f t="shared" si="0"/>
        <v>22454.457314356438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4535800.3775000004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3239857.4125000001</v>
      </c>
      <c r="H38" s="1072"/>
      <c r="I38" s="950">
        <f t="shared" si="0"/>
        <v>16038.898081683168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3239857.4125000001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971957.22375</v>
      </c>
      <c r="H40" s="1072"/>
      <c r="I40" s="950">
        <f t="shared" si="0"/>
        <v>4811.6694245049503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971957.22375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971957.22375</v>
      </c>
      <c r="H41" s="1072"/>
      <c r="I41" s="950">
        <f t="shared" si="0"/>
        <v>4811.6694245049503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971957.22375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81146435.312499985</v>
      </c>
      <c r="H44" s="1324"/>
      <c r="I44" s="1325">
        <f t="shared" si="0"/>
        <v>401715.02629950485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81146435.312499985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81146435.312499985</v>
      </c>
      <c r="H46" s="1333"/>
      <c r="I46" s="1325">
        <f t="shared" si="0"/>
        <v>401715.02629950485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81146435.312499985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8114643.5312499991</v>
      </c>
      <c r="H47" s="1039"/>
      <c r="I47" s="950">
        <f t="shared" si="0"/>
        <v>40171.50262995049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8114643.5312499991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67670</v>
      </c>
      <c r="G49" s="1092">
        <f>F49</f>
        <v>67670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74336</v>
      </c>
      <c r="G50" s="1092">
        <f>F50</f>
        <v>74336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6.064356435643564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143231</v>
      </c>
      <c r="H52" s="1101"/>
      <c r="I52" s="950">
        <f t="shared" si="0"/>
        <v>709.06435643564362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143231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2139800</v>
      </c>
      <c r="H54" s="1039"/>
      <c r="I54" s="950">
        <f t="shared" si="0"/>
        <v>10593.069306930693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2139800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1976000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1976000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128440</v>
      </c>
      <c r="H57" s="1117"/>
      <c r="I57" s="950">
        <f t="shared" si="0"/>
        <v>635.8415841584158</v>
      </c>
      <c r="J57" s="1015"/>
      <c r="K57" s="1118"/>
      <c r="L57" s="1119"/>
      <c r="M57" s="1120">
        <f>(5000*F9)*1.6</f>
        <v>1616000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128440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148.51485148514851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1904373.9117187499</v>
      </c>
      <c r="H59" s="1128"/>
      <c r="I59" s="950">
        <f t="shared" si="0"/>
        <v>9427.5936223700483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2298240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202866.08828124998</v>
      </c>
      <c r="H67" s="1039"/>
      <c r="I67" s="950">
        <f t="shared" si="0"/>
        <v>1004.2875657487623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202866.08828124998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34.653465346534652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470.29702970297029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123.76237623762377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148.51485148514851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168.31683168316832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393866.08828124998</v>
      </c>
      <c r="H80" s="1101"/>
      <c r="I80" s="950">
        <f t="shared" si="0"/>
        <v>1949.8321202042077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393866.08828124998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3256436</v>
      </c>
      <c r="H90" s="1111"/>
      <c r="I90" s="950">
        <f t="shared" si="3"/>
        <v>16120.970297029702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3256436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495.04950495049508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2380974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2380974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525200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3356436</v>
      </c>
      <c r="H97" s="1101"/>
      <c r="I97" s="950">
        <f t="shared" si="3"/>
        <v>16616.019801980197</v>
      </c>
      <c r="J97" s="1102"/>
      <c r="K97" s="1166">
        <f>I97/I250</f>
        <v>2.6414871877427779E-2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3356436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309419.07151713799</v>
      </c>
      <c r="H102" s="1111"/>
      <c r="I102" s="950">
        <f t="shared" si="3"/>
        <v>1531.7775817680099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309419.07151713799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294419.07151713799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5888321.559096951</v>
      </c>
      <c r="N103" s="1172">
        <v>5888381.430342759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309419.07151713799</v>
      </c>
      <c r="H114" s="1101"/>
      <c r="I114" s="950">
        <f t="shared" si="3"/>
        <v>1531.7775817680099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309419.07151713799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5865967.482485503</v>
      </c>
      <c r="H116" s="1177"/>
      <c r="I116" s="950">
        <f t="shared" si="3"/>
        <v>29039.4429826015</v>
      </c>
      <c r="J116" s="1178"/>
      <c r="K116" s="1179" t="s">
        <v>823</v>
      </c>
      <c r="L116" s="1073"/>
      <c r="M116" s="1180">
        <f>0.5*Data!C20*Data!C17/12*Data!C19</f>
        <v>5865967.482485503</v>
      </c>
      <c r="N116" s="1181">
        <v>5865967.482485503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5865967.482485503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832052.1251752486</v>
      </c>
      <c r="H117" s="1094"/>
      <c r="I117" s="950">
        <f t="shared" si="3"/>
        <v>4119.0699266101419</v>
      </c>
      <c r="J117" s="1015"/>
      <c r="K117" s="1184" t="s">
        <v>825</v>
      </c>
      <c r="L117" s="1185"/>
      <c r="M117" s="1186">
        <f>0.01*Data!C20</f>
        <v>832052.1251752486</v>
      </c>
      <c r="N117" s="1172">
        <v>832052.1251752486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832052.1251752486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393702.39350000001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393702.39350000001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1111905.2766952969</v>
      </c>
      <c r="H121" s="1117"/>
      <c r="I121" s="950">
        <f t="shared" si="3"/>
        <v>5504.4815677984998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1111905.2766952969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1111905.2766952969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134807.81877628728</v>
      </c>
      <c r="H125" s="1111"/>
      <c r="I125" s="950">
        <f t="shared" si="3"/>
        <v>667.36543948657072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134807.81877628728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124807.81877628728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124807.81877628728</v>
      </c>
      <c r="N126" s="1172">
        <v>124807.81877628728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76.237623762376231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8353835.0966323363</v>
      </c>
      <c r="H148" s="1128"/>
      <c r="I148" s="950">
        <f t="shared" si="6"/>
        <v>41355.619290259092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8353835.0966323363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840183.66957555013</v>
      </c>
      <c r="H151" s="1093"/>
      <c r="I151" s="950">
        <f t="shared" ref="I151:I158" si="7">G151/$F$9</f>
        <v>4159.3250969086639</v>
      </c>
      <c r="J151" s="1094"/>
      <c r="K151" s="1244" t="s">
        <v>863</v>
      </c>
      <c r="L151" s="1245"/>
      <c r="M151" s="1558">
        <f>Data!C31*Data!C30</f>
        <v>840183.66957555013</v>
      </c>
      <c r="N151" s="1345">
        <v>840183.66957555013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7488469.1265772367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297.02970297029702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247.52475247524754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544.55445544554459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6135595.5</v>
      </c>
      <c r="H178" s="1093"/>
      <c r="I178" s="950">
        <f t="shared" si="6"/>
        <v>30374.23514851485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6135595.5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6135595.5</v>
      </c>
      <c r="H181" s="1128"/>
      <c r="I181" s="950">
        <f t="shared" si="6"/>
        <v>30374.23514851485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6135595.5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64.356435643564353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59.405940594059409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123.76237623762377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71.78217821782178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461.63366336633663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247.52475247524754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1391.0891089108911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956145.08782153623</v>
      </c>
      <c r="H233" s="1111"/>
      <c r="I233" s="950">
        <f t="shared" si="8"/>
        <v>4733.3915238689915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956145.08782153623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1394895.0878215362</v>
      </c>
      <c r="H234" s="1282"/>
      <c r="I234" s="950">
        <f t="shared" si="8"/>
        <v>6905.4212268392885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1394895.0878215362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12376.237623762376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102.72277227722772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12478.960396039603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3.3003300330033003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9.9009900990099009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13.201320132013201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127066147.26638766</v>
      </c>
      <c r="H250" s="1298"/>
      <c r="I250" s="1299">
        <f>G250/F9</f>
        <v>629040.33300191909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645.46452944421242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202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196860</v>
      </c>
      <c r="D5" t="s">
        <v>428</v>
      </c>
      <c r="G5" s="510"/>
    </row>
    <row r="6" spans="1:15">
      <c r="B6" s="1350" t="s">
        <v>12</v>
      </c>
      <c r="C6" s="700">
        <f>'Construction Calculation'!C14</f>
        <v>196860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32810</v>
      </c>
      <c r="D8" t="s">
        <v>428</v>
      </c>
      <c r="G8" s="510"/>
    </row>
    <row r="9" spans="1:15">
      <c r="B9" s="1350" t="s">
        <v>430</v>
      </c>
      <c r="C9" s="700">
        <f>'Construction Calculation'!C47</f>
        <v>101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83205212.517524853</v>
      </c>
      <c r="D20" s="1375">
        <f>MIN(D22,GapCalc!D24)</f>
        <v>82592995.723151982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82592995.723151982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-5832595.4999999739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5832595.5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99260575.199999973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84018366.957555011</v>
      </c>
      <c r="D30" s="1376">
        <f>-PV($C$24/12,$C$29*12,C27/12)</f>
        <v>84018366.957555011</v>
      </c>
      <c r="E30" s="1384"/>
      <c r="F30" t="s">
        <v>438</v>
      </c>
      <c r="G30" s="1381"/>
      <c r="H30" s="1376">
        <f>PV(G23,G29,-'Cash Flow'!E41*H28,)</f>
        <v>9402947.0125739854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5832595.5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101652917.81311013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95927317.325821668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3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8701488</v>
      </c>
      <c r="F12" s="89">
        <f>E12*(1+$D$12)</f>
        <v>8919025.1999999993</v>
      </c>
      <c r="G12" s="89">
        <f t="shared" ref="G12:AH12" si="0">F12*(1+$D$12)</f>
        <v>9142000.8299999982</v>
      </c>
      <c r="H12" s="89">
        <f t="shared" si="0"/>
        <v>9370550.8507499974</v>
      </c>
      <c r="I12" s="89">
        <f t="shared" si="0"/>
        <v>9604814.622018747</v>
      </c>
      <c r="J12" s="89">
        <f t="shared" si="0"/>
        <v>9844934.9875692148</v>
      </c>
      <c r="K12" s="89">
        <f t="shared" si="0"/>
        <v>10091058.362258444</v>
      </c>
      <c r="L12" s="89">
        <f t="shared" si="0"/>
        <v>10343334.821314903</v>
      </c>
      <c r="M12" s="89">
        <f t="shared" si="0"/>
        <v>10601918.191847775</v>
      </c>
      <c r="N12" s="89">
        <f t="shared" si="0"/>
        <v>10866966.146643968</v>
      </c>
      <c r="O12" s="89">
        <f t="shared" si="0"/>
        <v>11138640.300310066</v>
      </c>
      <c r="P12" s="89">
        <f t="shared" si="0"/>
        <v>11417106.307817817</v>
      </c>
      <c r="Q12" s="89">
        <f t="shared" si="0"/>
        <v>11702533.965513261</v>
      </c>
      <c r="R12" s="89">
        <f t="shared" si="0"/>
        <v>11995097.314651091</v>
      </c>
      <c r="S12" s="90">
        <f t="shared" si="0"/>
        <v>12294974.747517366</v>
      </c>
      <c r="T12" s="89">
        <f t="shared" si="0"/>
        <v>12602349.116205299</v>
      </c>
      <c r="U12" s="89">
        <f t="shared" si="0"/>
        <v>12917407.844110431</v>
      </c>
      <c r="V12" s="89">
        <f t="shared" si="0"/>
        <v>13240343.04021319</v>
      </c>
      <c r="W12" s="89">
        <f t="shared" si="0"/>
        <v>13571351.616218518</v>
      </c>
      <c r="X12" s="89">
        <f t="shared" si="0"/>
        <v>13910635.40662398</v>
      </c>
      <c r="Y12" s="89">
        <f t="shared" si="0"/>
        <v>14258401.291789578</v>
      </c>
      <c r="Z12" s="89">
        <f t="shared" si="0"/>
        <v>14614861.324084317</v>
      </c>
      <c r="AA12" s="89">
        <f t="shared" si="0"/>
        <v>14980232.857186424</v>
      </c>
      <c r="AB12" s="89">
        <f t="shared" si="0"/>
        <v>15354738.678616082</v>
      </c>
      <c r="AC12" s="89">
        <f t="shared" si="0"/>
        <v>15738607.145581484</v>
      </c>
      <c r="AD12" s="89">
        <f t="shared" si="0"/>
        <v>16132072.324221019</v>
      </c>
      <c r="AE12" s="89">
        <f t="shared" si="0"/>
        <v>16535374.132326543</v>
      </c>
      <c r="AF12" s="89">
        <f t="shared" si="0"/>
        <v>16948758.485634707</v>
      </c>
      <c r="AG12" s="89">
        <f t="shared" si="0"/>
        <v>17372477.447775573</v>
      </c>
      <c r="AH12" s="89">
        <f t="shared" si="0"/>
        <v>17806789.383969959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-435353.4</v>
      </c>
      <c r="F14" s="100">
        <f t="shared" ref="F14:AH14" si="2">-((F12+F13)*$C$14)</f>
        <v>-446237.23499999999</v>
      </c>
      <c r="G14" s="100">
        <f t="shared" si="2"/>
        <v>-457393.16587499995</v>
      </c>
      <c r="H14" s="100">
        <f t="shared" si="2"/>
        <v>-468827.99502187484</v>
      </c>
      <c r="I14" s="100">
        <f t="shared" si="2"/>
        <v>-480548.69489742175</v>
      </c>
      <c r="J14" s="100">
        <f t="shared" si="2"/>
        <v>-492562.41226985725</v>
      </c>
      <c r="K14" s="100">
        <f t="shared" si="2"/>
        <v>-504876.47257660358</v>
      </c>
      <c r="L14" s="100">
        <f t="shared" si="2"/>
        <v>-517498.3843910186</v>
      </c>
      <c r="M14" s="100">
        <f t="shared" si="2"/>
        <v>-530435.84400079399</v>
      </c>
      <c r="N14" s="100">
        <f t="shared" si="2"/>
        <v>-543696.74010081391</v>
      </c>
      <c r="O14" s="100">
        <f t="shared" si="2"/>
        <v>-557289.1586033341</v>
      </c>
      <c r="P14" s="100">
        <f t="shared" si="2"/>
        <v>-571221.38756841735</v>
      </c>
      <c r="Q14" s="100">
        <f t="shared" si="2"/>
        <v>-585501.92225762771</v>
      </c>
      <c r="R14" s="100">
        <f t="shared" si="2"/>
        <v>-600139.47031406837</v>
      </c>
      <c r="S14" s="101">
        <f t="shared" si="2"/>
        <v>-615142.95707192004</v>
      </c>
      <c r="T14" s="100">
        <f t="shared" si="2"/>
        <v>-630521.53099871799</v>
      </c>
      <c r="U14" s="100">
        <f t="shared" si="2"/>
        <v>-646284.56927368592</v>
      </c>
      <c r="V14" s="100">
        <f t="shared" si="2"/>
        <v>-662441.68350552791</v>
      </c>
      <c r="W14" s="100">
        <f t="shared" si="2"/>
        <v>-679002.72559316608</v>
      </c>
      <c r="X14" s="100">
        <f t="shared" si="2"/>
        <v>-695977.79373299517</v>
      </c>
      <c r="Y14" s="100">
        <f t="shared" si="2"/>
        <v>-713377.23857632</v>
      </c>
      <c r="Z14" s="100">
        <f t="shared" si="2"/>
        <v>-731211.66954072798</v>
      </c>
      <c r="AA14" s="100">
        <f t="shared" si="2"/>
        <v>-749491.96127924602</v>
      </c>
      <c r="AB14" s="100">
        <f t="shared" si="2"/>
        <v>-768229.26031122718</v>
      </c>
      <c r="AC14" s="100">
        <f t="shared" si="2"/>
        <v>-787434.99181900779</v>
      </c>
      <c r="AD14" s="100">
        <f t="shared" si="2"/>
        <v>-807120.86661448283</v>
      </c>
      <c r="AE14" s="100">
        <f t="shared" si="2"/>
        <v>-827298.88827984489</v>
      </c>
      <c r="AF14" s="100">
        <f t="shared" si="2"/>
        <v>-847981.36048684106</v>
      </c>
      <c r="AG14" s="100">
        <f t="shared" si="2"/>
        <v>-869180.89449901192</v>
      </c>
      <c r="AH14" s="100">
        <f t="shared" si="2"/>
        <v>-890910.41686148709</v>
      </c>
    </row>
    <row r="15" spans="1:34">
      <c r="A15" s="76"/>
      <c r="B15" s="102" t="s">
        <v>312</v>
      </c>
      <c r="C15" s="76"/>
      <c r="D15" s="76"/>
      <c r="E15" s="95">
        <f>SUM(E12:E14)</f>
        <v>8271714.5999999996</v>
      </c>
      <c r="F15" s="95">
        <f t="shared" ref="F15:AH15" si="3">SUM(F12:F14)</f>
        <v>8478507.4649999999</v>
      </c>
      <c r="G15" s="103">
        <f t="shared" si="3"/>
        <v>8690470.1516249999</v>
      </c>
      <c r="H15" s="104">
        <f t="shared" si="3"/>
        <v>8907731.9054156225</v>
      </c>
      <c r="I15" s="104">
        <f t="shared" si="3"/>
        <v>9130425.203051012</v>
      </c>
      <c r="J15" s="95">
        <f t="shared" si="3"/>
        <v>9358685.8331272881</v>
      </c>
      <c r="K15" s="103">
        <f t="shared" si="3"/>
        <v>9592652.9789554682</v>
      </c>
      <c r="L15" s="95">
        <f t="shared" si="3"/>
        <v>9832469.3034293521</v>
      </c>
      <c r="M15" s="95">
        <f t="shared" si="3"/>
        <v>10078281.036015086</v>
      </c>
      <c r="N15" s="95">
        <f t="shared" si="3"/>
        <v>10330238.061915463</v>
      </c>
      <c r="O15" s="95">
        <f t="shared" si="3"/>
        <v>10588494.013463346</v>
      </c>
      <c r="P15" s="95">
        <f t="shared" si="3"/>
        <v>10853206.36379993</v>
      </c>
      <c r="Q15" s="95">
        <f t="shared" si="3"/>
        <v>11124536.522894926</v>
      </c>
      <c r="R15" s="95">
        <f t="shared" si="3"/>
        <v>11402649.935967298</v>
      </c>
      <c r="S15" s="96">
        <f t="shared" si="3"/>
        <v>11687716.18436648</v>
      </c>
      <c r="T15" s="95">
        <f t="shared" si="3"/>
        <v>11979909.08897564</v>
      </c>
      <c r="U15" s="95">
        <f t="shared" si="3"/>
        <v>12279406.816200031</v>
      </c>
      <c r="V15" s="95">
        <f t="shared" si="3"/>
        <v>12586391.98660503</v>
      </c>
      <c r="W15" s="95">
        <f t="shared" si="3"/>
        <v>12901051.786270155</v>
      </c>
      <c r="X15" s="95">
        <f t="shared" si="3"/>
        <v>13223578.080926906</v>
      </c>
      <c r="Y15" s="95">
        <f t="shared" si="3"/>
        <v>13554167.532950077</v>
      </c>
      <c r="Z15" s="95">
        <f t="shared" si="3"/>
        <v>13893021.72127383</v>
      </c>
      <c r="AA15" s="95">
        <f t="shared" si="3"/>
        <v>14240347.264305674</v>
      </c>
      <c r="AB15" s="95">
        <f t="shared" si="3"/>
        <v>14596355.945913315</v>
      </c>
      <c r="AC15" s="95">
        <f t="shared" si="3"/>
        <v>14961264.844561147</v>
      </c>
      <c r="AD15" s="95">
        <f t="shared" si="3"/>
        <v>15335296.465675173</v>
      </c>
      <c r="AE15" s="95">
        <f t="shared" si="3"/>
        <v>15718678.877317052</v>
      </c>
      <c r="AF15" s="95">
        <f t="shared" si="3"/>
        <v>16111645.849249979</v>
      </c>
      <c r="AG15" s="95">
        <f t="shared" si="3"/>
        <v>16514436.995481227</v>
      </c>
      <c r="AH15" s="95">
        <f t="shared" si="3"/>
        <v>16927297.920368254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-1212000</v>
      </c>
      <c r="F18" s="89">
        <f>E18*(1+$D$18)</f>
        <v>-1254420</v>
      </c>
      <c r="G18" s="94">
        <f t="shared" ref="G18:AH18" si="5">F18*(1+$D$18)</f>
        <v>-1298324.7</v>
      </c>
      <c r="H18" s="106">
        <f t="shared" si="5"/>
        <v>-1343766.0644999999</v>
      </c>
      <c r="I18" s="106">
        <f t="shared" si="5"/>
        <v>-1390797.8767574998</v>
      </c>
      <c r="J18" s="89">
        <f t="shared" si="5"/>
        <v>-1439475.8024440121</v>
      </c>
      <c r="K18" s="94">
        <f t="shared" si="5"/>
        <v>-1489857.4555295524</v>
      </c>
      <c r="L18" s="89">
        <f t="shared" si="5"/>
        <v>-1542002.4664730867</v>
      </c>
      <c r="M18" s="89">
        <f t="shared" si="5"/>
        <v>-1595972.5527996446</v>
      </c>
      <c r="N18" s="89">
        <f t="shared" si="5"/>
        <v>-1651831.592147632</v>
      </c>
      <c r="O18" s="89">
        <f t="shared" si="5"/>
        <v>-1709645.6978727991</v>
      </c>
      <c r="P18" s="89">
        <f t="shared" si="5"/>
        <v>-1769483.2972983469</v>
      </c>
      <c r="Q18" s="89">
        <f t="shared" si="5"/>
        <v>-1831415.2127037889</v>
      </c>
      <c r="R18" s="89">
        <f t="shared" si="5"/>
        <v>-1895514.7451484213</v>
      </c>
      <c r="S18" s="90">
        <f t="shared" si="5"/>
        <v>-1961857.7612286159</v>
      </c>
      <c r="T18" s="89">
        <f t="shared" si="5"/>
        <v>-2030522.7828716172</v>
      </c>
      <c r="U18" s="89">
        <f t="shared" si="5"/>
        <v>-2101591.0802721237</v>
      </c>
      <c r="V18" s="89">
        <f t="shared" si="5"/>
        <v>-2175146.7680816478</v>
      </c>
      <c r="W18" s="89">
        <f t="shared" si="5"/>
        <v>-2251276.9049645052</v>
      </c>
      <c r="X18" s="89">
        <f t="shared" si="5"/>
        <v>-2330071.5966382627</v>
      </c>
      <c r="Y18" s="89">
        <f t="shared" si="5"/>
        <v>-2411624.1025206018</v>
      </c>
      <c r="Z18" s="89">
        <f t="shared" si="5"/>
        <v>-2496030.9461088227</v>
      </c>
      <c r="AA18" s="89">
        <f t="shared" si="5"/>
        <v>-2583392.0292226314</v>
      </c>
      <c r="AB18" s="89">
        <f t="shared" si="5"/>
        <v>-2673810.7502454231</v>
      </c>
      <c r="AC18" s="89">
        <f t="shared" si="5"/>
        <v>-2767394.1265040128</v>
      </c>
      <c r="AD18" s="89">
        <f t="shared" si="5"/>
        <v>-2864252.9209316531</v>
      </c>
      <c r="AE18" s="89">
        <f t="shared" si="5"/>
        <v>-2964501.7731642607</v>
      </c>
      <c r="AF18" s="89">
        <f t="shared" si="5"/>
        <v>-3068259.3352250094</v>
      </c>
      <c r="AG18" s="89">
        <f t="shared" si="5"/>
        <v>-3175648.4119578847</v>
      </c>
      <c r="AH18" s="89">
        <f t="shared" si="5"/>
        <v>-3286796.1063764105</v>
      </c>
    </row>
    <row r="19" spans="1:34">
      <c r="A19" s="86"/>
      <c r="B19" s="87" t="s">
        <v>315</v>
      </c>
      <c r="C19" s="1713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-60600</v>
      </c>
      <c r="F20" s="108">
        <f>+E20</f>
        <v>-60600</v>
      </c>
      <c r="G20" s="108">
        <f>F20</f>
        <v>-60600</v>
      </c>
      <c r="H20" s="108">
        <f>G20</f>
        <v>-60600</v>
      </c>
      <c r="I20" s="108">
        <f>H20</f>
        <v>-60600</v>
      </c>
      <c r="J20" s="108">
        <f t="shared" ref="J20:AH20" si="7">I20</f>
        <v>-60600</v>
      </c>
      <c r="K20" s="108">
        <f t="shared" si="7"/>
        <v>-60600</v>
      </c>
      <c r="L20" s="108">
        <f t="shared" si="7"/>
        <v>-60600</v>
      </c>
      <c r="M20" s="108">
        <f t="shared" si="7"/>
        <v>-60600</v>
      </c>
      <c r="N20" s="108">
        <f t="shared" si="7"/>
        <v>-60600</v>
      </c>
      <c r="O20" s="108">
        <f>N20</f>
        <v>-60600</v>
      </c>
      <c r="P20" s="108">
        <f t="shared" si="7"/>
        <v>-60600</v>
      </c>
      <c r="Q20" s="108">
        <f t="shared" si="7"/>
        <v>-60600</v>
      </c>
      <c r="R20" s="108">
        <f t="shared" si="7"/>
        <v>-60600</v>
      </c>
      <c r="S20" s="109">
        <f t="shared" si="7"/>
        <v>-60600</v>
      </c>
      <c r="T20" s="108">
        <f t="shared" si="7"/>
        <v>-60600</v>
      </c>
      <c r="U20" s="108">
        <f t="shared" si="7"/>
        <v>-60600</v>
      </c>
      <c r="V20" s="108">
        <f t="shared" si="7"/>
        <v>-60600</v>
      </c>
      <c r="W20" s="108">
        <f t="shared" si="7"/>
        <v>-60600</v>
      </c>
      <c r="X20" s="108">
        <f t="shared" si="7"/>
        <v>-60600</v>
      </c>
      <c r="Y20" s="108">
        <f t="shared" si="7"/>
        <v>-60600</v>
      </c>
      <c r="Z20" s="108">
        <f t="shared" si="7"/>
        <v>-60600</v>
      </c>
      <c r="AA20" s="108">
        <f t="shared" si="7"/>
        <v>-60600</v>
      </c>
      <c r="AB20" s="108">
        <f t="shared" si="7"/>
        <v>-60600</v>
      </c>
      <c r="AC20" s="108">
        <f t="shared" si="7"/>
        <v>-60600</v>
      </c>
      <c r="AD20" s="108">
        <f t="shared" si="7"/>
        <v>-60600</v>
      </c>
      <c r="AE20" s="108">
        <f t="shared" si="7"/>
        <v>-60600</v>
      </c>
      <c r="AF20" s="108">
        <f t="shared" si="7"/>
        <v>-60600</v>
      </c>
      <c r="AG20" s="108">
        <f t="shared" si="7"/>
        <v>-60600</v>
      </c>
      <c r="AH20" s="108">
        <f t="shared" si="7"/>
        <v>-60600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6999114.5999999996</v>
      </c>
      <c r="F21" s="95">
        <f t="shared" si="8"/>
        <v>7163487.4649999999</v>
      </c>
      <c r="G21" s="95">
        <f t="shared" si="8"/>
        <v>7331545.4516249998</v>
      </c>
      <c r="H21" s="95">
        <f t="shared" si="8"/>
        <v>7503365.8409156222</v>
      </c>
      <c r="I21" s="95">
        <f t="shared" si="8"/>
        <v>7679027.3262935122</v>
      </c>
      <c r="J21" s="95">
        <f t="shared" si="8"/>
        <v>7858610.0306832762</v>
      </c>
      <c r="K21" s="95">
        <f t="shared" si="8"/>
        <v>8042195.5234259162</v>
      </c>
      <c r="L21" s="95">
        <f t="shared" si="8"/>
        <v>8229866.8369562654</v>
      </c>
      <c r="M21" s="95">
        <f t="shared" si="8"/>
        <v>8421708.4832154419</v>
      </c>
      <c r="N21" s="95">
        <f t="shared" si="8"/>
        <v>8617806.4697678313</v>
      </c>
      <c r="O21" s="95">
        <f t="shared" si="8"/>
        <v>8818248.3155905474</v>
      </c>
      <c r="P21" s="95">
        <f t="shared" si="8"/>
        <v>9023123.066501582</v>
      </c>
      <c r="Q21" s="95">
        <f t="shared" si="8"/>
        <v>9232521.3101911377</v>
      </c>
      <c r="R21" s="95">
        <f t="shared" si="8"/>
        <v>9446535.190818876</v>
      </c>
      <c r="S21" s="96">
        <f t="shared" si="8"/>
        <v>9665258.4231378641</v>
      </c>
      <c r="T21" s="95">
        <f t="shared" si="8"/>
        <v>9888786.306104023</v>
      </c>
      <c r="U21" s="95">
        <f t="shared" si="8"/>
        <v>10117215.735927908</v>
      </c>
      <c r="V21" s="95">
        <f t="shared" si="8"/>
        <v>10350645.218523381</v>
      </c>
      <c r="W21" s="95">
        <f t="shared" si="8"/>
        <v>10589174.88130565</v>
      </c>
      <c r="X21" s="95">
        <f t="shared" si="8"/>
        <v>10832906.484288644</v>
      </c>
      <c r="Y21" s="95">
        <f t="shared" si="8"/>
        <v>11081943.430429475</v>
      </c>
      <c r="Z21" s="95">
        <f t="shared" si="8"/>
        <v>11336390.775165007</v>
      </c>
      <c r="AA21" s="95">
        <f t="shared" si="8"/>
        <v>11596355.235083042</v>
      </c>
      <c r="AB21" s="95">
        <f t="shared" si="8"/>
        <v>11861945.195667893</v>
      </c>
      <c r="AC21" s="95">
        <f t="shared" si="8"/>
        <v>12133270.718057133</v>
      </c>
      <c r="AD21" s="95">
        <f t="shared" si="8"/>
        <v>12410443.544743519</v>
      </c>
      <c r="AE21" s="95">
        <f t="shared" si="8"/>
        <v>12693577.104152791</v>
      </c>
      <c r="AF21" s="95">
        <f t="shared" si="8"/>
        <v>12982786.514024969</v>
      </c>
      <c r="AG21" s="95">
        <f t="shared" si="8"/>
        <v>13278188.583523342</v>
      </c>
      <c r="AH21" s="95">
        <f t="shared" si="8"/>
        <v>13579901.813991845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-5832595.5</v>
      </c>
      <c r="F22" s="95">
        <f t="shared" ref="F22:AH22" si="9">$E$22</f>
        <v>-5832595.5</v>
      </c>
      <c r="G22" s="95">
        <f t="shared" si="9"/>
        <v>-5832595.5</v>
      </c>
      <c r="H22" s="95">
        <f t="shared" si="9"/>
        <v>-5832595.5</v>
      </c>
      <c r="I22" s="95">
        <f t="shared" si="9"/>
        <v>-5832595.5</v>
      </c>
      <c r="J22" s="95">
        <f t="shared" si="9"/>
        <v>-5832595.5</v>
      </c>
      <c r="K22" s="95">
        <f t="shared" si="9"/>
        <v>-5832595.5</v>
      </c>
      <c r="L22" s="95">
        <f t="shared" si="9"/>
        <v>-5832595.5</v>
      </c>
      <c r="M22" s="95">
        <f t="shared" si="9"/>
        <v>-5832595.5</v>
      </c>
      <c r="N22" s="95">
        <f t="shared" si="9"/>
        <v>-5832595.5</v>
      </c>
      <c r="O22" s="95">
        <f t="shared" si="9"/>
        <v>-5832595.5</v>
      </c>
      <c r="P22" s="95">
        <f t="shared" si="9"/>
        <v>-5832595.5</v>
      </c>
      <c r="Q22" s="95">
        <f t="shared" si="9"/>
        <v>-5832595.5</v>
      </c>
      <c r="R22" s="95">
        <f t="shared" si="9"/>
        <v>-5832595.5</v>
      </c>
      <c r="S22" s="96">
        <f t="shared" si="9"/>
        <v>-5832595.5</v>
      </c>
      <c r="T22" s="95">
        <f t="shared" si="9"/>
        <v>-5832595.5</v>
      </c>
      <c r="U22" s="95">
        <f t="shared" si="9"/>
        <v>-5832595.5</v>
      </c>
      <c r="V22" s="95">
        <f t="shared" si="9"/>
        <v>-5832595.5</v>
      </c>
      <c r="W22" s="95">
        <f t="shared" si="9"/>
        <v>-5832595.5</v>
      </c>
      <c r="X22" s="95">
        <f t="shared" si="9"/>
        <v>-5832595.5</v>
      </c>
      <c r="Y22" s="95">
        <f t="shared" si="9"/>
        <v>-5832595.5</v>
      </c>
      <c r="Z22" s="95">
        <f t="shared" si="9"/>
        <v>-5832595.5</v>
      </c>
      <c r="AA22" s="95">
        <f t="shared" si="9"/>
        <v>-5832595.5</v>
      </c>
      <c r="AB22" s="95">
        <f t="shared" si="9"/>
        <v>-5832595.5</v>
      </c>
      <c r="AC22" s="95">
        <f t="shared" si="9"/>
        <v>-5832595.5</v>
      </c>
      <c r="AD22" s="95">
        <f t="shared" si="9"/>
        <v>-5832595.5</v>
      </c>
      <c r="AE22" s="95">
        <f t="shared" si="9"/>
        <v>-5832595.5</v>
      </c>
      <c r="AF22" s="95">
        <f t="shared" si="9"/>
        <v>-5832595.5</v>
      </c>
      <c r="AG22" s="95">
        <f t="shared" si="9"/>
        <v>-5832595.5</v>
      </c>
      <c r="AH22" s="95">
        <f t="shared" si="9"/>
        <v>-5832595.5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1166519.0999999996</v>
      </c>
      <c r="F25" s="119">
        <f t="shared" ref="F25:AH25" si="11">+F21+F22+F23</f>
        <v>1330891.9649999999</v>
      </c>
      <c r="G25" s="119">
        <f t="shared" si="11"/>
        <v>1498949.9516249998</v>
      </c>
      <c r="H25" s="119">
        <f t="shared" si="11"/>
        <v>1670770.3409156222</v>
      </c>
      <c r="I25" s="119">
        <f t="shared" si="11"/>
        <v>1846431.8262935122</v>
      </c>
      <c r="J25" s="119">
        <f t="shared" si="11"/>
        <v>2026014.5306832762</v>
      </c>
      <c r="K25" s="119">
        <f t="shared" si="11"/>
        <v>2209600.0234259162</v>
      </c>
      <c r="L25" s="119">
        <f t="shared" si="11"/>
        <v>2397271.3369562654</v>
      </c>
      <c r="M25" s="119">
        <f t="shared" si="11"/>
        <v>2589112.9832154419</v>
      </c>
      <c r="N25" s="119">
        <f t="shared" si="11"/>
        <v>2785210.9697678313</v>
      </c>
      <c r="O25" s="119">
        <f t="shared" si="11"/>
        <v>2985652.8155905474</v>
      </c>
      <c r="P25" s="119">
        <f t="shared" si="11"/>
        <v>3190527.566501582</v>
      </c>
      <c r="Q25" s="119">
        <f t="shared" si="11"/>
        <v>3399925.8101911377</v>
      </c>
      <c r="R25" s="119">
        <f t="shared" si="11"/>
        <v>3613939.690818876</v>
      </c>
      <c r="S25" s="160">
        <f t="shared" si="11"/>
        <v>3832662.9231378641</v>
      </c>
      <c r="T25" s="119">
        <f t="shared" si="11"/>
        <v>4056190.806104023</v>
      </c>
      <c r="U25" s="119">
        <f t="shared" si="11"/>
        <v>4284620.2359279078</v>
      </c>
      <c r="V25" s="119">
        <f t="shared" si="11"/>
        <v>4518049.7185233813</v>
      </c>
      <c r="W25" s="119">
        <f t="shared" si="11"/>
        <v>4756579.3813056499</v>
      </c>
      <c r="X25" s="119">
        <f t="shared" si="11"/>
        <v>5000310.984288644</v>
      </c>
      <c r="Y25" s="119">
        <f t="shared" si="11"/>
        <v>5249347.9304294754</v>
      </c>
      <c r="Z25" s="119">
        <f t="shared" si="11"/>
        <v>5503795.2751650065</v>
      </c>
      <c r="AA25" s="119">
        <f t="shared" si="11"/>
        <v>5763759.7350830417</v>
      </c>
      <c r="AB25" s="119">
        <f t="shared" si="11"/>
        <v>6029349.6956678927</v>
      </c>
      <c r="AC25" s="119">
        <f t="shared" si="11"/>
        <v>6300675.2180571333</v>
      </c>
      <c r="AD25" s="119">
        <f t="shared" si="11"/>
        <v>6577848.0447435193</v>
      </c>
      <c r="AE25" s="119">
        <f t="shared" si="11"/>
        <v>6860981.6041527912</v>
      </c>
      <c r="AF25" s="119">
        <f t="shared" si="11"/>
        <v>7150191.0140249692</v>
      </c>
      <c r="AG25" s="119">
        <f t="shared" si="11"/>
        <v>7445593.0835233424</v>
      </c>
      <c r="AH25" s="119">
        <f t="shared" si="11"/>
        <v>7747306.3139918447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1.2281817700198823</v>
      </c>
      <c r="G27" s="122">
        <f t="shared" si="12"/>
        <v>1.2569953550910569</v>
      </c>
      <c r="H27" s="122">
        <f t="shared" si="12"/>
        <v>1.2864540050678335</v>
      </c>
      <c r="I27" s="122">
        <f t="shared" si="12"/>
        <v>1.3165712119576116</v>
      </c>
      <c r="J27" s="122">
        <f t="shared" si="12"/>
        <v>1.347360712856442</v>
      </c>
      <c r="K27" s="122">
        <f t="shared" si="12"/>
        <v>1.3788364928488384</v>
      </c>
      <c r="L27" s="122">
        <f t="shared" si="12"/>
        <v>1.4110127878671279</v>
      </c>
      <c r="M27" s="122">
        <f t="shared" si="12"/>
        <v>1.4439040875053726</v>
      </c>
      <c r="N27" s="122">
        <f t="shared" si="12"/>
        <v>1.4775251377826273</v>
      </c>
      <c r="O27" s="122">
        <f t="shared" si="12"/>
        <v>1.5118909438500487</v>
      </c>
      <c r="P27" s="122">
        <f t="shared" si="12"/>
        <v>1.5470167726360557</v>
      </c>
      <c r="Q27" s="122">
        <f t="shared" si="12"/>
        <v>1.5829181554234539</v>
      </c>
      <c r="R27" s="122">
        <f t="shared" si="12"/>
        <v>1.6196108903521385</v>
      </c>
      <c r="S27" s="161">
        <f t="shared" si="12"/>
        <v>1.6571110448406483</v>
      </c>
      <c r="T27" s="122">
        <f t="shared" si="12"/>
        <v>1.69543495791951</v>
      </c>
      <c r="U27" s="122">
        <f t="shared" si="12"/>
        <v>1.7345992424689674</v>
      </c>
      <c r="V27" s="122">
        <f t="shared" si="12"/>
        <v>1.7746207873533115</v>
      </c>
      <c r="W27" s="122">
        <f t="shared" si="12"/>
        <v>1.8155167594436559</v>
      </c>
      <c r="X27" s="122">
        <f t="shared" si="12"/>
        <v>1.8573046055205857</v>
      </c>
      <c r="Y27" s="122">
        <f t="shared" si="12"/>
        <v>1.9000020540477178</v>
      </c>
      <c r="Z27" s="122">
        <f t="shared" si="12"/>
        <v>1.9436271168067469</v>
      </c>
      <c r="AA27" s="122">
        <f t="shared" si="12"/>
        <v>1.9881980903841252</v>
      </c>
      <c r="AB27" s="122">
        <f t="shared" si="12"/>
        <v>2.0337335574990401</v>
      </c>
      <c r="AC27" s="122">
        <f t="shared" si="12"/>
        <v>2.0802523881618624</v>
      </c>
      <c r="AD27" s="122">
        <f t="shared" si="12"/>
        <v>2.1277737406517425</v>
      </c>
      <c r="AE27" s="122">
        <f t="shared" si="12"/>
        <v>2.1763170623014729</v>
      </c>
      <c r="AF27" s="122">
        <f t="shared" si="12"/>
        <v>2.2259020900772168</v>
      </c>
      <c r="AG27" s="122">
        <f t="shared" si="12"/>
        <v>2.2765488509400904</v>
      </c>
      <c r="AH27" s="122">
        <f t="shared" si="12"/>
        <v>2.3282776619760184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1166519.0999999996</v>
      </c>
      <c r="F41" s="129">
        <f t="shared" ref="F41:S41" si="20">F25+F37</f>
        <v>1330891.9649999999</v>
      </c>
      <c r="G41" s="129">
        <f t="shared" si="20"/>
        <v>1498949.9516249998</v>
      </c>
      <c r="H41" s="129">
        <f t="shared" si="20"/>
        <v>1670770.3409156222</v>
      </c>
      <c r="I41" s="129">
        <f t="shared" si="20"/>
        <v>1846431.8262935122</v>
      </c>
      <c r="J41" s="129">
        <f t="shared" si="20"/>
        <v>2026014.5306832762</v>
      </c>
      <c r="K41" s="129">
        <f t="shared" si="20"/>
        <v>2209600.0234259162</v>
      </c>
      <c r="L41" s="129">
        <f t="shared" si="20"/>
        <v>2397271.3369562654</v>
      </c>
      <c r="M41" s="129">
        <f t="shared" si="20"/>
        <v>2589112.9832154419</v>
      </c>
      <c r="N41" s="129">
        <f t="shared" si="20"/>
        <v>2785210.9697678313</v>
      </c>
      <c r="O41" s="129">
        <f t="shared" si="20"/>
        <v>2985652.8155905474</v>
      </c>
      <c r="P41" s="129">
        <f t="shared" si="20"/>
        <v>3190527.566501582</v>
      </c>
      <c r="Q41" s="129">
        <f t="shared" si="20"/>
        <v>3399925.8101911377</v>
      </c>
      <c r="R41" s="129">
        <f t="shared" si="20"/>
        <v>3613939.690818876</v>
      </c>
      <c r="S41" s="130">
        <f t="shared" si="20"/>
        <v>3832662.9231378641</v>
      </c>
      <c r="T41" s="130">
        <f t="shared" ref="T41:AH41" si="21">T25+T37</f>
        <v>4056190.806104023</v>
      </c>
      <c r="U41" s="130">
        <f t="shared" si="21"/>
        <v>4284620.2359279078</v>
      </c>
      <c r="V41" s="130">
        <f t="shared" si="21"/>
        <v>4518049.7185233813</v>
      </c>
      <c r="W41" s="130">
        <f t="shared" si="21"/>
        <v>4756579.3813056499</v>
      </c>
      <c r="X41" s="130">
        <f t="shared" si="21"/>
        <v>5000310.984288644</v>
      </c>
      <c r="Y41" s="130">
        <f t="shared" si="21"/>
        <v>5249347.9304294754</v>
      </c>
      <c r="Z41" s="130">
        <f t="shared" si="21"/>
        <v>5503795.2751650065</v>
      </c>
      <c r="AA41" s="130">
        <f t="shared" si="21"/>
        <v>5763759.7350830417</v>
      </c>
      <c r="AB41" s="130">
        <f t="shared" si="21"/>
        <v>6029349.6956678927</v>
      </c>
      <c r="AC41" s="130">
        <f t="shared" si="21"/>
        <v>6300675.2180571333</v>
      </c>
      <c r="AD41" s="130">
        <f t="shared" si="21"/>
        <v>6577848.0447435193</v>
      </c>
      <c r="AE41" s="130">
        <f t="shared" si="21"/>
        <v>6860981.6041527912</v>
      </c>
      <c r="AF41" s="130">
        <f t="shared" si="21"/>
        <v>7150191.0140249692</v>
      </c>
      <c r="AG41" s="130">
        <f t="shared" si="21"/>
        <v>7445593.0835233424</v>
      </c>
      <c r="AH41" s="130">
        <f t="shared" si="21"/>
        <v>7747306.3139918447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991541.23499999975</v>
      </c>
      <c r="F42" s="129">
        <f t="shared" ref="F42:S42" si="22">((F41*$C$42))</f>
        <v>1131258.17025</v>
      </c>
      <c r="G42" s="129">
        <f t="shared" si="22"/>
        <v>1274107.4588812499</v>
      </c>
      <c r="H42" s="129">
        <f t="shared" si="22"/>
        <v>1420154.7897782789</v>
      </c>
      <c r="I42" s="129">
        <f t="shared" si="22"/>
        <v>1569467.0523494857</v>
      </c>
      <c r="J42" s="129">
        <f t="shared" si="22"/>
        <v>1722112.351080785</v>
      </c>
      <c r="K42" s="129">
        <f t="shared" si="22"/>
        <v>1878160.0199120289</v>
      </c>
      <c r="L42" s="129">
        <f t="shared" si="22"/>
        <v>2037680.6364128259</v>
      </c>
      <c r="M42" s="129">
        <f t="shared" si="22"/>
        <v>2200746.0357331256</v>
      </c>
      <c r="N42" s="129">
        <f t="shared" si="22"/>
        <v>2367429.324302657</v>
      </c>
      <c r="O42" s="129">
        <f t="shared" si="22"/>
        <v>2537804.8932519658</v>
      </c>
      <c r="P42" s="129">
        <f t="shared" si="22"/>
        <v>2711948.4315263452</v>
      </c>
      <c r="Q42" s="129">
        <f t="shared" si="22"/>
        <v>2889936.9386624675</v>
      </c>
      <c r="R42" s="129">
        <f t="shared" si="22"/>
        <v>3071848.737196045</v>
      </c>
      <c r="S42" s="129">
        <f t="shared" si="22"/>
        <v>3257763.4846671848</v>
      </c>
      <c r="T42" s="129">
        <f t="shared" ref="T42:AH42" si="23">((T41*$C$42))</f>
        <v>3447762.1851884201</v>
      </c>
      <c r="U42" s="129">
        <f t="shared" si="23"/>
        <v>3641927.2005387219</v>
      </c>
      <c r="V42" s="129">
        <f t="shared" si="23"/>
        <v>3840342.2607448744</v>
      </c>
      <c r="W42" s="129">
        <f t="shared" si="23"/>
        <v>4043092.4741098029</v>
      </c>
      <c r="X42" s="129">
        <f t="shared" si="23"/>
        <v>4250264.336645348</v>
      </c>
      <c r="Y42" s="129">
        <f t="shared" si="23"/>
        <v>4461945.7408650545</v>
      </c>
      <c r="Z42" s="129">
        <f t="shared" si="23"/>
        <v>4678225.9838902559</v>
      </c>
      <c r="AA42" s="129">
        <f t="shared" si="23"/>
        <v>4899195.7748205857</v>
      </c>
      <c r="AB42" s="129">
        <f t="shared" si="23"/>
        <v>5124947.241317709</v>
      </c>
      <c r="AC42" s="129">
        <f t="shared" si="23"/>
        <v>5355573.9353485638</v>
      </c>
      <c r="AD42" s="129">
        <f t="shared" si="23"/>
        <v>5591170.8380319923</v>
      </c>
      <c r="AE42" s="129">
        <f t="shared" si="23"/>
        <v>5831834.3635298731</v>
      </c>
      <c r="AF42" s="129">
        <f t="shared" si="23"/>
        <v>6077662.3619212247</v>
      </c>
      <c r="AG42" s="129">
        <f t="shared" si="23"/>
        <v>6328754.1209948417</v>
      </c>
      <c r="AH42" s="129">
        <f t="shared" si="23"/>
        <v>6585210.3668930689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174977.86499999996</v>
      </c>
      <c r="F43" s="108">
        <f t="shared" ref="F43:S43" si="24">$C$43*(F41)</f>
        <v>199633.79475</v>
      </c>
      <c r="G43" s="108">
        <f t="shared" si="24"/>
        <v>224842.49274374999</v>
      </c>
      <c r="H43" s="108">
        <f t="shared" si="24"/>
        <v>250615.55113734337</v>
      </c>
      <c r="I43" s="108">
        <f t="shared" si="24"/>
        <v>276964.77394402691</v>
      </c>
      <c r="J43" s="108">
        <f t="shared" si="24"/>
        <v>303902.17960249149</v>
      </c>
      <c r="K43" s="108">
        <f t="shared" si="24"/>
        <v>331440.00351388747</v>
      </c>
      <c r="L43" s="108">
        <f t="shared" si="24"/>
        <v>359590.70054343989</v>
      </c>
      <c r="M43" s="108">
        <f t="shared" si="24"/>
        <v>388366.94748231635</v>
      </c>
      <c r="N43" s="108">
        <f t="shared" si="24"/>
        <v>417781.64546517475</v>
      </c>
      <c r="O43" s="108">
        <f t="shared" si="24"/>
        <v>447847.92233858217</v>
      </c>
      <c r="P43" s="108">
        <f t="shared" si="24"/>
        <v>478579.13497523736</v>
      </c>
      <c r="Q43" s="108">
        <f t="shared" si="24"/>
        <v>509988.87152867072</v>
      </c>
      <c r="R43" s="108">
        <f t="shared" si="24"/>
        <v>542090.9536228315</v>
      </c>
      <c r="S43" s="108">
        <f t="shared" si="24"/>
        <v>574899.43847067968</v>
      </c>
      <c r="T43" s="108">
        <f t="shared" ref="T43:AH43" si="25">$C$43*(T41)</f>
        <v>608428.62091560359</v>
      </c>
      <c r="U43" s="108">
        <f t="shared" si="25"/>
        <v>642693.03538918623</v>
      </c>
      <c r="V43" s="108">
        <f t="shared" si="25"/>
        <v>677707.45777850726</v>
      </c>
      <c r="W43" s="108">
        <f t="shared" si="25"/>
        <v>713486.9071958476</v>
      </c>
      <c r="X43" s="108">
        <f t="shared" si="25"/>
        <v>750046.64764329675</v>
      </c>
      <c r="Y43" s="108">
        <f t="shared" si="25"/>
        <v>787402.18956442142</v>
      </c>
      <c r="Z43" s="108">
        <f t="shared" si="25"/>
        <v>825569.29127475107</v>
      </c>
      <c r="AA43" s="108">
        <f t="shared" si="25"/>
        <v>864563.96026245633</v>
      </c>
      <c r="AB43" s="108">
        <f t="shared" si="25"/>
        <v>904402.45435018407</v>
      </c>
      <c r="AC43" s="108">
        <f t="shared" si="25"/>
        <v>945101.28270857013</v>
      </c>
      <c r="AD43" s="108">
        <f t="shared" si="25"/>
        <v>986677.20671152801</v>
      </c>
      <c r="AE43" s="108">
        <f t="shared" si="25"/>
        <v>1029147.2406229188</v>
      </c>
      <c r="AF43" s="108">
        <f t="shared" si="25"/>
        <v>1072528.6521037456</v>
      </c>
      <c r="AG43" s="108">
        <f t="shared" si="25"/>
        <v>1116838.9625285016</v>
      </c>
      <c r="AH43" s="108">
        <f t="shared" si="25"/>
        <v>1162095.9470987769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3.1289242229391549E-2</v>
      </c>
      <c r="F47" s="142">
        <f>F41/GapCalc!$H$33</f>
        <v>3.5698173372417055E-2</v>
      </c>
      <c r="G47" s="142">
        <f>G41/GapCalc!$H$33</f>
        <v>4.0205949586362866E-2</v>
      </c>
      <c r="H47" s="142">
        <f>H41/GapCalc!$H$33</f>
        <v>4.4814643760733984E-2</v>
      </c>
      <c r="I47" s="142">
        <f>I41/GapCalc!$H$33</f>
        <v>4.9526366668968855E-2</v>
      </c>
      <c r="J47" s="142">
        <f>J41/GapCalc!$H$33</f>
        <v>5.4343267427696719E-2</v>
      </c>
      <c r="K47" s="142">
        <f>K41/GapCalc!$H$33</f>
        <v>5.9267533950402324E-2</v>
      </c>
      <c r="L47" s="142">
        <f>L41/GapCalc!$H$33</f>
        <v>6.4301393394760487E-2</v>
      </c>
      <c r="M47" s="142">
        <f>M41/GapCalc!$H$33</f>
        <v>6.944711260286314E-2</v>
      </c>
      <c r="N47" s="142">
        <f>N41/GapCalc!$H$33</f>
        <v>7.4706998533521016E-2</v>
      </c>
      <c r="O47" s="142">
        <f>O41/GapCalc!$H$33</f>
        <v>8.0083398685780266E-2</v>
      </c>
      <c r="P47" s="142">
        <f>P41/GapCalc!$H$33</f>
        <v>8.5578701512747796E-2</v>
      </c>
      <c r="Q47" s="142">
        <f>Q41/GapCalc!$H$33</f>
        <v>9.1195336824772835E-2</v>
      </c>
      <c r="R47" s="142">
        <f>R41/GapCalc!$H$33</f>
        <v>9.6935776180985173E-2</v>
      </c>
      <c r="S47" s="142">
        <f>S41/GapCalc!$H$33</f>
        <v>0.10280253326813814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2.6595855894982822E-2</v>
      </c>
      <c r="F48" s="142">
        <f>F43/GapCalc!$H$32</f>
        <v>3.0343447366554501E-2</v>
      </c>
      <c r="G48" s="142">
        <f>G43/GapCalc!$H$32</f>
        <v>3.417505714840844E-2</v>
      </c>
      <c r="H48" s="142">
        <f>H43/GapCalc!$H$32</f>
        <v>3.8092447196623892E-2</v>
      </c>
      <c r="I48" s="142">
        <f>I43/GapCalc!$H$32</f>
        <v>4.209741166862354E-2</v>
      </c>
      <c r="J48" s="142">
        <f>J43/GapCalc!$H$32</f>
        <v>4.6191777313542216E-2</v>
      </c>
      <c r="K48" s="142">
        <f>K43/GapCalc!$H$32</f>
        <v>5.0377403857841979E-2</v>
      </c>
      <c r="L48" s="142">
        <f>L43/GapCalc!$H$32</f>
        <v>5.4656184385546425E-2</v>
      </c>
      <c r="M48" s="142">
        <f>M43/GapCalc!$H$32</f>
        <v>5.9030045712433678E-2</v>
      </c>
      <c r="N48" s="142">
        <f>N43/GapCalc!$H$32</f>
        <v>6.3500948753492867E-2</v>
      </c>
      <c r="O48" s="142">
        <f>O43/GapCalc!$H$32</f>
        <v>6.8070888882913225E-2</v>
      </c>
      <c r="P48" s="142">
        <f>P43/GapCalc!$H$32</f>
        <v>7.2741896285835633E-2</v>
      </c>
      <c r="Q48" s="142">
        <f>Q43/GapCalc!$H$32</f>
        <v>7.7516036301056912E-2</v>
      </c>
      <c r="R48" s="142">
        <f>R43/GapCalc!$H$32</f>
        <v>8.2395409753837412E-2</v>
      </c>
      <c r="S48" s="142">
        <f>S43/GapCalc!$H$32</f>
        <v>8.7382153277917429E-2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31476223.650334593</v>
      </c>
      <c r="D66" s="1544"/>
      <c r="E66" s="1564" t="s">
        <v>285</v>
      </c>
      <c r="G66" s="1520" t="s">
        <v>1073</v>
      </c>
      <c r="H66" s="1565">
        <f>H70/1.63</f>
        <v>5554627.7030002223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9986801.0772518273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1762376.6606914992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691181.27402563405</v>
      </c>
      <c r="D68" s="1545" t="s">
        <v>68</v>
      </c>
      <c r="G68" s="1521" t="s">
        <v>1079</v>
      </c>
      <c r="H68" s="1568">
        <f>IF(GapCalc!D41*C43&lt; 0,0,GapCalc!D41*C43)</f>
        <v>121973.16600452365</v>
      </c>
      <c r="I68" s="1545" t="s">
        <v>68</v>
      </c>
    </row>
    <row r="69" spans="2:10">
      <c r="B69" s="1521" t="s">
        <v>1059</v>
      </c>
      <c r="C69" s="1568">
        <f>'Debt Calc'!E60</f>
        <v>40628262.198767923</v>
      </c>
      <c r="D69" s="1546">
        <v>0.9</v>
      </c>
      <c r="G69" s="1521" t="s">
        <v>1075</v>
      </c>
      <c r="H69" s="1568">
        <f>'Debt Calc'!E59*C43</f>
        <v>7169693.3291943399</v>
      </c>
      <c r="I69" s="1546">
        <v>0.9</v>
      </c>
    </row>
    <row r="70" spans="2:10">
      <c r="B70" s="1523" t="s">
        <v>1042</v>
      </c>
      <c r="C70" s="1577">
        <f>C67+C68+C69</f>
        <v>51306244.550045386</v>
      </c>
      <c r="D70" s="1545" t="s">
        <v>68</v>
      </c>
      <c r="G70" s="1523" t="s">
        <v>1042</v>
      </c>
      <c r="H70" s="1577">
        <f>H67+H68+H69</f>
        <v>9054043.1558903623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0.63</v>
      </c>
      <c r="D72" s="1548"/>
      <c r="G72" s="1521" t="s">
        <v>1044</v>
      </c>
      <c r="H72" s="1524">
        <f>(H70-H66)/H66</f>
        <v>0.63</v>
      </c>
      <c r="I72" s="1548"/>
    </row>
    <row r="73" spans="2:10">
      <c r="B73" s="1523" t="s">
        <v>1045</v>
      </c>
      <c r="C73" s="1566">
        <f>C72/7</f>
        <v>0.09</v>
      </c>
      <c r="D73" s="1548"/>
      <c r="G73" s="1523" t="s">
        <v>1045</v>
      </c>
      <c r="H73" s="1566">
        <f>H72/7</f>
        <v>0.09</v>
      </c>
      <c r="I73" s="1548"/>
    </row>
    <row r="74" spans="2:10" ht="13.5" thickBot="1">
      <c r="B74" s="1578" t="s">
        <v>1080</v>
      </c>
      <c r="C74" s="1581">
        <f>GapCalc!H33</f>
        <v>37281794.536533386</v>
      </c>
      <c r="D74" s="1549"/>
      <c r="F74" s="1559"/>
      <c r="G74" s="1578" t="s">
        <v>1082</v>
      </c>
      <c r="H74" s="1581">
        <f>GapCalc!H32</f>
        <v>6579140.2123294212</v>
      </c>
      <c r="I74" s="1549"/>
    </row>
    <row r="75" spans="2:10">
      <c r="B75" s="70" t="s">
        <v>1081</v>
      </c>
      <c r="C75" s="1579">
        <f>(C70-C74)/C74</f>
        <v>0.37617422089940122</v>
      </c>
      <c r="G75" s="70" t="s">
        <v>1081</v>
      </c>
      <c r="H75" s="1579">
        <f>(H70-H74)/H74</f>
        <v>0.37617422089940122</v>
      </c>
    </row>
    <row r="76" spans="2:10">
      <c r="B76" s="70" t="s">
        <v>1045</v>
      </c>
      <c r="C76" s="1579">
        <f>C75/7</f>
        <v>5.3739174414200175E-2</v>
      </c>
      <c r="G76" s="70" t="s">
        <v>1045</v>
      </c>
      <c r="H76" s="1579">
        <f>H75/7</f>
        <v>5.3739174414200175E-2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9602132.4154033717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16592657.073700435</v>
      </c>
      <c r="D81" s="1545" t="s">
        <v>68</v>
      </c>
    </row>
    <row r="82" spans="2:10">
      <c r="B82" s="1521" t="s">
        <v>1059</v>
      </c>
      <c r="C82" s="1568">
        <f>C68</f>
        <v>691181.27402563405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17283838.347726069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</v>
      </c>
      <c r="D86" s="1548"/>
    </row>
    <row r="87" spans="2:10">
      <c r="B87" s="1523" t="s">
        <v>1045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46109886.072760038</v>
      </c>
      <c r="D93" s="1544"/>
      <c r="E93" s="1564" t="s">
        <v>288</v>
      </c>
      <c r="G93" s="1520" t="s">
        <v>1073</v>
      </c>
      <c r="H93" s="1565">
        <f>H97/1.63</f>
        <v>6269805.1836695056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16592657.073700435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2928115.9541824302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691181.27402563405</v>
      </c>
      <c r="D95" s="1545" t="s">
        <v>68</v>
      </c>
      <c r="G95" s="1521" t="s">
        <v>1079</v>
      </c>
      <c r="H95" s="1568">
        <f>IF(GapCalc!D41*C43&lt; 0,0,GapCalc!D41*C43)</f>
        <v>121973.16600452365</v>
      </c>
      <c r="I95" s="1545" t="s">
        <v>68</v>
      </c>
    </row>
    <row r="96" spans="2:10">
      <c r="B96" s="1521" t="s">
        <v>1059</v>
      </c>
      <c r="C96" s="1568">
        <f>'Debt Calc'!H60</f>
        <v>57875275.950872794</v>
      </c>
      <c r="D96" s="1546">
        <v>0.9</v>
      </c>
      <c r="G96" s="1521" t="s">
        <v>1075</v>
      </c>
      <c r="H96" s="1568">
        <f>'Debt Calc'!E59*C43</f>
        <v>7169693.3291943399</v>
      </c>
      <c r="I96" s="1546">
        <v>0.9</v>
      </c>
    </row>
    <row r="97" spans="2:9">
      <c r="B97" s="1523" t="s">
        <v>1042</v>
      </c>
      <c r="C97" s="1577">
        <f>C94+C95+C96</f>
        <v>75159114.298598856</v>
      </c>
      <c r="D97" s="1545" t="s">
        <v>68</v>
      </c>
      <c r="G97" s="1523" t="s">
        <v>1042</v>
      </c>
      <c r="H97" s="1577">
        <f>H94+H95+H96</f>
        <v>10219782.449381294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0.62999999999999989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8.9999999999999983E-2</v>
      </c>
      <c r="I100" s="1548"/>
    </row>
    <row r="101" spans="2:9" ht="13.5" thickBot="1">
      <c r="B101" s="1578" t="s">
        <v>1080</v>
      </c>
      <c r="C101" s="1581">
        <f>GapCalc!H33</f>
        <v>37281794.536533386</v>
      </c>
      <c r="D101" s="1549"/>
      <c r="G101" s="1578" t="s">
        <v>1082</v>
      </c>
      <c r="H101" s="1581">
        <f>GapCalc!H32</f>
        <v>6579140.2123294212</v>
      </c>
      <c r="I101" s="1549"/>
    </row>
    <row r="102" spans="2:9">
      <c r="B102" s="70" t="s">
        <v>1081</v>
      </c>
      <c r="C102" s="1579">
        <f>(C97-C101)/C101</f>
        <v>1.015973620179375</v>
      </c>
      <c r="G102" s="70" t="s">
        <v>1081</v>
      </c>
      <c r="H102" s="1579">
        <f>(H97-H101)/H101</f>
        <v>0.55336139975087428</v>
      </c>
    </row>
    <row r="103" spans="2:9">
      <c r="B103" s="70" t="s">
        <v>1045</v>
      </c>
      <c r="C103" s="1579">
        <f>C102/10</f>
        <v>0.1015973620179375</v>
      </c>
      <c r="G103" s="70" t="s">
        <v>1045</v>
      </c>
      <c r="H103" s="1579">
        <f>H102/10</f>
        <v>5.5336139975087427E-2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164050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32810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196860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196860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196860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202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101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101</v>
      </c>
      <c r="D49" s="876"/>
      <c r="E49" s="855" t="s">
        <v>577</v>
      </c>
      <c r="F49" s="855"/>
      <c r="G49" s="923">
        <v>143</v>
      </c>
      <c r="H49" s="884">
        <f>C53*D53</f>
        <v>40133.903846153851</v>
      </c>
      <c r="I49" s="884">
        <f>G49*H49</f>
        <v>5739148.2500000009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40133.903846153851</v>
      </c>
      <c r="I51" s="930">
        <f>SUM(I48:I50)</f>
        <v>5739148.2500000009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101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5739148.2500000009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101</v>
      </c>
      <c r="D55" s="855"/>
      <c r="E55" s="855"/>
      <c r="F55" s="937"/>
      <c r="G55" s="855"/>
      <c r="H55" s="872" t="s">
        <v>685</v>
      </c>
      <c r="I55" s="939">
        <f>SUM(I53:I54)</f>
        <v>5739148.2500000009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5832595.5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84018366.957555011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84018300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25692391.482257456</v>
      </c>
    </row>
    <row r="15" spans="2:36">
      <c r="B15" s="556"/>
      <c r="C15" s="560" t="s">
        <v>634</v>
      </c>
      <c r="H15" s="561">
        <f>12*PMT(Data!C24/12,Data!C29*12,-'Debt Calc'!H14)</f>
        <v>5832590.8517742548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-8120471.9487794675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-8120471.9487794675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84018300</v>
      </c>
      <c r="E21" s="561">
        <f>$H$15</f>
        <v>5832590.8517742548</v>
      </c>
      <c r="F21" s="561">
        <f>E21-G21</f>
        <v>0</v>
      </c>
      <c r="G21" s="561">
        <f>D21-H21</f>
        <v>5832590.8517742604</v>
      </c>
      <c r="H21" s="561">
        <f>D21-E21</f>
        <v>78185709.14822574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78185709.14822574</v>
      </c>
      <c r="E22" s="561">
        <f t="shared" ref="E22:E50" si="1">$H$15</f>
        <v>5832590.8517742548</v>
      </c>
      <c r="F22" s="561">
        <f t="shared" ref="F22:F50" si="2">E22-G22</f>
        <v>0</v>
      </c>
      <c r="G22" s="561">
        <f t="shared" ref="G22:G50" si="3">D22-H22</f>
        <v>5832590.8517742604</v>
      </c>
      <c r="H22" s="561">
        <f t="shared" ref="H22:H39" si="4">D22-E22</f>
        <v>72353118.296451479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72353118.296451479</v>
      </c>
      <c r="E23" s="561">
        <f t="shared" si="1"/>
        <v>5832590.8517742548</v>
      </c>
      <c r="F23" s="561">
        <f t="shared" si="2"/>
        <v>0</v>
      </c>
      <c r="G23" s="561">
        <f t="shared" si="3"/>
        <v>5832590.851774253</v>
      </c>
      <c r="H23" s="561">
        <f t="shared" si="4"/>
        <v>66520527.444677226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66520527.444677226</v>
      </c>
      <c r="E24" s="561">
        <f t="shared" si="1"/>
        <v>5832590.8517742548</v>
      </c>
      <c r="F24" s="561">
        <f t="shared" si="2"/>
        <v>0</v>
      </c>
      <c r="G24" s="561">
        <f t="shared" si="3"/>
        <v>5832590.851774253</v>
      </c>
      <c r="H24" s="561">
        <f t="shared" si="4"/>
        <v>60687936.592902973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60687936.592902973</v>
      </c>
      <c r="E25" s="561">
        <f t="shared" si="1"/>
        <v>5832590.8517742548</v>
      </c>
      <c r="F25" s="561">
        <f t="shared" si="2"/>
        <v>0</v>
      </c>
      <c r="G25" s="561">
        <f t="shared" si="3"/>
        <v>5832590.851774253</v>
      </c>
      <c r="H25" s="561">
        <f t="shared" si="4"/>
        <v>54855345.74112872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54855345.74112872</v>
      </c>
      <c r="E26" s="561">
        <f t="shared" si="1"/>
        <v>5832590.8517742548</v>
      </c>
      <c r="F26" s="561">
        <f t="shared" si="2"/>
        <v>0</v>
      </c>
      <c r="G26" s="561">
        <f t="shared" si="3"/>
        <v>5832590.851774253</v>
      </c>
      <c r="H26" s="561">
        <f t="shared" si="4"/>
        <v>49022754.889354467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49022754.889354467</v>
      </c>
      <c r="E27" s="561">
        <f t="shared" si="1"/>
        <v>5832590.8517742548</v>
      </c>
      <c r="F27" s="561">
        <f t="shared" si="2"/>
        <v>0</v>
      </c>
      <c r="G27" s="561">
        <f t="shared" si="3"/>
        <v>5832590.851774253</v>
      </c>
      <c r="H27" s="561">
        <f t="shared" si="4"/>
        <v>43190164.037580214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43190164.037580214</v>
      </c>
      <c r="E28" s="561">
        <f t="shared" si="1"/>
        <v>5832590.8517742548</v>
      </c>
      <c r="F28" s="561">
        <f t="shared" si="2"/>
        <v>0</v>
      </c>
      <c r="G28" s="561">
        <f t="shared" si="3"/>
        <v>5832590.851774253</v>
      </c>
      <c r="H28" s="561">
        <f t="shared" si="4"/>
        <v>37357573.185805961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37357573.185805961</v>
      </c>
      <c r="E29" s="561">
        <f t="shared" si="1"/>
        <v>5832590.8517742548</v>
      </c>
      <c r="F29" s="561">
        <f t="shared" si="2"/>
        <v>0</v>
      </c>
      <c r="G29" s="561">
        <f t="shared" si="3"/>
        <v>5832590.851774253</v>
      </c>
      <c r="H29" s="561">
        <f t="shared" si="4"/>
        <v>31524982.334031709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31524982.334031709</v>
      </c>
      <c r="E30" s="561">
        <f t="shared" si="1"/>
        <v>5832590.8517742548</v>
      </c>
      <c r="F30" s="561">
        <f t="shared" si="2"/>
        <v>0</v>
      </c>
      <c r="G30" s="561">
        <f t="shared" si="3"/>
        <v>5832590.851774253</v>
      </c>
      <c r="H30" s="561">
        <f>D30-E30</f>
        <v>25692391.482257456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25692391.482257456</v>
      </c>
      <c r="E31" s="561">
        <f t="shared" si="1"/>
        <v>5832590.8517742548</v>
      </c>
      <c r="F31" s="561">
        <f t="shared" si="2"/>
        <v>0</v>
      </c>
      <c r="G31" s="561">
        <f t="shared" si="3"/>
        <v>5832590.851774253</v>
      </c>
      <c r="H31" s="561">
        <f t="shared" si="4"/>
        <v>19859800.630483203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19859800.630483203</v>
      </c>
      <c r="E32" s="561">
        <f t="shared" si="1"/>
        <v>5832590.8517742548</v>
      </c>
      <c r="F32" s="561">
        <f t="shared" si="2"/>
        <v>0</v>
      </c>
      <c r="G32" s="561">
        <f t="shared" si="3"/>
        <v>5832590.8517742548</v>
      </c>
      <c r="H32" s="561">
        <f t="shared" si="4"/>
        <v>14027209.778708948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14027209.778708948</v>
      </c>
      <c r="E33" s="561">
        <f t="shared" si="1"/>
        <v>5832590.8517742548</v>
      </c>
      <c r="F33" s="561">
        <f t="shared" si="2"/>
        <v>0</v>
      </c>
      <c r="G33" s="561">
        <f t="shared" si="3"/>
        <v>5832590.8517742548</v>
      </c>
      <c r="H33" s="561">
        <f t="shared" si="4"/>
        <v>8194618.926934693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8194618.926934693</v>
      </c>
      <c r="E34" s="561">
        <f t="shared" si="1"/>
        <v>5832590.8517742548</v>
      </c>
      <c r="F34" s="561">
        <f t="shared" si="2"/>
        <v>0</v>
      </c>
      <c r="G34" s="561">
        <f t="shared" si="3"/>
        <v>5832590.8517742548</v>
      </c>
      <c r="H34" s="561">
        <f t="shared" si="4"/>
        <v>2362028.0751604382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2362028.0751604382</v>
      </c>
      <c r="E35" s="561">
        <f t="shared" si="1"/>
        <v>5832590.8517742548</v>
      </c>
      <c r="F35" s="561">
        <f t="shared" si="2"/>
        <v>0</v>
      </c>
      <c r="G35" s="561">
        <f t="shared" si="3"/>
        <v>5832590.8517742548</v>
      </c>
      <c r="H35" s="561">
        <f t="shared" si="4"/>
        <v>-3470562.7766138166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-3470562.7766138166</v>
      </c>
      <c r="E36" s="561">
        <f t="shared" si="1"/>
        <v>5832590.8517742548</v>
      </c>
      <c r="F36" s="561">
        <f t="shared" si="2"/>
        <v>0</v>
      </c>
      <c r="G36" s="561">
        <f t="shared" si="3"/>
        <v>5832590.8517742548</v>
      </c>
      <c r="H36" s="561">
        <f t="shared" si="4"/>
        <v>-9303153.6283880714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-9303153.6283880714</v>
      </c>
      <c r="E37" s="561">
        <f t="shared" si="1"/>
        <v>5832590.8517742548</v>
      </c>
      <c r="F37" s="561">
        <f t="shared" si="2"/>
        <v>0</v>
      </c>
      <c r="G37" s="561">
        <f t="shared" si="3"/>
        <v>5832590.8517742548</v>
      </c>
      <c r="H37" s="561">
        <f t="shared" si="4"/>
        <v>-15135744.480162326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-15135744.480162326</v>
      </c>
      <c r="E38" s="561">
        <f t="shared" si="1"/>
        <v>5832590.8517742548</v>
      </c>
      <c r="F38" s="561">
        <f t="shared" si="2"/>
        <v>0</v>
      </c>
      <c r="G38" s="561">
        <f t="shared" si="3"/>
        <v>5832590.8517742567</v>
      </c>
      <c r="H38" s="561">
        <f>D38-E38</f>
        <v>-20968335.331936583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-20968335.331936583</v>
      </c>
      <c r="E39" s="561">
        <f t="shared" si="1"/>
        <v>5832590.8517742548</v>
      </c>
      <c r="F39" s="561">
        <f t="shared" si="2"/>
        <v>0</v>
      </c>
      <c r="G39" s="561">
        <f t="shared" si="3"/>
        <v>5832590.851774253</v>
      </c>
      <c r="H39" s="561">
        <f t="shared" si="4"/>
        <v>-26800926.183710836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-26800926.183710836</v>
      </c>
      <c r="E40" s="561">
        <f t="shared" si="1"/>
        <v>5832590.8517742548</v>
      </c>
      <c r="F40" s="561">
        <f t="shared" si="2"/>
        <v>32633517.035485089</v>
      </c>
      <c r="G40" s="561">
        <f t="shared" si="3"/>
        <v>-26800926.183710836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5832590.8517742548</v>
      </c>
      <c r="F41" s="561">
        <f t="shared" si="2"/>
        <v>5832590.8517742548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5832590.8517742548</v>
      </c>
      <c r="F42" s="561">
        <f t="shared" si="2"/>
        <v>5832590.8517742548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5832590.8517742548</v>
      </c>
      <c r="F43" s="561">
        <f t="shared" si="2"/>
        <v>5832590.8517742548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5832590.8517742548</v>
      </c>
      <c r="F44" s="561">
        <f t="shared" si="2"/>
        <v>5832590.8517742548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5832590.8517742548</v>
      </c>
      <c r="F45" s="561">
        <f t="shared" si="2"/>
        <v>5832590.8517742548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5832590.8517742548</v>
      </c>
      <c r="F46" s="561">
        <f t="shared" si="2"/>
        <v>5832590.8517742548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5832590.8517742548</v>
      </c>
      <c r="F47" s="561">
        <f t="shared" si="2"/>
        <v>5832590.8517742548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5832590.8517742548</v>
      </c>
      <c r="F48" s="561">
        <f t="shared" si="2"/>
        <v>5832590.8517742548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5832590.8517742548</v>
      </c>
      <c r="F49" s="561">
        <f t="shared" si="2"/>
        <v>5832590.8517742548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5832590.8517742548</v>
      </c>
      <c r="F50" s="561">
        <f t="shared" si="2"/>
        <v>5832590.8517742548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191853059.57910934</v>
      </c>
      <c r="F55" s="561"/>
      <c r="G55" s="1663" t="s">
        <v>1064</v>
      </c>
      <c r="H55" s="1667">
        <f>'Cash Flow'!N15/0.05</f>
        <v>206604761.23830923</v>
      </c>
    </row>
    <row r="56" spans="2:28">
      <c r="D56" s="1653" t="s">
        <v>1065</v>
      </c>
      <c r="E56" s="1665">
        <f>'Cash Flow'!K21/1.2</f>
        <v>6701829.6028549308</v>
      </c>
      <c r="F56" s="561"/>
      <c r="G56" s="1661" t="s">
        <v>1065</v>
      </c>
      <c r="H56" s="1668">
        <f>'Cash Flow'!N21/1.2</f>
        <v>7181505.3914731927</v>
      </c>
    </row>
    <row r="57" spans="2:28">
      <c r="D57" s="1653" t="s">
        <v>1066</v>
      </c>
      <c r="E57" s="1665">
        <f>E55*0.6</f>
        <v>115111835.7474656</v>
      </c>
      <c r="F57" s="561"/>
      <c r="G57" s="1661" t="s">
        <v>1066</v>
      </c>
      <c r="H57" s="1668">
        <f>H55*0.6</f>
        <v>123962856.74298553</v>
      </c>
    </row>
    <row r="58" spans="2:28">
      <c r="D58" s="1653" t="s">
        <v>1067</v>
      </c>
      <c r="E58" s="1665">
        <f>-PV(6.5%,34,E56)</f>
        <v>90988119.565542474</v>
      </c>
      <c r="F58" s="561"/>
      <c r="G58" s="1661" t="s">
        <v>1067</v>
      </c>
      <c r="H58" s="1668">
        <f>-PV(6.5%,30,H56)</f>
        <v>93780951.424460739</v>
      </c>
    </row>
    <row r="59" spans="2:28">
      <c r="D59" s="1652" t="s">
        <v>1068</v>
      </c>
      <c r="E59" s="1665">
        <f>E58-H27</f>
        <v>47797955.52796226</v>
      </c>
      <c r="F59" s="561"/>
      <c r="G59" s="1660" t="s">
        <v>1068</v>
      </c>
      <c r="H59" s="1668">
        <f>H58-H30</f>
        <v>68088559.942203283</v>
      </c>
    </row>
    <row r="60" spans="2:28" ht="13.5" thickBot="1">
      <c r="D60" s="1654" t="s">
        <v>1069</v>
      </c>
      <c r="E60" s="1666">
        <f>E59*GapCalc!I33</f>
        <v>40628262.198767923</v>
      </c>
      <c r="F60" s="561"/>
      <c r="G60" s="1662" t="s">
        <v>1069</v>
      </c>
      <c r="H60" s="1669">
        <f>H59*GapCalc!I33</f>
        <v>57875275.950872794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13130000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64797148.25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157480.95739999998</v>
      </c>
      <c r="C7" s="1417">
        <f>C4*E4</f>
        <v>777175.70016753499</v>
      </c>
      <c r="D7" s="1409">
        <f>(1-'Rental Income'!O19)</f>
        <v>0.80198019801980203</v>
      </c>
    </row>
    <row r="8" spans="1:5">
      <c r="A8" s="1410" t="s">
        <v>980</v>
      </c>
      <c r="B8" s="1417">
        <f>B7*D7</f>
        <v>126296.6094</v>
      </c>
      <c r="C8" s="1417">
        <f>C7*D7</f>
        <v>623279.52191653801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749576.13131653797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78740.478700000007</v>
      </c>
    </row>
    <row r="14" spans="1:5">
      <c r="A14" t="s">
        <v>992</v>
      </c>
      <c r="B14">
        <v>24</v>
      </c>
      <c r="C14" s="1425">
        <f>C3*(E3/12)*B14</f>
        <v>314961.91480000003</v>
      </c>
    </row>
    <row r="15" spans="1:5">
      <c r="A15" s="40" t="s">
        <v>994</v>
      </c>
      <c r="C15" s="1428">
        <f>SUM(C13+C14)</f>
        <v>393702.39350000001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202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8701488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-435353.4</v>
      </c>
      <c r="E18" s="50"/>
      <c r="F18" s="55">
        <v>0.05</v>
      </c>
    </row>
    <row r="19" spans="1:25">
      <c r="A19" s="40" t="s">
        <v>165</v>
      </c>
      <c r="D19" s="57">
        <f>SUM(D15:D18)</f>
        <v>8271714.5999999996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1515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105358</v>
      </c>
      <c r="E22" s="48">
        <v>1043</v>
      </c>
      <c r="F22" s="453" t="s">
        <v>172</v>
      </c>
      <c r="N22" s="428">
        <f>D22*0.8</f>
        <v>84286.400000000009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31196.880000000001</v>
      </c>
      <c r="Y22" s="688">
        <f>T22/5</f>
        <v>154.44</v>
      </c>
    </row>
    <row r="23" spans="1:25">
      <c r="B23" t="s">
        <v>174</v>
      </c>
      <c r="D23" s="48">
        <f>(E23*$D$10-20)/2</f>
        <v>134724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18816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100847.36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1212</v>
      </c>
      <c r="Y25" s="688">
        <f>T25/5</f>
        <v>6</v>
      </c>
    </row>
    <row r="26" spans="1:25">
      <c r="A26" s="40" t="s">
        <v>183</v>
      </c>
      <c r="D26" s="51">
        <f>SUM(D22:D25)</f>
        <v>359745.36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37572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20200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80800</v>
      </c>
      <c r="Y30">
        <v>400</v>
      </c>
    </row>
    <row r="31" spans="1:25">
      <c r="B31" t="s">
        <v>192</v>
      </c>
      <c r="D31" s="48">
        <f>E31*$D$10</f>
        <v>33128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169024.98</v>
      </c>
    </row>
    <row r="32" spans="1:25">
      <c r="A32" s="42"/>
      <c r="B32" s="43" t="s">
        <v>194</v>
      </c>
      <c r="C32" s="43"/>
      <c r="D32" s="50">
        <f>E32*$D$10</f>
        <v>6060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96960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9090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23566.666666666668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107060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9090</v>
      </c>
      <c r="Y36" s="688">
        <f>T36/6</f>
        <v>45</v>
      </c>
    </row>
    <row r="37" spans="1:25">
      <c r="B37" t="s">
        <v>202</v>
      </c>
      <c r="D37" s="48">
        <f>E37*$D$10</f>
        <v>159580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25250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85042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66996.666666666672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351682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74538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53682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79992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27472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171700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11110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319314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749576.13131653797</v>
      </c>
      <c r="Y56" s="1309">
        <f>X56/'Rental Income'!D15</f>
        <v>3710.7729273095938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544.26848554455444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2044.2684855445546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169680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198.01980198019803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822160.26464987139</v>
      </c>
    </row>
    <row r="65" spans="1:25">
      <c r="B65" t="s">
        <v>250</v>
      </c>
      <c r="D65" s="48">
        <f>E65*$D$10</f>
        <v>30300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251980</v>
      </c>
      <c r="E67" s="48">
        <f>SUM(E62:E66)</f>
        <v>1373.0198019801981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60600</v>
      </c>
      <c r="E69" s="426">
        <v>300</v>
      </c>
    </row>
    <row r="70" spans="1:25">
      <c r="V70" s="40" t="s">
        <v>256</v>
      </c>
      <c r="X70" s="1307">
        <f>SUM(X68,X64,X54,X39,X31)</f>
        <v>1224422.911316538</v>
      </c>
      <c r="Y70" s="1307">
        <f>X70/D10</f>
        <v>6061.4995609729604</v>
      </c>
    </row>
    <row r="71" spans="1:25">
      <c r="A71" s="40" t="s">
        <v>257</v>
      </c>
      <c r="D71" s="48">
        <f>E71*$D$10</f>
        <v>101000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1779443.5940799997</v>
      </c>
      <c r="E73" s="52">
        <f>E71+E69+E67+E54+E59+E45+E43+E41+E33+E26</f>
        <v>11770.288287524752</v>
      </c>
      <c r="G73" s="147"/>
      <c r="H73">
        <f>('Operating Budget'!D73-'Operating Budget'!D69-'Operating Budget'!D57)*-1</f>
        <v>-1718843.5940799997</v>
      </c>
      <c r="Y73" s="1309">
        <f>Y70-6000</f>
        <v>61.499560972960353</v>
      </c>
    </row>
    <row r="75" spans="1:25">
      <c r="A75" s="44" t="s">
        <v>260</v>
      </c>
      <c r="B75" s="45"/>
      <c r="C75" s="45"/>
      <c r="D75" s="52">
        <f>D19-D73</f>
        <v>6492271.0059200004</v>
      </c>
      <c r="E75" s="52">
        <f>D75/D10</f>
        <v>32139.955474851486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196860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81146435.312499985</v>
      </c>
      <c r="C7" s="465">
        <f>'Dev Summary_5-20'!B8</f>
        <v>3190331</v>
      </c>
      <c r="D7" s="465">
        <f t="shared" ref="D7:D14" si="0">B7-C7</f>
        <v>77956104.312499985</v>
      </c>
      <c r="E7" s="477">
        <f t="shared" ref="E7:E15" si="1">D7/B7</f>
        <v>0.96068427420485158</v>
      </c>
      <c r="F7" s="477"/>
      <c r="G7" s="472" t="e">
        <f t="shared" ref="G7:G14" si="2">B7/$B$15</f>
        <v>#REF!</v>
      </c>
      <c r="I7" s="147">
        <f>B7/$H$4</f>
        <v>737694.86647727259</v>
      </c>
      <c r="J7" s="53">
        <f>B7/$H$5</f>
        <v>412.20377584323876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309419.07151713799</v>
      </c>
      <c r="C9" s="446">
        <f>'Dev Summary_5-20'!B10</f>
        <v>50000</v>
      </c>
      <c r="D9" s="446">
        <f t="shared" si="0"/>
        <v>259419.07151713799</v>
      </c>
      <c r="E9" s="477">
        <f t="shared" si="1"/>
        <v>0.83840685787452951</v>
      </c>
      <c r="F9" s="477"/>
      <c r="G9" s="473" t="e">
        <f t="shared" si="2"/>
        <v>#REF!</v>
      </c>
      <c r="I9" s="53">
        <f t="shared" si="3"/>
        <v>2812.9006501557997</v>
      </c>
      <c r="J9" s="53">
        <f t="shared" si="4"/>
        <v>1.5717721808246368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0.162552067459108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393702.39350000001</v>
      </c>
      <c r="C12" s="446">
        <f>'Dev Summary_5-20'!B13</f>
        <v>2500000</v>
      </c>
      <c r="D12" s="446">
        <f t="shared" si="0"/>
        <v>-2106297.6064999998</v>
      </c>
      <c r="E12" s="477">
        <f t="shared" si="1"/>
        <v>-5.3499740953441774</v>
      </c>
      <c r="F12" s="477"/>
      <c r="G12" s="473" t="e">
        <f t="shared" si="2"/>
        <v>#REF!</v>
      </c>
      <c r="I12" s="53">
        <f t="shared" si="3"/>
        <v>3579.1126681818182</v>
      </c>
      <c r="J12" s="53">
        <f t="shared" si="4"/>
        <v>1.9999105633445089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3256436</v>
      </c>
      <c r="C14" s="467">
        <f>'Dev Summary_5-20'!B14</f>
        <v>282276.62941911275</v>
      </c>
      <c r="D14" s="467">
        <f t="shared" si="0"/>
        <v>2974159.3705808874</v>
      </c>
      <c r="E14" s="478">
        <f t="shared" si="1"/>
        <v>0.91331731088247625</v>
      </c>
      <c r="F14" s="478"/>
      <c r="G14" s="474" t="e">
        <f t="shared" si="2"/>
        <v>#REF!</v>
      </c>
      <c r="I14" s="53">
        <f t="shared" si="3"/>
        <v>29603.963636363635</v>
      </c>
      <c r="J14" s="53">
        <f t="shared" si="4"/>
        <v>16.54188763588337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84018366.957555011</v>
      </c>
      <c r="C21" s="48">
        <v>18731659</v>
      </c>
      <c r="D21" s="48">
        <f>B21-C21</f>
        <v>65286707.957555011</v>
      </c>
      <c r="E21" s="55">
        <f>D21/B21</f>
        <v>0.77705280787636599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813154.44003015757</v>
      </c>
      <c r="C28" s="50"/>
      <c r="D28" s="50">
        <f t="shared" si="5"/>
        <v>813154.44003015757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89261078.843749985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80834.970959374987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72751.473863437495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649517.04533593741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89261078.843749985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20530.048134062497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823633.53829281242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71408863.074999988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98157.90903124999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71408863.074999988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105245.40903124999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971957.22375</v>
      </c>
      <c r="E10" s="748">
        <f>'PreDev Flow of Funds'!Y10+'PreDev Flow of Funds'!Y12</f>
        <v>1395966</v>
      </c>
      <c r="F10" s="748">
        <f>(D10-E10)/18</f>
        <v>-23556.043125</v>
      </c>
      <c r="G10" s="748">
        <f>$F$10</f>
        <v>-23556.043125</v>
      </c>
      <c r="H10" s="748">
        <f t="shared" ref="H10:W10" si="2">$F$10</f>
        <v>-23556.043125</v>
      </c>
      <c r="I10" s="748">
        <f t="shared" si="2"/>
        <v>-23556.043125</v>
      </c>
      <c r="J10" s="748">
        <f t="shared" si="2"/>
        <v>-23556.043125</v>
      </c>
      <c r="K10" s="748">
        <f t="shared" si="2"/>
        <v>-23556.043125</v>
      </c>
      <c r="L10" s="748">
        <f t="shared" si="2"/>
        <v>-23556.043125</v>
      </c>
      <c r="M10" s="748">
        <f t="shared" si="2"/>
        <v>-23556.043125</v>
      </c>
      <c r="N10" s="748">
        <f t="shared" si="2"/>
        <v>-23556.043125</v>
      </c>
      <c r="O10" s="748">
        <f t="shared" si="2"/>
        <v>-23556.043125</v>
      </c>
      <c r="P10" s="748">
        <f t="shared" si="2"/>
        <v>-23556.043125</v>
      </c>
      <c r="Q10" s="748">
        <f t="shared" si="2"/>
        <v>-23556.043125</v>
      </c>
      <c r="R10" s="748">
        <f t="shared" si="2"/>
        <v>-23556.043125</v>
      </c>
      <c r="S10" s="748">
        <f t="shared" si="2"/>
        <v>-23556.043125</v>
      </c>
      <c r="T10" s="748">
        <f t="shared" si="2"/>
        <v>-23556.043125</v>
      </c>
      <c r="U10" s="748">
        <f t="shared" si="2"/>
        <v>-23556.043125</v>
      </c>
      <c r="V10" s="748">
        <f t="shared" si="2"/>
        <v>-23556.043125</v>
      </c>
      <c r="W10" s="748">
        <f t="shared" si="2"/>
        <v>-23556.043125</v>
      </c>
      <c r="X10" s="748"/>
      <c r="Y10" s="748">
        <f>SUM(E10:W10)</f>
        <v>971957.22374999896</v>
      </c>
    </row>
    <row r="11" spans="1:25" ht="15">
      <c r="A11" s="402"/>
      <c r="B11" s="403" t="s">
        <v>388</v>
      </c>
      <c r="C11" s="748"/>
      <c r="D11" s="748">
        <f>'Development Budget'!G41</f>
        <v>971957.22375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81146435.312499985</v>
      </c>
      <c r="E13" s="748">
        <f>'PreDev Flow of Funds'!Y14</f>
        <v>69798.3</v>
      </c>
      <c r="F13" s="748">
        <f>(D13-E13)/18</f>
        <v>4504257.6118055545</v>
      </c>
      <c r="G13" s="748">
        <f>$F$13</f>
        <v>4504257.6118055545</v>
      </c>
      <c r="H13" s="748">
        <f t="shared" ref="H13:W13" si="5">$F$13</f>
        <v>4504257.6118055545</v>
      </c>
      <c r="I13" s="748">
        <f t="shared" si="5"/>
        <v>4504257.6118055545</v>
      </c>
      <c r="J13" s="748">
        <f t="shared" si="5"/>
        <v>4504257.6118055545</v>
      </c>
      <c r="K13" s="748">
        <f t="shared" si="5"/>
        <v>4504257.6118055545</v>
      </c>
      <c r="L13" s="748">
        <f t="shared" si="5"/>
        <v>4504257.6118055545</v>
      </c>
      <c r="M13" s="748">
        <f t="shared" si="5"/>
        <v>4504257.6118055545</v>
      </c>
      <c r="N13" s="748">
        <f t="shared" si="5"/>
        <v>4504257.6118055545</v>
      </c>
      <c r="O13" s="748">
        <f t="shared" si="5"/>
        <v>4504257.6118055545</v>
      </c>
      <c r="P13" s="748">
        <f t="shared" si="5"/>
        <v>4504257.6118055545</v>
      </c>
      <c r="Q13" s="748">
        <f t="shared" si="5"/>
        <v>4504257.6118055545</v>
      </c>
      <c r="R13" s="748">
        <f t="shared" si="5"/>
        <v>4504257.6118055545</v>
      </c>
      <c r="S13" s="748">
        <f t="shared" si="5"/>
        <v>4504257.6118055545</v>
      </c>
      <c r="T13" s="748">
        <f t="shared" si="5"/>
        <v>4504257.6118055545</v>
      </c>
      <c r="U13" s="748">
        <f t="shared" si="5"/>
        <v>4504257.6118055545</v>
      </c>
      <c r="V13" s="748">
        <f t="shared" si="5"/>
        <v>4504257.6118055545</v>
      </c>
      <c r="W13" s="748">
        <f t="shared" si="5"/>
        <v>4504257.6118055545</v>
      </c>
      <c r="X13" s="748"/>
      <c r="Y13" s="748">
        <f t="shared" si="3"/>
        <v>81146435.312500015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81146435.312499985</v>
      </c>
      <c r="E15" s="748">
        <f>'PreDev Flow of Funds'!Y16+'PreDev Flow of Funds'!Y17+'PreDev Flow of Funds'!Y19</f>
        <v>72500</v>
      </c>
      <c r="F15" s="748">
        <f>(D15-E15)/18</f>
        <v>4504107.5173611101</v>
      </c>
      <c r="G15" s="748">
        <f>$F$15</f>
        <v>4504107.5173611101</v>
      </c>
      <c r="H15" s="748">
        <f t="shared" ref="H15:W15" si="7">$F$15</f>
        <v>4504107.5173611101</v>
      </c>
      <c r="I15" s="748">
        <f t="shared" si="7"/>
        <v>4504107.5173611101</v>
      </c>
      <c r="J15" s="748">
        <f t="shared" si="7"/>
        <v>4504107.5173611101</v>
      </c>
      <c r="K15" s="748">
        <f t="shared" si="7"/>
        <v>4504107.5173611101</v>
      </c>
      <c r="L15" s="748">
        <f t="shared" si="7"/>
        <v>4504107.5173611101</v>
      </c>
      <c r="M15" s="748">
        <f t="shared" si="7"/>
        <v>4504107.5173611101</v>
      </c>
      <c r="N15" s="748">
        <f t="shared" si="7"/>
        <v>4504107.5173611101</v>
      </c>
      <c r="O15" s="748">
        <f t="shared" si="7"/>
        <v>4504107.5173611101</v>
      </c>
      <c r="P15" s="748">
        <f t="shared" si="7"/>
        <v>4504107.5173611101</v>
      </c>
      <c r="Q15" s="748">
        <f t="shared" si="7"/>
        <v>4504107.5173611101</v>
      </c>
      <c r="R15" s="748">
        <f t="shared" si="7"/>
        <v>4504107.5173611101</v>
      </c>
      <c r="S15" s="748">
        <f t="shared" si="7"/>
        <v>4504107.5173611101</v>
      </c>
      <c r="T15" s="748">
        <f t="shared" si="7"/>
        <v>4504107.5173611101</v>
      </c>
      <c r="U15" s="748">
        <f t="shared" si="7"/>
        <v>4504107.5173611101</v>
      </c>
      <c r="V15" s="748">
        <f t="shared" si="7"/>
        <v>4504107.5173611101</v>
      </c>
      <c r="W15" s="748">
        <f t="shared" si="7"/>
        <v>4504107.5173611101</v>
      </c>
      <c r="X15" s="748"/>
      <c r="Y15" s="748">
        <f t="shared" si="3"/>
        <v>81146435.312499985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13305000</v>
      </c>
      <c r="E26" s="748">
        <v>0</v>
      </c>
      <c r="F26" s="748">
        <f>D26/2</f>
        <v>6652500</v>
      </c>
      <c r="G26" s="748">
        <f>F26</f>
        <v>6652500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13305000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64797148.25</v>
      </c>
      <c r="E33" s="748">
        <v>0</v>
      </c>
      <c r="F33" s="748">
        <f>D33</f>
        <v>64797148.25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64797148.25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202866.08828124998</v>
      </c>
      <c r="E43" s="748">
        <f>D43</f>
        <v>202866.08828124998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202866.08828124998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393866.08828124998</v>
      </c>
      <c r="E52" s="748">
        <f>D52</f>
        <v>393866.08828124998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393866.08828124998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3256436</v>
      </c>
      <c r="E58" s="748">
        <f>'PreDev Flow of Funds'!Y46</f>
        <v>96238.814999999988</v>
      </c>
      <c r="F58" s="748">
        <f>(D58-E58)/18</f>
        <v>175566.51027777779</v>
      </c>
      <c r="G58" s="748">
        <f>$F$58</f>
        <v>175566.51027777779</v>
      </c>
      <c r="H58" s="748">
        <f t="shared" ref="H58:W58" si="18">$F$58</f>
        <v>175566.51027777779</v>
      </c>
      <c r="I58" s="748">
        <f t="shared" si="18"/>
        <v>175566.51027777779</v>
      </c>
      <c r="J58" s="748">
        <f t="shared" si="18"/>
        <v>175566.51027777779</v>
      </c>
      <c r="K58" s="748">
        <f t="shared" si="18"/>
        <v>175566.51027777779</v>
      </c>
      <c r="L58" s="748">
        <f t="shared" si="18"/>
        <v>175566.51027777779</v>
      </c>
      <c r="M58" s="748">
        <f t="shared" si="18"/>
        <v>175566.51027777779</v>
      </c>
      <c r="N58" s="748">
        <f t="shared" si="18"/>
        <v>175566.51027777779</v>
      </c>
      <c r="O58" s="748">
        <f t="shared" si="18"/>
        <v>175566.51027777779</v>
      </c>
      <c r="P58" s="748">
        <f t="shared" si="18"/>
        <v>175566.51027777779</v>
      </c>
      <c r="Q58" s="748">
        <f t="shared" si="18"/>
        <v>175566.51027777779</v>
      </c>
      <c r="R58" s="748">
        <f t="shared" si="18"/>
        <v>175566.51027777779</v>
      </c>
      <c r="S58" s="748">
        <f t="shared" si="18"/>
        <v>175566.51027777779</v>
      </c>
      <c r="T58" s="748">
        <f t="shared" si="18"/>
        <v>175566.51027777779</v>
      </c>
      <c r="U58" s="748">
        <f t="shared" si="18"/>
        <v>175566.51027777779</v>
      </c>
      <c r="V58" s="748">
        <f t="shared" si="18"/>
        <v>175566.51027777779</v>
      </c>
      <c r="W58" s="748">
        <f t="shared" si="18"/>
        <v>175566.51027777779</v>
      </c>
      <c r="X58" s="748"/>
      <c r="Y58" s="748">
        <f t="shared" si="3"/>
        <v>3256436.0000000019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309419.07151713799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15441885.251562497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83205212.517524853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-9078202.2976705804</v>
      </c>
      <c r="E87" s="749">
        <f>E80-E84-E85-E86-E88-E89-E90-E91</f>
        <v>600732.17656249553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15441885.251562497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7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7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5" t="s">
        <v>590</v>
      </c>
      <c r="D74" s="1766"/>
      <c r="E74" s="1766"/>
      <c r="F74" s="1766"/>
      <c r="G74" s="1766"/>
      <c r="H74" s="1766"/>
      <c r="I74" s="1767"/>
      <c r="J74" s="1775" t="s">
        <v>583</v>
      </c>
      <c r="K74" s="1776"/>
      <c r="L74" s="1776"/>
      <c r="M74" s="1776"/>
      <c r="N74" s="1776"/>
      <c r="O74" s="1777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-1020177.0303124998</v>
      </c>
      <c r="K103" s="162">
        <f>J103+(C116*0.25)/2</f>
        <v>-2040354.0606249997</v>
      </c>
      <c r="L103" s="162">
        <f>K103+((C116-K103)/4)</f>
        <v>-3570619.6060937494</v>
      </c>
      <c r="M103" s="162">
        <f>L103+((C116-K103)/4)</f>
        <v>-5100885.1515624989</v>
      </c>
      <c r="N103" s="162">
        <f>M103+((C116-K103)/4)</f>
        <v>-6631150.6970312484</v>
      </c>
      <c r="O103" s="162">
        <f>N103+((C116-K103)/4)</f>
        <v>-8161416.2424999978</v>
      </c>
      <c r="P103" s="162">
        <f>O103</f>
        <v>-8161416.2424999978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9556260.0112500004</v>
      </c>
      <c r="K104" s="371">
        <f>((C117-1033493)/6)+J104</f>
        <v>19112520.022500001</v>
      </c>
      <c r="L104" s="371">
        <f>((C117-1033493)/6)+K104</f>
        <v>28668780.033750001</v>
      </c>
      <c r="M104" s="371">
        <f>((C117-1033493)/6)+L104</f>
        <v>38225040.045000002</v>
      </c>
      <c r="N104" s="371">
        <f>((C117-1033493)/6)+M104</f>
        <v>47781300.056250006</v>
      </c>
      <c r="O104" s="371">
        <f>((C117-1033493)/6)+N104</f>
        <v>57337560.06750001</v>
      </c>
      <c r="P104" s="371">
        <f>(286645+100000+646848)+O104</f>
        <v>58371053.06750001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8536082.9809375014</v>
      </c>
      <c r="K110" s="371">
        <f t="shared" ref="K110:P110" si="9">SUM(K103:K104)</f>
        <v>17072165.961875003</v>
      </c>
      <c r="L110" s="371">
        <f t="shared" si="9"/>
        <v>25098160.427656252</v>
      </c>
      <c r="M110" s="371">
        <f t="shared" si="9"/>
        <v>33124154.893437505</v>
      </c>
      <c r="N110" s="371">
        <f t="shared" si="9"/>
        <v>41150149.359218761</v>
      </c>
      <c r="O110" s="371">
        <f t="shared" si="9"/>
        <v>49176143.82500001</v>
      </c>
      <c r="P110" s="371">
        <f t="shared" si="9"/>
        <v>50209636.82500001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0">
        <f>'PreDev Flow of Funds'!D47</f>
        <v>14824249.954999998</v>
      </c>
      <c r="D114" s="1769"/>
    </row>
    <row r="115" spans="2:19">
      <c r="B115" s="397" t="s">
        <v>601</v>
      </c>
      <c r="C115" s="1771">
        <f>M102</f>
        <v>1323400.22</v>
      </c>
      <c r="D115" s="1769"/>
    </row>
    <row r="116" spans="2:19">
      <c r="B116" s="397" t="s">
        <v>583</v>
      </c>
      <c r="C116" s="1771">
        <f>'Development Budget'!G37-Predevelopment!D27-Predevelopment!D28-Predevelopment!D29-Timeline!M102-Predevelopment!D17</f>
        <v>-8161416.2424999988</v>
      </c>
      <c r="D116" s="1769"/>
    </row>
    <row r="117" spans="2:19" ht="16.5" thickBot="1">
      <c r="B117" s="398" t="s">
        <v>602</v>
      </c>
      <c r="C117" s="1772">
        <f>C118-C114-C116-C115</f>
        <v>58371053.067500003</v>
      </c>
      <c r="D117" s="1773"/>
    </row>
    <row r="118" spans="2:19" ht="16.5" thickTop="1">
      <c r="B118" s="368" t="s">
        <v>586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