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"/>
    </mc:Choice>
  </mc:AlternateContent>
  <xr:revisionPtr revIDLastSave="0" documentId="13_ncr:1_{6C8E2751-C8F2-41EA-A67A-87304101AD6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E55" i="23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E43" i="28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28" i="28" s="1"/>
  <c r="D22" i="6"/>
  <c r="I250" i="1"/>
  <c r="K97" i="1" s="1"/>
  <c r="G254" i="1"/>
  <c r="D23" i="2"/>
  <c r="E23" i="2" l="1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<sst xmlns="http://schemas.openxmlformats.org/spreadsheetml/2006/main" count="1992" uniqueCount="1105">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</sst>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39" workbookViewId="0">
      <selection activeCell="F12" sqref="F12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245772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245772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1103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5.7108540761923877E-2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5.710854076192385E-2</v>
      </c>
      <c r="E16" s="700"/>
    </row>
    <row r="17" spans="1:6">
      <c r="A17" s="1686"/>
      <c r="B17" s="702"/>
      <c r="D17" s="1682"/>
      <c r="E17" s="1753" t="s">
        <v>961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-7853882.5931250192</v>
      </c>
      <c r="E18" s="1754">
        <f ca="1">-D18/D28</f>
        <v>4.9915574416062987E-2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16555000</v>
      </c>
      <c r="E21" s="1531">
        <f>D21/$D$10</f>
        <v>65694.444444444438</v>
      </c>
    </row>
    <row r="22" spans="1:6">
      <c r="A22" s="64"/>
      <c r="B22" s="4" t="s">
        <v>16</v>
      </c>
      <c r="C22" s="4"/>
      <c r="D22" s="1531">
        <f>'Development Budget'!G44</f>
        <v>101264161.87499999</v>
      </c>
      <c r="E22" s="1531">
        <f t="shared" ref="E22:E28" si="0">D22/$D$10</f>
        <v>401841.91220238089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4075786</v>
      </c>
      <c r="E24" s="1531">
        <f t="shared" si="0"/>
        <v>16173.753968253968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10372001.025158519</v>
      </c>
      <c r="E25" s="1531">
        <f t="shared" si="0"/>
        <v>41158.734226819521</v>
      </c>
    </row>
    <row r="26" spans="1:6">
      <c r="A26" s="64"/>
      <c r="B26" s="4" t="s">
        <v>20</v>
      </c>
      <c r="C26" s="4"/>
      <c r="D26" s="1531">
        <f>'Development Budget'!G181</f>
        <v>7673229.0000000009</v>
      </c>
      <c r="E26" s="1531">
        <f t="shared" si="0"/>
        <v>30449.321428571431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14678910.009088516</v>
      </c>
      <c r="E27" s="1532">
        <f t="shared" si="0"/>
        <v>58249.642893208395</v>
      </c>
    </row>
    <row r="28" spans="1:6" ht="16.5" thickTop="1">
      <c r="A28" s="4"/>
      <c r="B28" s="4"/>
      <c r="C28" s="150" t="s">
        <v>14</v>
      </c>
      <c r="D28" s="1533">
        <f>SUM(D21:D27)</f>
        <v>157343327.90924701</v>
      </c>
      <c r="E28" s="1531">
        <f t="shared" si="0"/>
        <v>624378.28535415477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101741274.87374559</v>
      </c>
      <c r="E32" s="1586">
        <f t="shared" si="1"/>
        <v>403735.21775295871</v>
      </c>
    </row>
    <row r="33" spans="1:5">
      <c r="A33" s="64"/>
      <c r="B33" s="4" t="s">
        <v>1051</v>
      </c>
      <c r="C33" s="4"/>
      <c r="D33" s="1587">
        <f>GapCalc!D29</f>
        <v>8340307.9553252123</v>
      </c>
      <c r="E33" s="1586">
        <f>D33/$D$10</f>
        <v>33096.460140179413</v>
      </c>
    </row>
    <row r="34" spans="1:5">
      <c r="A34" s="65"/>
      <c r="B34" s="4" t="s">
        <v>26</v>
      </c>
      <c r="C34" s="4"/>
      <c r="D34" s="1587">
        <f>GapCalc!D30</f>
        <v>47261745.080176197</v>
      </c>
      <c r="E34" s="1586">
        <f>D34/$D$10</f>
        <v>187546.60746101665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157343327.90924701</v>
      </c>
      <c r="E36" s="1586">
        <f>D36/$D$10</f>
        <v>624378.28535415477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105087559.58841945</v>
      </c>
      <c r="E40" s="1586">
        <f t="shared" ref="E40" si="2">D40/$D$10</f>
        <v>417014.12535087083</v>
      </c>
    </row>
    <row r="41" spans="1:5">
      <c r="A41" s="60"/>
      <c r="B41" s="4" t="s">
        <v>1051</v>
      </c>
      <c r="C41" s="4"/>
      <c r="D41" s="1591">
        <f>GapCalc!D29+GapCalc!D38</f>
        <v>8340307.9553252123</v>
      </c>
      <c r="E41" s="1586">
        <f>D41/$D$10</f>
        <v>33096.460140179413</v>
      </c>
    </row>
    <row r="42" spans="1:5">
      <c r="A42" s="60"/>
      <c r="B42" s="1557" t="s">
        <v>26</v>
      </c>
      <c r="C42" s="4"/>
      <c r="D42" s="1592">
        <f>GapCalc!D30+GapCalc!D39</f>
        <v>47261745.080176197</v>
      </c>
      <c r="E42" s="1586">
        <f>D42/$D$10</f>
        <v>187546.60746101665</v>
      </c>
    </row>
    <row r="43" spans="1:5">
      <c r="A43" s="60"/>
      <c r="B43" s="1714" t="s">
        <v>1102</v>
      </c>
      <c r="C43" s="4"/>
      <c r="D43" s="1592">
        <f>IF(D32-D40&gt;0,0,D32-D40)</f>
        <v>-3346284.7146738619</v>
      </c>
      <c r="E43" s="1586">
        <f>D43/$D$10</f>
        <v>-13278.90759791215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157343327.90924698</v>
      </c>
      <c r="E45" s="1588">
        <f>D45/$D$10</f>
        <v>624378.28535415465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7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245772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245772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16555000</v>
      </c>
      <c r="E17" s="1531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101264161.87499999</v>
      </c>
      <c r="E18" s="1531">
        <f t="shared" ref="E18:E24" si="0">D18/$D$11</f>
        <v>401841.91220238089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4075786</v>
      </c>
      <c r="E20" s="1531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10372001.025158519</v>
      </c>
      <c r="E21" s="1531">
        <f t="shared" si="0"/>
        <v>41158.734226819521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7673229.0000000009</v>
      </c>
      <c r="E22" s="1531">
        <f t="shared" si="0"/>
        <v>30449.321428571431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14678910.009088516</v>
      </c>
      <c r="E23" s="1532">
        <f t="shared" si="0"/>
        <v>58249.642893208395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157343327.90924701</v>
      </c>
      <c r="E24" s="1531">
        <f t="shared" si="0"/>
        <v>624378.28535415477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101741274.87374559</v>
      </c>
      <c r="E28" s="1586">
        <f t="shared" si="1"/>
        <v>403735.21775295871</v>
      </c>
      <c r="F28" s="62"/>
      <c r="G28" s="1419" t="s">
        <v>608</v>
      </c>
      <c r="H28" s="1608">
        <f>H32/D11</f>
        <v>33096.460140179413</v>
      </c>
      <c r="I28" s="703"/>
    </row>
    <row r="29" spans="1:10" ht="15.75">
      <c r="A29" s="64"/>
      <c r="B29" s="4" t="s">
        <v>1051</v>
      </c>
      <c r="C29" s="4"/>
      <c r="D29" s="1587">
        <v>8340307.9553252123</v>
      </c>
      <c r="E29" s="1586">
        <f>D29/$D$11</f>
        <v>33096.460140179413</v>
      </c>
      <c r="F29" s="520"/>
      <c r="G29" s="1420" t="s">
        <v>971</v>
      </c>
      <c r="H29" s="1609">
        <f>H33/D11</f>
        <v>187546.60746101665</v>
      </c>
      <c r="I29" s="703"/>
    </row>
    <row r="30" spans="1:10" ht="16.5" thickBot="1">
      <c r="A30" s="65"/>
      <c r="B30" s="4" t="s">
        <v>26</v>
      </c>
      <c r="C30" s="4"/>
      <c r="D30" s="1587">
        <v>47261745.080176197</v>
      </c>
      <c r="E30" s="1586">
        <f>D30/$D$11</f>
        <v>187546.60746101665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8340307.9553252123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157343327.90924701</v>
      </c>
      <c r="E33" s="1586">
        <f>D33/$D$11</f>
        <v>624378.28535415477</v>
      </c>
      <c r="F33" s="62"/>
      <c r="G33" s="1441" t="s">
        <v>971</v>
      </c>
      <c r="H33" s="1611">
        <f>D30+D39</f>
        <v>47261745.080176197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55602053.035501406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0.35338043102515115</v>
      </c>
      <c r="J36" s="704"/>
    </row>
    <row r="37" spans="1:12" ht="16.5" thickBot="1">
      <c r="A37" s="60"/>
      <c r="B37" s="4" t="s">
        <v>995</v>
      </c>
      <c r="C37" s="4"/>
      <c r="D37" s="1586">
        <f>Data!C30</f>
        <v>105087559.58841945</v>
      </c>
      <c r="E37" s="1586">
        <f t="shared" ref="E37" si="2">D37/$D$11</f>
        <v>417014.12535087083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0</v>
      </c>
      <c r="E38" s="1586">
        <f>D38/$D$11</f>
        <v>0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608</v>
      </c>
      <c r="H39" s="1616">
        <f>-D32*0.15</f>
        <v>0</v>
      </c>
      <c r="I39" s="1596">
        <f>D29+H39</f>
        <v>8340307.9553252123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47261745.080176197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3346284.7146738619</v>
      </c>
      <c r="E41" s="1588">
        <f>D41/$D$11</f>
        <v>13278.90759791215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105087559.58841945</v>
      </c>
      <c r="E42" s="1586">
        <f>D42/$D$11</f>
        <v>417014.12535087083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-501942.70720107923</v>
      </c>
      <c r="I43" s="1596">
        <f>D38+H43</f>
        <v>-501942.70720107923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-2844342.0074727824</v>
      </c>
      <c r="I44" s="1596">
        <f>D39+H44</f>
        <v>-2844342.0074727824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40585944.876019932</v>
      </c>
      <c r="J46" s="1582" t="s">
        <v>1083</v>
      </c>
      <c r="K46" s="1583">
        <f>'Cash Flow'!C76</f>
        <v>5.7108540761923877E-2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13110824.922363501</v>
      </c>
      <c r="J47" s="1584" t="s">
        <v>1099</v>
      </c>
      <c r="K47" s="1607">
        <f>'Cash Flow'!C70</f>
        <v>66155090.14791248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-6675800.2041562647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7162225.5663564578</v>
      </c>
      <c r="J51" s="1585" t="s">
        <v>1083</v>
      </c>
      <c r="K51" s="1618">
        <f>'Cash Flow'!H76</f>
        <v>5.710854076192385E-2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8340307.9553252123</v>
      </c>
      <c r="J52" s="1584" t="s">
        <v>1098</v>
      </c>
      <c r="K52" s="1607">
        <f>'Cash Flow'!H70</f>
        <v>11674427.673161026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-1178082.3889687546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-7853882.5931250192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58890655.264145479</v>
      </c>
      <c r="J58" s="1582" t="s">
        <v>1083</v>
      </c>
      <c r="K58" s="1583">
        <f>'Cash Flow'!C103</f>
        <v>0.10310669425708656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1098</v>
      </c>
      <c r="K59" s="1607">
        <f>'Cash Flow'!C97</f>
        <v>95991768.080557123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11628910.183969282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8056842.5571438977</v>
      </c>
      <c r="J63" s="1585" t="s">
        <v>1083</v>
      </c>
      <c r="K63" s="1618">
        <f>'Cash Flow'!H103</f>
        <v>5.7460053495500374E-2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8340307.9553252123</v>
      </c>
      <c r="J64" s="1584" t="s">
        <v>1098</v>
      </c>
      <c r="K64" s="1607">
        <f>'Cash Flow'!H97</f>
        <v>13132653.368144553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-283465.39818131458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11345444.785787966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5" zoomScale="130" zoomScaleNormal="130" workbookViewId="0">
      <selection activeCell="P19" sqref="P19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0.1984126984126984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0.79365079365079361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55</v>
      </c>
      <c r="E9" s="278">
        <f>IF(D9="","",D9/D$15)</f>
        <v>0.21825396825396826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1087</v>
      </c>
      <c r="N9" s="298">
        <f>E46+E183</f>
        <v>50</v>
      </c>
      <c r="O9" s="332">
        <f t="shared" si="0"/>
        <v>0.1984126984126984</v>
      </c>
    </row>
    <row r="10" spans="2:19" ht="12.75" customHeight="1">
      <c r="B10" s="268"/>
      <c r="C10" s="209" t="s">
        <v>53</v>
      </c>
      <c r="D10" s="210">
        <f>SUM(E24,E33,E42,E51,E60,E78,E69,E87,E96,E116,E106)</f>
        <v>43</v>
      </c>
      <c r="E10" s="278">
        <f>IF(D10="","",D10/D$15)</f>
        <v>0.17063492063492064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154</v>
      </c>
      <c r="E11" s="278">
        <f>IF(D11="","",D11/D$15)</f>
        <v>0.61111111111111116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200</v>
      </c>
      <c r="O13" s="332">
        <f>N13/$N$18</f>
        <v>0.79365079365079361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250</v>
      </c>
      <c r="O16" s="283">
        <f>SUM(O7:O15)</f>
        <v>0.99206349206349198</v>
      </c>
    </row>
    <row r="17" spans="2:21" ht="12.75" customHeight="1">
      <c r="B17" s="268"/>
      <c r="C17" s="201" t="s">
        <v>62</v>
      </c>
      <c r="E17" s="284">
        <f>SUM(J28+J37,J46,J55,J64,J82,J91,J73,J100,J120,J110)</f>
        <v>204810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906717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0.1984126984126984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10000</v>
      </c>
      <c r="K41" s="292">
        <f>E41*I41</f>
        <v>48525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13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8710</v>
      </c>
      <c r="K42" s="292">
        <f>E42*I42</f>
        <v>27040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12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12000</v>
      </c>
      <c r="K43" s="292">
        <f>E43*I43</f>
        <v>29952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50</v>
      </c>
      <c r="F46" s="203"/>
      <c r="G46" s="203"/>
      <c r="H46" s="246"/>
      <c r="I46" s="247"/>
      <c r="J46" s="296">
        <f>SUM(J41:J45)</f>
        <v>30710</v>
      </c>
      <c r="K46" s="297">
        <f>SUM(K41:K45)</f>
        <v>105517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30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12000</v>
      </c>
      <c r="K50" s="292">
        <f>E50*I50</f>
        <v>72000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30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20100</v>
      </c>
      <c r="K51" s="292">
        <f>E51*I51</f>
        <v>93600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140000</v>
      </c>
      <c r="K52" s="292">
        <f>E52*I52</f>
        <v>635600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200</v>
      </c>
      <c r="F55" s="247"/>
      <c r="G55" s="247"/>
      <c r="H55" s="246"/>
      <c r="I55" s="247"/>
      <c r="J55" s="296">
        <f>SUM(J50:J54)</f>
        <v>172100</v>
      </c>
      <c r="K55" s="297">
        <f>SUM(K50:K54)</f>
        <v>801200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3" zoomScaleNormal="100" workbookViewId="0">
      <selection activeCell="N156" sqref="N156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3346284.7146738619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16380000</v>
      </c>
      <c r="F18" s="845"/>
      <c r="G18" s="1392">
        <f>E18</f>
        <v>16380000</v>
      </c>
      <c r="H18" s="950"/>
      <c r="I18" s="950">
        <f>G18/$F$9</f>
        <v>65000</v>
      </c>
      <c r="J18" s="1015"/>
      <c r="K18" s="1016"/>
      <c r="L18" s="1016"/>
      <c r="M18" s="1431">
        <f>F9*N17</f>
        <v>16380000</v>
      </c>
      <c r="N18" s="1674">
        <v>16380000</v>
      </c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16380000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16555000</v>
      </c>
      <c r="H28" s="1333"/>
      <c r="I28" s="1325">
        <f t="shared" si="0"/>
        <v>65694.444444444438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16555000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80891329.5</v>
      </c>
      <c r="H32" s="1039"/>
      <c r="I32" s="950">
        <f t="shared" si="0"/>
        <v>320997.33928571426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88980462.450000003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73731600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8089132.9500000002</v>
      </c>
      <c r="G36" s="854">
        <f>F36</f>
        <v>8089132.9500000002</v>
      </c>
      <c r="H36" s="950"/>
      <c r="I36" s="950">
        <f t="shared" si="0"/>
        <v>32099.73392857143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5662393.0650000004</v>
      </c>
      <c r="H37" s="1072"/>
      <c r="I37" s="950">
        <f t="shared" si="0"/>
        <v>22469.813750000001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5662393.0650000004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4044566.4750000001</v>
      </c>
      <c r="H38" s="1072"/>
      <c r="I38" s="950">
        <f t="shared" si="0"/>
        <v>16049.866964285715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4044566.4750000001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1213369.9424999999</v>
      </c>
      <c r="H40" s="1072"/>
      <c r="I40" s="950">
        <f t="shared" si="0"/>
        <v>4814.9600892857143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1213369.9424999999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1213369.9424999999</v>
      </c>
      <c r="H41" s="1072"/>
      <c r="I41" s="950">
        <f t="shared" si="0"/>
        <v>4814.9600892857143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1213369.9424999999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101264161.87499999</v>
      </c>
      <c r="H44" s="1324"/>
      <c r="I44" s="1325">
        <f t="shared" si="0"/>
        <v>401841.91220238089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101264161.87499999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101264161.87499999</v>
      </c>
      <c r="H46" s="1333"/>
      <c r="I46" s="1325">
        <f t="shared" si="0"/>
        <v>401841.91220238089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101264161.87499999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10126416.1875</v>
      </c>
      <c r="H47" s="1039"/>
      <c r="I47" s="950">
        <f t="shared" si="0"/>
        <v>40184.191220238092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10126416.1875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2280079.5953124999</v>
      </c>
      <c r="H59" s="1128"/>
      <c r="I59" s="950">
        <f t="shared" si="0"/>
        <v>9047.9349020337304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253160.40468749998</v>
      </c>
      <c r="H67" s="1039"/>
      <c r="I67" s="950">
        <f t="shared" si="0"/>
        <v>1004.6047805059522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253160.40468749998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444160.40468749998</v>
      </c>
      <c r="H80" s="1101"/>
      <c r="I80" s="950">
        <f t="shared" si="0"/>
        <v>1762.5412884424602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444160.40468749998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3975786</v>
      </c>
      <c r="H90" s="1111"/>
      <c r="I90" s="950">
        <f t="shared" si="3"/>
        <v>15776.928571428571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3975786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>
        <v>51432</v>
      </c>
      <c r="G91" s="1110">
        <v>100000</v>
      </c>
      <c r="H91" s="1111"/>
      <c r="I91" s="950">
        <f t="shared" si="3"/>
        <v>396.82539682539681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f>M94</f>
        <v>2970324</v>
      </c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2970324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4075786</v>
      </c>
      <c r="H97" s="1101"/>
      <c r="I97" s="950">
        <f t="shared" si="3"/>
        <v>16173.753968253968</v>
      </c>
      <c r="J97" s="1102"/>
      <c r="K97" s="1166">
        <f>I97/I250</f>
        <v>2.5903773958250362E-2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4075786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367142.69850430451</v>
      </c>
      <c r="H102" s="1111"/>
      <c r="I102" s="950">
        <f t="shared" si="3"/>
        <v>1456.9154702551766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367142.69850430451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352142.69850430451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7067285.5217235126</v>
      </c>
      <c r="N103" s="1172">
        <v>7042853.9700860903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367142.69850430451</v>
      </c>
      <c r="H114" s="1101"/>
      <c r="I114" s="950">
        <f t="shared" si="3"/>
        <v>1456.9154702551766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367142.69850430451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7195256.5751076061</v>
      </c>
      <c r="H116" s="1177"/>
      <c r="I116" s="950">
        <f t="shared" si="3"/>
        <v>28552.605456776215</v>
      </c>
      <c r="J116" s="1178"/>
      <c r="K116" s="1179" t="s">
        <v>822</v>
      </c>
      <c r="L116" s="1073"/>
      <c r="M116" s="1180">
        <f>0.5*Data!C20*Data!C17/12*Data!C19</f>
        <v>7172759.8785990644</v>
      </c>
      <c r="N116" s="1181">
        <v>7195256.5751076061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7195256.5751076061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1020603.7695188092</v>
      </c>
      <c r="H117" s="1094"/>
      <c r="I117" s="950">
        <f t="shared" si="3"/>
        <v>4050.0149584079727</v>
      </c>
      <c r="J117" s="1015"/>
      <c r="K117" s="1184" t="s">
        <v>824</v>
      </c>
      <c r="L117" s="1185"/>
      <c r="M117" s="1186">
        <f>0.01*Data!C20</f>
        <v>1017412.7487374559</v>
      </c>
      <c r="N117" s="1172">
        <v>1020603.7695188092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1020603.7695188092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491153.48100000003</v>
      </c>
      <c r="H120" s="1039"/>
      <c r="I120" s="950">
        <f t="shared" si="3"/>
        <v>1949.0217500000001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491153.48100000003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1376496.634104281</v>
      </c>
      <c r="H121" s="1117"/>
      <c r="I121" s="950">
        <f t="shared" si="3"/>
        <v>5462.2882305725434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1376496.634104281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1376496.634104281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163090.56542782139</v>
      </c>
      <c r="H125" s="1111"/>
      <c r="I125" s="950">
        <f t="shared" si="3"/>
        <v>647.18478344373568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163090.56542782139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153090.56542782139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152611.91231061838</v>
      </c>
      <c r="N126" s="1172">
        <v>153090.56542782139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10262001.025158519</v>
      </c>
      <c r="H148" s="1128"/>
      <c r="I148" s="950">
        <f t="shared" si="6"/>
        <v>40722.226290311584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10262001.025158519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1050875.5958841946</v>
      </c>
      <c r="H151" s="1093"/>
      <c r="I151" s="950">
        <f t="shared" ref="I151:I158" si="7">G151/$F$9</f>
        <v>4170.1412535087084</v>
      </c>
      <c r="J151" s="1094"/>
      <c r="K151" s="1244" t="s">
        <v>862</v>
      </c>
      <c r="L151" s="1245"/>
      <c r="M151" s="1558">
        <f>Data!C31*Data!C30</f>
        <v>1050875.5958841946</v>
      </c>
      <c r="N151" s="1345">
        <v>1050875.5958841946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91059.686861470691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862</v>
      </c>
      <c r="L162" s="1245"/>
      <c r="M162" s="1343">
        <f>Data!C38*Data!C39</f>
        <v>1071193.7372294138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3213581.211688241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9156714.7386371028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7673229.0000000009</v>
      </c>
      <c r="H178" s="1093"/>
      <c r="I178" s="950">
        <f t="shared" si="6"/>
        <v>30449.321428571431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7673229.0000000009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7673229.0000000009</v>
      </c>
      <c r="H181" s="1128"/>
      <c r="I181" s="950">
        <f t="shared" si="6"/>
        <v>30449.321428571431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7673229.0000000009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1169803.4564175163</v>
      </c>
      <c r="H233" s="1111"/>
      <c r="I233" s="950">
        <f t="shared" si="8"/>
        <v>4642.0772080060169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1169803.4564175163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1608553.4564175163</v>
      </c>
      <c r="H234" s="1282"/>
      <c r="I234" s="950">
        <f t="shared" si="8"/>
        <v>6383.1486365774454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1608553.4564175163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157343327.90924701</v>
      </c>
      <c r="H250" s="1298"/>
      <c r="I250" s="1299">
        <f>G250/F9</f>
        <v>624378.28535415477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640.20038047152241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245772</v>
      </c>
      <c r="D5" t="s">
        <v>427</v>
      </c>
      <c r="G5" s="510"/>
    </row>
    <row r="6" spans="1:15">
      <c r="B6" s="1350" t="s">
        <v>12</v>
      </c>
      <c r="C6" s="700">
        <f>'Construction Calculation'!C14</f>
        <v>245772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40962</v>
      </c>
      <c r="D8" t="s">
        <v>427</v>
      </c>
      <c r="G8" s="510"/>
    </row>
    <row r="9" spans="1:15">
      <c r="B9" s="1350" t="s">
        <v>429</v>
      </c>
      <c r="C9" s="700">
        <f>'Construction Calculation'!C47</f>
        <v>126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101741274.87374559</v>
      </c>
      <c r="D20" s="1375">
        <f>MIN(D22,GapCalc!D24)</f>
        <v>102273163.14101057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102273163.14101057</v>
      </c>
      <c r="G22" s="147"/>
    </row>
    <row r="23" spans="1:13">
      <c r="A23" s="1430" t="s">
        <v>438</v>
      </c>
      <c r="B23" s="1370"/>
      <c r="C23" s="1370" t="s">
        <v>68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6.0499999999999998E-2</v>
      </c>
      <c r="D24" s="1425">
        <f>PMT(C24/12,C25*12,C30)*12</f>
        <v>-7295228.9999999665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7295229.0000000009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124102497.59999999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105087559.58841945</v>
      </c>
      <c r="D30" s="1376">
        <f>-PV($C$24/12,$C$29*12,C27/12)</f>
        <v>105087559.58841945</v>
      </c>
      <c r="E30" s="1384"/>
      <c r="F30" t="s">
        <v>437</v>
      </c>
      <c r="G30" s="1381"/>
      <c r="H30" s="1376">
        <f>PV(G23,G29,-'Cash Flow'!E41*H28,)</f>
        <v>11760913.598687433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7295229.0000000009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107119373.72294137</v>
      </c>
      <c r="D38" s="516" t="s">
        <v>1038</v>
      </c>
      <c r="E38" s="1391">
        <f>C37*GapCalc!D24</f>
        <v>125874662.32739761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119982904.22292045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10880604</v>
      </c>
      <c r="F12" s="89">
        <f>E12*(1+$D$12)</f>
        <v>11152619.1</v>
      </c>
      <c r="G12" s="89">
        <f t="shared" ref="G12:AH12" si="0">F12*(1+$D$12)</f>
        <v>11431434.577499999</v>
      </c>
      <c r="H12" s="89">
        <f t="shared" si="0"/>
        <v>11717220.441937497</v>
      </c>
      <c r="I12" s="89">
        <f t="shared" si="0"/>
        <v>12010150.952985933</v>
      </c>
      <c r="J12" s="89">
        <f t="shared" si="0"/>
        <v>12310404.72681058</v>
      </c>
      <c r="K12" s="89">
        <f t="shared" si="0"/>
        <v>12618164.844980843</v>
      </c>
      <c r="L12" s="89">
        <f t="shared" si="0"/>
        <v>12933618.966105362</v>
      </c>
      <c r="M12" s="89">
        <f t="shared" si="0"/>
        <v>13256959.440257994</v>
      </c>
      <c r="N12" s="89">
        <f t="shared" si="0"/>
        <v>13588383.426264443</v>
      </c>
      <c r="O12" s="89">
        <f t="shared" si="0"/>
        <v>13928093.011921052</v>
      </c>
      <c r="P12" s="89">
        <f t="shared" si="0"/>
        <v>14276295.337219076</v>
      </c>
      <c r="Q12" s="89">
        <f t="shared" si="0"/>
        <v>14633202.720649552</v>
      </c>
      <c r="R12" s="89">
        <f t="shared" si="0"/>
        <v>14999032.788665788</v>
      </c>
      <c r="S12" s="90">
        <f t="shared" si="0"/>
        <v>15374008.608382432</v>
      </c>
      <c r="T12" s="89">
        <f t="shared" si="0"/>
        <v>15758358.82359199</v>
      </c>
      <c r="U12" s="89">
        <f t="shared" si="0"/>
        <v>16152317.794181788</v>
      </c>
      <c r="V12" s="89">
        <f t="shared" si="0"/>
        <v>16556125.739036331</v>
      </c>
      <c r="W12" s="89">
        <f t="shared" si="0"/>
        <v>16970028.882512238</v>
      </c>
      <c r="X12" s="89">
        <f t="shared" si="0"/>
        <v>17394279.604575042</v>
      </c>
      <c r="Y12" s="89">
        <f t="shared" si="0"/>
        <v>17829136.594689418</v>
      </c>
      <c r="Z12" s="89">
        <f t="shared" si="0"/>
        <v>18274865.009556651</v>
      </c>
      <c r="AA12" s="89">
        <f t="shared" si="0"/>
        <v>18731736.634795565</v>
      </c>
      <c r="AB12" s="89">
        <f t="shared" si="0"/>
        <v>19200030.050665453</v>
      </c>
      <c r="AC12" s="89">
        <f t="shared" si="0"/>
        <v>19680030.801932089</v>
      </c>
      <c r="AD12" s="89">
        <f t="shared" si="0"/>
        <v>20172031.571980391</v>
      </c>
      <c r="AE12" s="89">
        <f t="shared" si="0"/>
        <v>20676332.361279897</v>
      </c>
      <c r="AF12" s="89">
        <f t="shared" si="0"/>
        <v>21193240.670311894</v>
      </c>
      <c r="AG12" s="89">
        <f t="shared" si="0"/>
        <v>21723071.687069688</v>
      </c>
      <c r="AH12" s="89">
        <f t="shared" si="0"/>
        <v>22266148.47924643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-544309.20000000007</v>
      </c>
      <c r="F14" s="100">
        <f t="shared" ref="F14:AH14" si="2">-((F12+F13)*$C$14)</f>
        <v>-557916.93000000005</v>
      </c>
      <c r="G14" s="100">
        <f t="shared" si="2"/>
        <v>-571864.85325000004</v>
      </c>
      <c r="H14" s="100">
        <f t="shared" si="2"/>
        <v>-586161.47458124987</v>
      </c>
      <c r="I14" s="100">
        <f t="shared" si="2"/>
        <v>-600815.5114457811</v>
      </c>
      <c r="J14" s="100">
        <f t="shared" si="2"/>
        <v>-615835.89923192549</v>
      </c>
      <c r="K14" s="100">
        <f t="shared" si="2"/>
        <v>-631231.79671272356</v>
      </c>
      <c r="L14" s="100">
        <f t="shared" si="2"/>
        <v>-647012.5916305416</v>
      </c>
      <c r="M14" s="100">
        <f t="shared" si="2"/>
        <v>-663187.90642130503</v>
      </c>
      <c r="N14" s="100">
        <f t="shared" si="2"/>
        <v>-679767.60408183758</v>
      </c>
      <c r="O14" s="100">
        <f t="shared" si="2"/>
        <v>-696761.79418388335</v>
      </c>
      <c r="P14" s="100">
        <f t="shared" si="2"/>
        <v>-714180.83903848042</v>
      </c>
      <c r="Q14" s="100">
        <f t="shared" si="2"/>
        <v>-732035.36001444235</v>
      </c>
      <c r="R14" s="100">
        <f t="shared" si="2"/>
        <v>-750336.24401480332</v>
      </c>
      <c r="S14" s="101">
        <f t="shared" si="2"/>
        <v>-769094.65011517331</v>
      </c>
      <c r="T14" s="100">
        <f t="shared" si="2"/>
        <v>-788322.01636805246</v>
      </c>
      <c r="U14" s="100">
        <f t="shared" si="2"/>
        <v>-808030.06677725376</v>
      </c>
      <c r="V14" s="100">
        <f t="shared" si="2"/>
        <v>-828230.81844668498</v>
      </c>
      <c r="W14" s="100">
        <f t="shared" si="2"/>
        <v>-848936.58890785207</v>
      </c>
      <c r="X14" s="100">
        <f t="shared" si="2"/>
        <v>-870160.00363054825</v>
      </c>
      <c r="Y14" s="100">
        <f t="shared" si="2"/>
        <v>-891914.00372131192</v>
      </c>
      <c r="Z14" s="100">
        <f t="shared" si="2"/>
        <v>-914211.85381434474</v>
      </c>
      <c r="AA14" s="100">
        <f t="shared" si="2"/>
        <v>-937067.15015970322</v>
      </c>
      <c r="AB14" s="100">
        <f t="shared" si="2"/>
        <v>-960493.82891369564</v>
      </c>
      <c r="AC14" s="100">
        <f t="shared" si="2"/>
        <v>-984506.17463653802</v>
      </c>
      <c r="AD14" s="100">
        <f t="shared" si="2"/>
        <v>-1009118.8290024514</v>
      </c>
      <c r="AE14" s="100">
        <f t="shared" si="2"/>
        <v>-1034346.7997275125</v>
      </c>
      <c r="AF14" s="100">
        <f t="shared" si="2"/>
        <v>-1060205.4697207005</v>
      </c>
      <c r="AG14" s="100">
        <f t="shared" si="2"/>
        <v>-1086710.6064637178</v>
      </c>
      <c r="AH14" s="100">
        <f t="shared" si="2"/>
        <v>-1113878.3716253105</v>
      </c>
    </row>
    <row r="15" spans="1:34">
      <c r="A15" s="76"/>
      <c r="B15" s="102" t="s">
        <v>311</v>
      </c>
      <c r="C15" s="76"/>
      <c r="D15" s="76"/>
      <c r="E15" s="95">
        <f>SUM(E12:E14)</f>
        <v>10341874.800000001</v>
      </c>
      <c r="F15" s="95">
        <f t="shared" ref="F15:AH15" si="3">SUM(F12:F14)</f>
        <v>10600421.67</v>
      </c>
      <c r="G15" s="103">
        <f t="shared" si="3"/>
        <v>10865432.211749999</v>
      </c>
      <c r="H15" s="104">
        <f t="shared" si="3"/>
        <v>11137068.017043747</v>
      </c>
      <c r="I15" s="104">
        <f t="shared" si="3"/>
        <v>11415494.717469839</v>
      </c>
      <c r="J15" s="95">
        <f t="shared" si="3"/>
        <v>11700882.085406585</v>
      </c>
      <c r="K15" s="103">
        <f t="shared" si="3"/>
        <v>11993404.137541749</v>
      </c>
      <c r="L15" s="95">
        <f t="shared" si="3"/>
        <v>12293239.24098029</v>
      </c>
      <c r="M15" s="95">
        <f t="shared" si="3"/>
        <v>12600570.222004794</v>
      </c>
      <c r="N15" s="95">
        <f t="shared" si="3"/>
        <v>12915584.477554914</v>
      </c>
      <c r="O15" s="95">
        <f t="shared" si="3"/>
        <v>13238474.089493783</v>
      </c>
      <c r="P15" s="95">
        <f t="shared" si="3"/>
        <v>13569435.941731127</v>
      </c>
      <c r="Q15" s="95">
        <f t="shared" si="3"/>
        <v>13908671.840274403</v>
      </c>
      <c r="R15" s="95">
        <f t="shared" si="3"/>
        <v>14256388.636281261</v>
      </c>
      <c r="S15" s="96">
        <f t="shared" si="3"/>
        <v>14612798.352188293</v>
      </c>
      <c r="T15" s="95">
        <f t="shared" si="3"/>
        <v>14978118.310992997</v>
      </c>
      <c r="U15" s="95">
        <f t="shared" si="3"/>
        <v>15352571.268767821</v>
      </c>
      <c r="V15" s="95">
        <f t="shared" si="3"/>
        <v>15736385.550487014</v>
      </c>
      <c r="W15" s="95">
        <f t="shared" si="3"/>
        <v>16129795.189249188</v>
      </c>
      <c r="X15" s="95">
        <f t="shared" si="3"/>
        <v>16533040.068980414</v>
      </c>
      <c r="Y15" s="95">
        <f t="shared" si="3"/>
        <v>16946366.070704926</v>
      </c>
      <c r="Z15" s="95">
        <f t="shared" si="3"/>
        <v>17370025.222472548</v>
      </c>
      <c r="AA15" s="95">
        <f t="shared" si="3"/>
        <v>17804275.853034362</v>
      </c>
      <c r="AB15" s="95">
        <f t="shared" si="3"/>
        <v>18249382.749360215</v>
      </c>
      <c r="AC15" s="95">
        <f t="shared" si="3"/>
        <v>18705617.31809422</v>
      </c>
      <c r="AD15" s="95">
        <f t="shared" si="3"/>
        <v>19173257.751046576</v>
      </c>
      <c r="AE15" s="95">
        <f t="shared" si="3"/>
        <v>19652589.194822736</v>
      </c>
      <c r="AF15" s="95">
        <f t="shared" si="3"/>
        <v>20143903.924693309</v>
      </c>
      <c r="AG15" s="95">
        <f t="shared" si="3"/>
        <v>20647501.522810634</v>
      </c>
      <c r="AH15" s="95">
        <f t="shared" si="3"/>
        <v>21163689.060880899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314</v>
      </c>
      <c r="C19" s="1713" t="s">
        <v>1104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8754274.8000000007</v>
      </c>
      <c r="F21" s="95">
        <f t="shared" si="8"/>
        <v>8959901.6699999999</v>
      </c>
      <c r="G21" s="95">
        <f t="shared" si="8"/>
        <v>9170140.0117499996</v>
      </c>
      <c r="H21" s="95">
        <f t="shared" si="8"/>
        <v>9385086.5900437478</v>
      </c>
      <c r="I21" s="95">
        <f t="shared" si="8"/>
        <v>9604839.9405248389</v>
      </c>
      <c r="J21" s="95">
        <f t="shared" si="8"/>
        <v>9829500.3912685104</v>
      </c>
      <c r="K21" s="95">
        <f t="shared" si="8"/>
        <v>10059170.084108841</v>
      </c>
      <c r="L21" s="95">
        <f t="shared" si="8"/>
        <v>10293952.995677231</v>
      </c>
      <c r="M21" s="95">
        <f t="shared" si="8"/>
        <v>10533954.958116129</v>
      </c>
      <c r="N21" s="95">
        <f t="shared" si="8"/>
        <v>10779283.679430146</v>
      </c>
      <c r="O21" s="95">
        <f t="shared" si="8"/>
        <v>11030048.763434649</v>
      </c>
      <c r="P21" s="95">
        <f t="shared" si="8"/>
        <v>11286361.729259923</v>
      </c>
      <c r="Q21" s="95">
        <f t="shared" si="8"/>
        <v>11548336.030366706</v>
      </c>
      <c r="R21" s="95">
        <f t="shared" si="8"/>
        <v>11816087.073026795</v>
      </c>
      <c r="S21" s="96">
        <f t="shared" si="8"/>
        <v>12089732.23421992</v>
      </c>
      <c r="T21" s="95">
        <f t="shared" si="8"/>
        <v>12369390.878895732</v>
      </c>
      <c r="U21" s="95">
        <f t="shared" si="8"/>
        <v>12655184.376547152</v>
      </c>
      <c r="V21" s="95">
        <f t="shared" si="8"/>
        <v>12947236.117038622</v>
      </c>
      <c r="W21" s="95">
        <f t="shared" si="8"/>
        <v>13245671.525630102</v>
      </c>
      <c r="X21" s="95">
        <f t="shared" si="8"/>
        <v>13550618.077134661</v>
      </c>
      <c r="Y21" s="95">
        <f t="shared" si="8"/>
        <v>13862205.309144571</v>
      </c>
      <c r="Z21" s="95">
        <f t="shared" si="8"/>
        <v>14180564.83425758</v>
      </c>
      <c r="AA21" s="95">
        <f t="shared" si="8"/>
        <v>14505830.351231871</v>
      </c>
      <c r="AB21" s="95">
        <f t="shared" si="8"/>
        <v>14838137.654994637</v>
      </c>
      <c r="AC21" s="95">
        <f t="shared" si="8"/>
        <v>15177624.645425847</v>
      </c>
      <c r="AD21" s="95">
        <f t="shared" si="8"/>
        <v>15524431.33483481</v>
      </c>
      <c r="AE21" s="95">
        <f t="shared" si="8"/>
        <v>15878699.854043558</v>
      </c>
      <c r="AF21" s="95">
        <f t="shared" si="8"/>
        <v>16240574.456986859</v>
      </c>
      <c r="AG21" s="95">
        <f t="shared" si="8"/>
        <v>16610201.52373446</v>
      </c>
      <c r="AH21" s="95">
        <f t="shared" si="8"/>
        <v>16987729.561837059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-7295229.0000000009</v>
      </c>
      <c r="F22" s="95">
        <f t="shared" ref="F22:AH22" si="9">$E$22</f>
        <v>-7295229.0000000009</v>
      </c>
      <c r="G22" s="95">
        <f t="shared" si="9"/>
        <v>-7295229.0000000009</v>
      </c>
      <c r="H22" s="95">
        <f t="shared" si="9"/>
        <v>-7295229.0000000009</v>
      </c>
      <c r="I22" s="95">
        <f t="shared" si="9"/>
        <v>-7295229.0000000009</v>
      </c>
      <c r="J22" s="95">
        <f t="shared" si="9"/>
        <v>-7295229.0000000009</v>
      </c>
      <c r="K22" s="95">
        <f t="shared" si="9"/>
        <v>-7295229.0000000009</v>
      </c>
      <c r="L22" s="95">
        <f t="shared" si="9"/>
        <v>-7295229.0000000009</v>
      </c>
      <c r="M22" s="95">
        <f t="shared" si="9"/>
        <v>-7295229.0000000009</v>
      </c>
      <c r="N22" s="95">
        <f t="shared" si="9"/>
        <v>-7295229.0000000009</v>
      </c>
      <c r="O22" s="95">
        <f t="shared" si="9"/>
        <v>-7295229.0000000009</v>
      </c>
      <c r="P22" s="95">
        <f t="shared" si="9"/>
        <v>-7295229.0000000009</v>
      </c>
      <c r="Q22" s="95">
        <f t="shared" si="9"/>
        <v>-7295229.0000000009</v>
      </c>
      <c r="R22" s="95">
        <f t="shared" si="9"/>
        <v>-7295229.0000000009</v>
      </c>
      <c r="S22" s="96">
        <f t="shared" si="9"/>
        <v>-7295229.0000000009</v>
      </c>
      <c r="T22" s="95">
        <f t="shared" si="9"/>
        <v>-7295229.0000000009</v>
      </c>
      <c r="U22" s="95">
        <f t="shared" si="9"/>
        <v>-7295229.0000000009</v>
      </c>
      <c r="V22" s="95">
        <f t="shared" si="9"/>
        <v>-7295229.0000000009</v>
      </c>
      <c r="W22" s="95">
        <f t="shared" si="9"/>
        <v>-7295229.0000000009</v>
      </c>
      <c r="X22" s="95">
        <f t="shared" si="9"/>
        <v>-7295229.0000000009</v>
      </c>
      <c r="Y22" s="95">
        <f t="shared" si="9"/>
        <v>-7295229.0000000009</v>
      </c>
      <c r="Z22" s="95">
        <f t="shared" si="9"/>
        <v>-7295229.0000000009</v>
      </c>
      <c r="AA22" s="95">
        <f t="shared" si="9"/>
        <v>-7295229.0000000009</v>
      </c>
      <c r="AB22" s="95">
        <f t="shared" si="9"/>
        <v>-7295229.0000000009</v>
      </c>
      <c r="AC22" s="95">
        <f t="shared" si="9"/>
        <v>-7295229.0000000009</v>
      </c>
      <c r="AD22" s="95">
        <f t="shared" si="9"/>
        <v>-7295229.0000000009</v>
      </c>
      <c r="AE22" s="95">
        <f t="shared" si="9"/>
        <v>-7295229.0000000009</v>
      </c>
      <c r="AF22" s="95">
        <f t="shared" si="9"/>
        <v>-7295229.0000000009</v>
      </c>
      <c r="AG22" s="95">
        <f t="shared" si="9"/>
        <v>-7295229.0000000009</v>
      </c>
      <c r="AH22" s="95">
        <f t="shared" si="9"/>
        <v>-7295229.0000000009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1459045.7999999998</v>
      </c>
      <c r="F25" s="119">
        <f t="shared" ref="F25:AH25" si="11">+F21+F22+F23</f>
        <v>1664672.669999999</v>
      </c>
      <c r="G25" s="119">
        <f t="shared" si="11"/>
        <v>1874911.0117499987</v>
      </c>
      <c r="H25" s="119">
        <f t="shared" si="11"/>
        <v>2089857.5900437469</v>
      </c>
      <c r="I25" s="119">
        <f t="shared" si="11"/>
        <v>2309610.9405248379</v>
      </c>
      <c r="J25" s="119">
        <f t="shared" si="11"/>
        <v>2534271.3912685094</v>
      </c>
      <c r="K25" s="119">
        <f t="shared" si="11"/>
        <v>2763941.0841088397</v>
      </c>
      <c r="L25" s="119">
        <f t="shared" si="11"/>
        <v>2998723.9956772299</v>
      </c>
      <c r="M25" s="119">
        <f t="shared" si="11"/>
        <v>3238725.9581161281</v>
      </c>
      <c r="N25" s="119">
        <f t="shared" si="11"/>
        <v>3484054.6794301448</v>
      </c>
      <c r="O25" s="119">
        <f t="shared" si="11"/>
        <v>3734819.7634346476</v>
      </c>
      <c r="P25" s="119">
        <f t="shared" si="11"/>
        <v>3991132.7292599222</v>
      </c>
      <c r="Q25" s="119">
        <f t="shared" si="11"/>
        <v>4253107.0303667048</v>
      </c>
      <c r="R25" s="119">
        <f t="shared" si="11"/>
        <v>4520858.073026794</v>
      </c>
      <c r="S25" s="160">
        <f t="shared" si="11"/>
        <v>4794503.234219919</v>
      </c>
      <c r="T25" s="119">
        <f t="shared" si="11"/>
        <v>5074161.8788957307</v>
      </c>
      <c r="U25" s="119">
        <f t="shared" si="11"/>
        <v>5359955.3765471512</v>
      </c>
      <c r="V25" s="119">
        <f t="shared" si="11"/>
        <v>5652007.1170386216</v>
      </c>
      <c r="W25" s="119">
        <f t="shared" si="11"/>
        <v>5950442.5256301006</v>
      </c>
      <c r="X25" s="119">
        <f t="shared" si="11"/>
        <v>6255389.0771346604</v>
      </c>
      <c r="Y25" s="119">
        <f t="shared" si="11"/>
        <v>6566976.3091445705</v>
      </c>
      <c r="Z25" s="119">
        <f t="shared" si="11"/>
        <v>6885335.8342575794</v>
      </c>
      <c r="AA25" s="119">
        <f t="shared" si="11"/>
        <v>7210601.3512318702</v>
      </c>
      <c r="AB25" s="119">
        <f t="shared" si="11"/>
        <v>7542908.6549946358</v>
      </c>
      <c r="AC25" s="119">
        <f t="shared" si="11"/>
        <v>7882395.6454258459</v>
      </c>
      <c r="AD25" s="119">
        <f t="shared" si="11"/>
        <v>8229202.3348348094</v>
      </c>
      <c r="AE25" s="119">
        <f t="shared" si="11"/>
        <v>8583470.8540435582</v>
      </c>
      <c r="AF25" s="119">
        <f t="shared" si="11"/>
        <v>8945345.4569868594</v>
      </c>
      <c r="AG25" s="119">
        <f t="shared" si="11"/>
        <v>9314972.5237344578</v>
      </c>
      <c r="AH25" s="119">
        <f t="shared" si="11"/>
        <v>9692500.5618370585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1.2281864859896789</v>
      </c>
      <c r="G27" s="122">
        <f t="shared" si="12"/>
        <v>1.2570050935686869</v>
      </c>
      <c r="H27" s="122">
        <f t="shared" si="12"/>
        <v>1.2864690868571427</v>
      </c>
      <c r="I27" s="122">
        <f t="shared" si="12"/>
        <v>1.3165919727159816</v>
      </c>
      <c r="J27" s="122">
        <f t="shared" si="12"/>
        <v>1.3473875037052996</v>
      </c>
      <c r="K27" s="122">
        <f t="shared" si="12"/>
        <v>1.3788696810077983</v>
      </c>
      <c r="L27" s="122">
        <f t="shared" si="12"/>
        <v>1.4110527573126532</v>
      </c>
      <c r="M27" s="122">
        <f t="shared" si="12"/>
        <v>1.4439512396548659</v>
      </c>
      <c r="N27" s="122">
        <f t="shared" si="12"/>
        <v>1.4775798922049115</v>
      </c>
      <c r="O27" s="122">
        <f t="shared" si="12"/>
        <v>1.5119537390032098</v>
      </c>
      <c r="P27" s="122">
        <f t="shared" si="12"/>
        <v>1.5470880666336755</v>
      </c>
      <c r="Q27" s="122">
        <f t="shared" si="12"/>
        <v>1.5829984268302892</v>
      </c>
      <c r="R27" s="122">
        <f t="shared" si="12"/>
        <v>1.6197006390103441</v>
      </c>
      <c r="S27" s="161">
        <f t="shared" si="12"/>
        <v>1.6572107927276742</v>
      </c>
      <c r="T27" s="122">
        <f t="shared" si="12"/>
        <v>1.6955452500388584</v>
      </c>
      <c r="U27" s="122">
        <f t="shared" si="12"/>
        <v>1.7347206477750254</v>
      </c>
      <c r="V27" s="122">
        <f t="shared" si="12"/>
        <v>1.7747538997115266</v>
      </c>
      <c r="W27" s="122">
        <f t="shared" si="12"/>
        <v>1.8156621986273631</v>
      </c>
      <c r="X27" s="122">
        <f t="shared" si="12"/>
        <v>1.8574630182458507</v>
      </c>
      <c r="Y27" s="122">
        <f t="shared" si="12"/>
        <v>1.9001741150475975</v>
      </c>
      <c r="Z27" s="122">
        <f t="shared" si="12"/>
        <v>1.9438135299464319</v>
      </c>
      <c r="AA27" s="122">
        <f t="shared" si="12"/>
        <v>1.9883995898184785</v>
      </c>
      <c r="AB27" s="122">
        <f t="shared" si="12"/>
        <v>2.0339509088740924</v>
      </c>
      <c r="AC27" s="122">
        <f t="shared" si="12"/>
        <v>2.080486389861901</v>
      </c>
      <c r="AD27" s="122">
        <f t="shared" si="12"/>
        <v>2.1280252250936615</v>
      </c>
      <c r="AE27" s="122">
        <f t="shared" si="12"/>
        <v>2.1765868972781468</v>
      </c>
      <c r="AF27" s="122">
        <f t="shared" si="12"/>
        <v>2.2261911801516931</v>
      </c>
      <c r="AG27" s="122">
        <f t="shared" si="12"/>
        <v>2.2768581388924813</v>
      </c>
      <c r="AH27" s="122">
        <f t="shared" si="12"/>
        <v>2.328608130305033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1459045.7999999998</v>
      </c>
      <c r="F41" s="129">
        <f t="shared" ref="F41:S41" si="20">F25+F37</f>
        <v>1664672.669999999</v>
      </c>
      <c r="G41" s="129">
        <f t="shared" si="20"/>
        <v>1874911.0117499987</v>
      </c>
      <c r="H41" s="129">
        <f t="shared" si="20"/>
        <v>2089857.5900437469</v>
      </c>
      <c r="I41" s="129">
        <f t="shared" si="20"/>
        <v>2309610.9405248379</v>
      </c>
      <c r="J41" s="129">
        <f t="shared" si="20"/>
        <v>2534271.3912685094</v>
      </c>
      <c r="K41" s="129">
        <f t="shared" si="20"/>
        <v>2763941.0841088397</v>
      </c>
      <c r="L41" s="129">
        <f t="shared" si="20"/>
        <v>2998723.9956772299</v>
      </c>
      <c r="M41" s="129">
        <f t="shared" si="20"/>
        <v>3238725.9581161281</v>
      </c>
      <c r="N41" s="129">
        <f t="shared" si="20"/>
        <v>3484054.6794301448</v>
      </c>
      <c r="O41" s="129">
        <f t="shared" si="20"/>
        <v>3734819.7634346476</v>
      </c>
      <c r="P41" s="129">
        <f t="shared" si="20"/>
        <v>3991132.7292599222</v>
      </c>
      <c r="Q41" s="129">
        <f t="shared" si="20"/>
        <v>4253107.0303667048</v>
      </c>
      <c r="R41" s="129">
        <f t="shared" si="20"/>
        <v>4520858.073026794</v>
      </c>
      <c r="S41" s="130">
        <f t="shared" si="20"/>
        <v>4794503.234219919</v>
      </c>
      <c r="T41" s="130">
        <f t="shared" ref="T41:AH41" si="21">T25+T37</f>
        <v>5074161.8788957307</v>
      </c>
      <c r="U41" s="130">
        <f t="shared" si="21"/>
        <v>5359955.3765471512</v>
      </c>
      <c r="V41" s="130">
        <f t="shared" si="21"/>
        <v>5652007.1170386216</v>
      </c>
      <c r="W41" s="130">
        <f t="shared" si="21"/>
        <v>5950442.5256301006</v>
      </c>
      <c r="X41" s="130">
        <f t="shared" si="21"/>
        <v>6255389.0771346604</v>
      </c>
      <c r="Y41" s="130">
        <f t="shared" si="21"/>
        <v>6566976.3091445705</v>
      </c>
      <c r="Z41" s="130">
        <f t="shared" si="21"/>
        <v>6885335.8342575794</v>
      </c>
      <c r="AA41" s="130">
        <f t="shared" si="21"/>
        <v>7210601.3512318702</v>
      </c>
      <c r="AB41" s="130">
        <f t="shared" si="21"/>
        <v>7542908.6549946358</v>
      </c>
      <c r="AC41" s="130">
        <f t="shared" si="21"/>
        <v>7882395.6454258459</v>
      </c>
      <c r="AD41" s="130">
        <f t="shared" si="21"/>
        <v>8229202.3348348094</v>
      </c>
      <c r="AE41" s="130">
        <f t="shared" si="21"/>
        <v>8583470.8540435582</v>
      </c>
      <c r="AF41" s="130">
        <f t="shared" si="21"/>
        <v>8945345.4569868594</v>
      </c>
      <c r="AG41" s="130">
        <f t="shared" si="21"/>
        <v>9314972.5237344578</v>
      </c>
      <c r="AH41" s="130">
        <f t="shared" si="21"/>
        <v>9692500.5618370585</v>
      </c>
    </row>
    <row r="42" spans="1:34">
      <c r="A42" s="86"/>
      <c r="B42" s="110" t="s">
        <v>329</v>
      </c>
      <c r="C42" s="323">
        <f>GapCalc!I33</f>
        <v>0.85000000000000009</v>
      </c>
      <c r="D42" s="131" t="s">
        <v>1048</v>
      </c>
      <c r="E42" s="129">
        <f>((E41*$C$42))</f>
        <v>1240188.93</v>
      </c>
      <c r="F42" s="129">
        <f t="shared" ref="F42:S42" si="22">((F41*$C$42))</f>
        <v>1414971.7694999992</v>
      </c>
      <c r="G42" s="129">
        <f t="shared" si="22"/>
        <v>1593674.359987499</v>
      </c>
      <c r="H42" s="129">
        <f t="shared" si="22"/>
        <v>1776378.9515371851</v>
      </c>
      <c r="I42" s="129">
        <f t="shared" si="22"/>
        <v>1963169.2994461125</v>
      </c>
      <c r="J42" s="129">
        <f t="shared" si="22"/>
        <v>2154130.6825782331</v>
      </c>
      <c r="K42" s="129">
        <f t="shared" si="22"/>
        <v>2349349.9214925142</v>
      </c>
      <c r="L42" s="129">
        <f t="shared" si="22"/>
        <v>2548915.3963256455</v>
      </c>
      <c r="M42" s="129">
        <f t="shared" si="22"/>
        <v>2752917.0643987092</v>
      </c>
      <c r="N42" s="129">
        <f t="shared" si="22"/>
        <v>2961446.4775156234</v>
      </c>
      <c r="O42" s="129">
        <f t="shared" si="22"/>
        <v>3174596.798919451</v>
      </c>
      <c r="P42" s="129">
        <f t="shared" si="22"/>
        <v>3392462.8198709344</v>
      </c>
      <c r="Q42" s="129">
        <f t="shared" si="22"/>
        <v>3615140.9758116994</v>
      </c>
      <c r="R42" s="129">
        <f t="shared" si="22"/>
        <v>3842729.3620727751</v>
      </c>
      <c r="S42" s="129">
        <f t="shared" si="22"/>
        <v>4075327.7490869313</v>
      </c>
      <c r="T42" s="129">
        <f t="shared" ref="T42:AH42" si="23">((T41*$C$42))</f>
        <v>4313037.5970613714</v>
      </c>
      <c r="U42" s="129">
        <f t="shared" si="23"/>
        <v>4555962.0700650793</v>
      </c>
      <c r="V42" s="129">
        <f t="shared" si="23"/>
        <v>4804206.0494828289</v>
      </c>
      <c r="W42" s="129">
        <f t="shared" si="23"/>
        <v>5057876.1467855861</v>
      </c>
      <c r="X42" s="129">
        <f t="shared" si="23"/>
        <v>5317080.7155644624</v>
      </c>
      <c r="Y42" s="129">
        <f t="shared" si="23"/>
        <v>5581929.8627728857</v>
      </c>
      <c r="Z42" s="129">
        <f t="shared" si="23"/>
        <v>5852535.4591189427</v>
      </c>
      <c r="AA42" s="129">
        <f t="shared" si="23"/>
        <v>6129011.1485470906</v>
      </c>
      <c r="AB42" s="129">
        <f t="shared" si="23"/>
        <v>6411472.3567454414</v>
      </c>
      <c r="AC42" s="129">
        <f t="shared" si="23"/>
        <v>6700036.2986119697</v>
      </c>
      <c r="AD42" s="129">
        <f t="shared" si="23"/>
        <v>6994821.984609589</v>
      </c>
      <c r="AE42" s="129">
        <f t="shared" si="23"/>
        <v>7295950.2259370256</v>
      </c>
      <c r="AF42" s="129">
        <f t="shared" si="23"/>
        <v>7603543.6384388311</v>
      </c>
      <c r="AG42" s="129">
        <f t="shared" si="23"/>
        <v>7917726.6451742901</v>
      </c>
      <c r="AH42" s="129">
        <f t="shared" si="23"/>
        <v>8238625.4775615009</v>
      </c>
    </row>
    <row r="43" spans="1:34">
      <c r="A43" s="86"/>
      <c r="B43" s="132" t="s">
        <v>330</v>
      </c>
      <c r="C43" s="324">
        <f>GapCalc!I32</f>
        <v>0.15000000000000002</v>
      </c>
      <c r="D43" s="133" t="s">
        <v>1048</v>
      </c>
      <c r="E43" s="108">
        <f>$C$43*(E41)</f>
        <v>218856.87</v>
      </c>
      <c r="F43" s="108">
        <f t="shared" ref="F43:S43" si="24">$C$43*(F41)</f>
        <v>249700.90049999987</v>
      </c>
      <c r="G43" s="108">
        <f t="shared" si="24"/>
        <v>281236.65176249982</v>
      </c>
      <c r="H43" s="108">
        <f t="shared" si="24"/>
        <v>313478.6385065621</v>
      </c>
      <c r="I43" s="108">
        <f t="shared" si="24"/>
        <v>346441.64107872575</v>
      </c>
      <c r="J43" s="108">
        <f t="shared" si="24"/>
        <v>380140.70869027649</v>
      </c>
      <c r="K43" s="108">
        <f t="shared" si="24"/>
        <v>414591.16261632601</v>
      </c>
      <c r="L43" s="108">
        <f t="shared" si="24"/>
        <v>449808.59935158456</v>
      </c>
      <c r="M43" s="108">
        <f t="shared" si="24"/>
        <v>485808.8937174193</v>
      </c>
      <c r="N43" s="108">
        <f t="shared" si="24"/>
        <v>522608.20191452181</v>
      </c>
      <c r="O43" s="108">
        <f t="shared" si="24"/>
        <v>560222.96451519721</v>
      </c>
      <c r="P43" s="108">
        <f t="shared" si="24"/>
        <v>598669.9093889884</v>
      </c>
      <c r="Q43" s="108">
        <f t="shared" si="24"/>
        <v>637966.05455500586</v>
      </c>
      <c r="R43" s="108">
        <f t="shared" si="24"/>
        <v>678128.71095401922</v>
      </c>
      <c r="S43" s="108">
        <f t="shared" si="24"/>
        <v>719175.48513298796</v>
      </c>
      <c r="T43" s="108">
        <f t="shared" ref="T43:AH43" si="25">$C$43*(T41)</f>
        <v>761124.28183435975</v>
      </c>
      <c r="U43" s="108">
        <f t="shared" si="25"/>
        <v>803993.3064820728</v>
      </c>
      <c r="V43" s="108">
        <f t="shared" si="25"/>
        <v>847801.06755579333</v>
      </c>
      <c r="W43" s="108">
        <f t="shared" si="25"/>
        <v>892566.37884451519</v>
      </c>
      <c r="X43" s="108">
        <f t="shared" si="25"/>
        <v>938308.36157019925</v>
      </c>
      <c r="Y43" s="108">
        <f t="shared" si="25"/>
        <v>985046.44637168571</v>
      </c>
      <c r="Z43" s="108">
        <f t="shared" si="25"/>
        <v>1032800.375138637</v>
      </c>
      <c r="AA43" s="108">
        <f t="shared" si="25"/>
        <v>1081590.2026847806</v>
      </c>
      <c r="AB43" s="108">
        <f t="shared" si="25"/>
        <v>1131436.2982491956</v>
      </c>
      <c r="AC43" s="108">
        <f t="shared" si="25"/>
        <v>1182359.3468138771</v>
      </c>
      <c r="AD43" s="108">
        <f t="shared" si="25"/>
        <v>1234380.3502252216</v>
      </c>
      <c r="AE43" s="108">
        <f t="shared" si="25"/>
        <v>1287520.628106534</v>
      </c>
      <c r="AF43" s="108">
        <f t="shared" si="25"/>
        <v>1341801.8185480291</v>
      </c>
      <c r="AG43" s="108">
        <f t="shared" si="25"/>
        <v>1397245.8785601689</v>
      </c>
      <c r="AH43" s="108">
        <f t="shared" si="25"/>
        <v>1453875.0842755591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>
        <f>E21/Data!$C$38</f>
        <v>8.1724477055312814E-2</v>
      </c>
      <c r="F46" s="1529">
        <f>F21/Data!$C$38</f>
        <v>8.3644081911590659E-2</v>
      </c>
      <c r="G46" s="1529">
        <f>G21/Data!$C$38</f>
        <v>8.5606736606471251E-2</v>
      </c>
      <c r="H46" s="1529">
        <f>H21/Data!$C$38</f>
        <v>8.7613344476021496E-2</v>
      </c>
      <c r="I46" s="1529">
        <f>I21/Data!$C$38</f>
        <v>8.9664825387863564E-2</v>
      </c>
      <c r="J46" s="1529">
        <f>J21/Data!$C$38</f>
        <v>9.1762115942649145E-2</v>
      </c>
      <c r="K46" s="1529">
        <f>K21/Data!$C$38</f>
        <v>9.3906169673156931E-2</v>
      </c>
      <c r="L46" s="1529">
        <f>L21/Data!$C$38</f>
        <v>9.6097957240694851E-2</v>
      </c>
      <c r="M46" s="1529">
        <f>M21/Data!$C$38</f>
        <v>9.8338466628470497E-2</v>
      </c>
      <c r="N46" s="1529">
        <f>N21/Data!$C$38</f>
        <v>0.10062870333157657</v>
      </c>
      <c r="O46" s="1529">
        <f>O21/Data!$C$38</f>
        <v>0.10296969054321854</v>
      </c>
      <c r="P46" s="1529">
        <f>P21/Data!$C$38</f>
        <v>0.1053624693367934</v>
      </c>
      <c r="Q46" s="1529">
        <f>Q21/Data!$C$38</f>
        <v>0.10780809884340689</v>
      </c>
      <c r="R46" s="1529">
        <f>R21/Data!$C$38</f>
        <v>0.11030765642439698</v>
      </c>
      <c r="S46" s="1529">
        <f>S21/Data!$C$38</f>
        <v>0.11286223783840799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3.0871602339795794E-2</v>
      </c>
      <c r="F47" s="142">
        <f>F41/GapCalc!$H$33</f>
        <v>3.5222412273943758E-2</v>
      </c>
      <c r="G47" s="142">
        <f>G41/GapCalc!$H$33</f>
        <v>3.9670795239772572E-2</v>
      </c>
      <c r="H47" s="142">
        <f>H41/GapCalc!$H$33</f>
        <v>4.4218798660490673E-2</v>
      </c>
      <c r="I47" s="142">
        <f>I41/GapCalc!$H$33</f>
        <v>4.8868507428296327E-2</v>
      </c>
      <c r="J47" s="142">
        <f>J41/GapCalc!$H$33</f>
        <v>5.3622044361021748E-2</v>
      </c>
      <c r="K47" s="142">
        <f>K41/GapCalc!$H$33</f>
        <v>5.8481570653390172E-2</v>
      </c>
      <c r="L47" s="142">
        <f>L41/GapCalc!$H$33</f>
        <v>6.3449286322164095E-2</v>
      </c>
      <c r="M47" s="142">
        <f>M41/GapCalc!$H$33</f>
        <v>6.852743064442203E-2</v>
      </c>
      <c r="N47" s="142">
        <f>N41/GapCalc!$H$33</f>
        <v>7.3718282588162862E-2</v>
      </c>
      <c r="O47" s="142">
        <f>O41/GapCalc!$H$33</f>
        <v>7.90241612343935E-2</v>
      </c>
      <c r="P47" s="142">
        <f>P41/GapCalc!$H$33</f>
        <v>8.4447426189812685E-2</v>
      </c>
      <c r="Q47" s="142">
        <f>Q41/GapCalc!$H$33</f>
        <v>8.9990477989156145E-2</v>
      </c>
      <c r="R47" s="142">
        <f>R41/GapCalc!$H$33</f>
        <v>9.5655758486223458E-2</v>
      </c>
      <c r="S47" s="142">
        <f>S41/GapCalc!$H$33</f>
        <v>0.10144575123255362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2.6240861988826424E-2</v>
      </c>
      <c r="F48" s="142">
        <f>F43/GapCalc!$H$32</f>
        <v>2.993905043285219E-2</v>
      </c>
      <c r="G48" s="142">
        <f>G43/GapCalc!$H$32</f>
        <v>3.3720175953806684E-2</v>
      </c>
      <c r="H48" s="142">
        <f>H43/GapCalc!$H$32</f>
        <v>3.7585978861417076E-2</v>
      </c>
      <c r="I48" s="142">
        <f>I43/GapCalc!$H$32</f>
        <v>4.1538231314051884E-2</v>
      </c>
      <c r="J48" s="142">
        <f>J43/GapCalc!$H$32</f>
        <v>4.5578737706868488E-2</v>
      </c>
      <c r="K48" s="142">
        <f>K43/GapCalc!$H$32</f>
        <v>4.9709335055381644E-2</v>
      </c>
      <c r="L48" s="142">
        <f>L43/GapCalc!$H$32</f>
        <v>5.3931893373839482E-2</v>
      </c>
      <c r="M48" s="142">
        <f>M43/GapCalc!$H$32</f>
        <v>5.8248316047758722E-2</v>
      </c>
      <c r="N48" s="142">
        <f>N43/GapCalc!$H$32</f>
        <v>6.2660540199938441E-2</v>
      </c>
      <c r="O48" s="142">
        <f>O43/GapCalc!$H$32</f>
        <v>6.717053704923448E-2</v>
      </c>
      <c r="P48" s="142">
        <f>P43/GapCalc!$H$32</f>
        <v>7.1780312261340781E-2</v>
      </c>
      <c r="Q48" s="142">
        <f>Q43/GapCalc!$H$32</f>
        <v>7.649190629078273E-2</v>
      </c>
      <c r="R48" s="142">
        <f>R43/GapCalc!$H$32</f>
        <v>8.1307394713289946E-2</v>
      </c>
      <c r="S48" s="142">
        <f>S43/GapCalc!$H$32</f>
        <v>8.6228888547670565E-2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40585944.876019932</v>
      </c>
      <c r="D66" s="1544"/>
      <c r="E66" s="1564" t="s">
        <v>284</v>
      </c>
      <c r="G66" s="1520" t="s">
        <v>1072</v>
      </c>
      <c r="H66" s="1565">
        <f>H70/1.63</f>
        <v>7162225.5663564578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12491863.914541543</v>
      </c>
      <c r="D67" s="1545" t="s">
        <v>68</v>
      </c>
      <c r="G67" s="1521" t="s">
        <v>1073</v>
      </c>
      <c r="H67" s="1560">
        <f>SUMIFS(E43:AH43, E50:AH50, "&lt;=" &amp; VALUE(RIGHT(E66, LEN(E66)-FIND(" ", E66))))</f>
        <v>2204446.5731543899</v>
      </c>
      <c r="I67" s="1545" t="s">
        <v>68</v>
      </c>
    </row>
    <row r="68" spans="2:10">
      <c r="B68" s="1521" t="s">
        <v>1077</v>
      </c>
      <c r="C68" s="1568">
        <f>IF(GapCalc!D41*C42&lt; 0,0,GapCalc!D41*C42)</f>
        <v>2844342.0074727829</v>
      </c>
      <c r="D68" s="1545" t="s">
        <v>68</v>
      </c>
      <c r="G68" s="1521" t="s">
        <v>1078</v>
      </c>
      <c r="H68" s="1568">
        <f>IF(GapCalc!D41*C43&lt; 0,0,GapCalc!D41*C43)</f>
        <v>501942.70720107935</v>
      </c>
      <c r="I68" s="1545" t="s">
        <v>68</v>
      </c>
    </row>
    <row r="69" spans="2:10">
      <c r="B69" s="1521" t="s">
        <v>1058</v>
      </c>
      <c r="C69" s="1568">
        <f>'Debt Calc'!E60</f>
        <v>50818884.225898154</v>
      </c>
      <c r="D69" s="1546">
        <v>0.9</v>
      </c>
      <c r="G69" s="1521" t="s">
        <v>1074</v>
      </c>
      <c r="H69" s="1568">
        <f>'Debt Calc'!E59*C43</f>
        <v>8968038.3928055577</v>
      </c>
      <c r="I69" s="1546">
        <v>0.9</v>
      </c>
    </row>
    <row r="70" spans="2:10">
      <c r="B70" s="1523" t="s">
        <v>1041</v>
      </c>
      <c r="C70" s="1577">
        <f>C67+C68+C69</f>
        <v>66155090.14791248</v>
      </c>
      <c r="D70" s="1545" t="s">
        <v>68</v>
      </c>
      <c r="G70" s="1523" t="s">
        <v>1041</v>
      </c>
      <c r="H70" s="1577">
        <f>H67+H68+H69</f>
        <v>11674427.673161026</v>
      </c>
      <c r="I70" s="1545" t="s">
        <v>68</v>
      </c>
    </row>
    <row r="71" spans="2:10">
      <c r="B71" s="1523" t="s">
        <v>1042</v>
      </c>
      <c r="C71" s="1571">
        <f>C70/C66</f>
        <v>1.6299999999999997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0.62999999999999978</v>
      </c>
      <c r="D72" s="1548"/>
      <c r="G72" s="1521" t="s">
        <v>1043</v>
      </c>
      <c r="H72" s="1524">
        <f>(H70-H66)/H66</f>
        <v>0.63</v>
      </c>
      <c r="I72" s="1548"/>
    </row>
    <row r="73" spans="2:10">
      <c r="B73" s="1523" t="s">
        <v>1044</v>
      </c>
      <c r="C73" s="1566">
        <f>C72/7</f>
        <v>8.9999999999999969E-2</v>
      </c>
      <c r="D73" s="1548"/>
      <c r="G73" s="1523" t="s">
        <v>1044</v>
      </c>
      <c r="H73" s="1566">
        <f>H72/7</f>
        <v>0.09</v>
      </c>
      <c r="I73" s="1548"/>
    </row>
    <row r="74" spans="2:10" ht="13.5" thickBot="1">
      <c r="B74" s="1578" t="s">
        <v>1079</v>
      </c>
      <c r="C74" s="1581">
        <f>GapCalc!H33</f>
        <v>47261745.080176197</v>
      </c>
      <c r="D74" s="1549"/>
      <c r="F74" s="1559"/>
      <c r="G74" s="1578" t="s">
        <v>1081</v>
      </c>
      <c r="H74" s="1581">
        <f>GapCalc!H32</f>
        <v>8340307.9553252123</v>
      </c>
      <c r="I74" s="1549"/>
    </row>
    <row r="75" spans="2:10">
      <c r="B75" s="70" t="s">
        <v>1080</v>
      </c>
      <c r="C75" s="1579">
        <f>(C70-C74)/C74</f>
        <v>0.39975978533346712</v>
      </c>
      <c r="G75" s="70" t="s">
        <v>1080</v>
      </c>
      <c r="H75" s="1579">
        <f>(H70-H74)/H74</f>
        <v>0.39975978533346695</v>
      </c>
    </row>
    <row r="76" spans="2:10">
      <c r="B76" s="70" t="s">
        <v>1044</v>
      </c>
      <c r="C76" s="1579">
        <f>C75/7</f>
        <v>5.7108540761923877E-2</v>
      </c>
      <c r="G76" s="70" t="s">
        <v>1044</v>
      </c>
      <c r="H76" s="1579">
        <f>H75/7</f>
        <v>5.710854076192385E-2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13110824.922363501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20755142.852781519</v>
      </c>
      <c r="D81" s="1545" t="s">
        <v>68</v>
      </c>
    </row>
    <row r="82" spans="2:10">
      <c r="B82" s="1521" t="s">
        <v>1058</v>
      </c>
      <c r="C82" s="1568">
        <f>C68</f>
        <v>2844342.0074727829</v>
      </c>
      <c r="D82" s="1545" t="s">
        <v>68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23599484.860254303</v>
      </c>
      <c r="D84" s="1545" t="s">
        <v>68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0.8</v>
      </c>
      <c r="D86" s="1548"/>
    </row>
    <row r="87" spans="2:10">
      <c r="B87" s="1523" t="s">
        <v>1044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58890655.264145479</v>
      </c>
      <c r="D93" s="1544"/>
      <c r="E93" s="1564" t="s">
        <v>287</v>
      </c>
      <c r="G93" s="1520" t="s">
        <v>1072</v>
      </c>
      <c r="H93" s="1565">
        <f>H97/1.63</f>
        <v>8056842.5571438977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20755142.852781519</v>
      </c>
      <c r="D94" s="1545" t="s">
        <v>68</v>
      </c>
      <c r="G94" s="1521" t="s">
        <v>1073</v>
      </c>
      <c r="H94" s="1560">
        <f>SUMIFS(E43:AH43, E50:AH50, "&lt;=" &amp; VALUE(RIGHT(J93, LEN(J93)-FIND(" ", J93))))</f>
        <v>3662672.2681379155</v>
      </c>
      <c r="I94" s="1545" t="s">
        <v>68</v>
      </c>
    </row>
    <row r="95" spans="2:10">
      <c r="B95" s="1521" t="s">
        <v>1077</v>
      </c>
      <c r="C95" s="1568">
        <f>IF(GapCalc!D41*C42&lt; 0,0,GapCalc!D41*C42)</f>
        <v>2844342.0074727829</v>
      </c>
      <c r="D95" s="1545" t="s">
        <v>68</v>
      </c>
      <c r="G95" s="1521" t="s">
        <v>1078</v>
      </c>
      <c r="H95" s="1568">
        <f>IF(GapCalc!D41*C43&lt; 0,0,GapCalc!D41*C43)</f>
        <v>501942.70720107935</v>
      </c>
      <c r="I95" s="1545" t="s">
        <v>68</v>
      </c>
    </row>
    <row r="96" spans="2:10">
      <c r="B96" s="1521" t="s">
        <v>1058</v>
      </c>
      <c r="C96" s="1568">
        <f>'Debt Calc'!H60</f>
        <v>72392283.22030282</v>
      </c>
      <c r="D96" s="1546">
        <v>0.9</v>
      </c>
      <c r="G96" s="1521" t="s">
        <v>1074</v>
      </c>
      <c r="H96" s="1568">
        <f>'Debt Calc'!E59*C43</f>
        <v>8968038.3928055577</v>
      </c>
      <c r="I96" s="1546">
        <v>0.9</v>
      </c>
    </row>
    <row r="97" spans="2:9">
      <c r="B97" s="1523" t="s">
        <v>1041</v>
      </c>
      <c r="C97" s="1577">
        <f>C94+C95+C96</f>
        <v>95991768.080557123</v>
      </c>
      <c r="D97" s="1545" t="s">
        <v>68</v>
      </c>
      <c r="G97" s="1523" t="s">
        <v>1041</v>
      </c>
      <c r="H97" s="1577">
        <f>H94+H95+H96</f>
        <v>13132653.368144553</v>
      </c>
      <c r="I97" s="1545" t="s">
        <v>68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0.62999999999999989</v>
      </c>
      <c r="D99" s="1548"/>
      <c r="G99" s="1521" t="s">
        <v>1043</v>
      </c>
      <c r="H99" s="1524">
        <f>(H97-H93)/H93</f>
        <v>0.63</v>
      </c>
      <c r="I99" s="1548"/>
    </row>
    <row r="100" spans="2:9">
      <c r="B100" s="1523" t="s">
        <v>1044</v>
      </c>
      <c r="C100" s="1566">
        <f>C99/7</f>
        <v>8.9999999999999983E-2</v>
      </c>
      <c r="D100" s="1548"/>
      <c r="G100" s="1523" t="s">
        <v>1044</v>
      </c>
      <c r="H100" s="1566">
        <f>H99/7</f>
        <v>0.09</v>
      </c>
      <c r="I100" s="1548"/>
    </row>
    <row r="101" spans="2:9" ht="13.5" thickBot="1">
      <c r="B101" s="1578" t="s">
        <v>1079</v>
      </c>
      <c r="C101" s="1581">
        <f>GapCalc!H33</f>
        <v>47261745.080176197</v>
      </c>
      <c r="D101" s="1549"/>
      <c r="G101" s="1578" t="s">
        <v>1081</v>
      </c>
      <c r="H101" s="1581">
        <f>GapCalc!H32</f>
        <v>8340307.9553252123</v>
      </c>
      <c r="I101" s="1549"/>
    </row>
    <row r="102" spans="2:9">
      <c r="B102" s="70" t="s">
        <v>1080</v>
      </c>
      <c r="C102" s="1579">
        <f>(C97-C101)/C101</f>
        <v>1.0310669425708656</v>
      </c>
      <c r="G102" s="70" t="s">
        <v>1080</v>
      </c>
      <c r="H102" s="1579">
        <f>(H97-H101)/H101</f>
        <v>0.57460053495500374</v>
      </c>
    </row>
    <row r="103" spans="2:9">
      <c r="B103" s="70" t="s">
        <v>1044</v>
      </c>
      <c r="C103" s="1579">
        <f>C102/10</f>
        <v>0.10310669425708656</v>
      </c>
      <c r="G103" s="70" t="s">
        <v>1044</v>
      </c>
      <c r="H103" s="1579">
        <f>H102/10</f>
        <v>5.7460053495500374E-2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204810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40962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245772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245772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245772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126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126</v>
      </c>
      <c r="D49" s="876"/>
      <c r="E49" s="855" t="s">
        <v>576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60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126</v>
      </c>
      <c r="D55" s="855"/>
      <c r="E55" s="855"/>
      <c r="F55" s="937"/>
      <c r="G55" s="855"/>
      <c r="H55" s="872" t="s">
        <v>684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7295229.0000000009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105087559.58841945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105087500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32135251.366568096</v>
      </c>
    </row>
    <row r="15" spans="2:36">
      <c r="B15" s="556"/>
      <c r="C15" s="560" t="s">
        <v>633</v>
      </c>
      <c r="H15" s="561">
        <f>12*PMT(Data!C24/12,Data!C29*12,-'Debt Calc'!H14)</f>
        <v>7295224.8633431885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-14563331.833090108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-14563331.833090108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105087500</v>
      </c>
      <c r="E21" s="561">
        <f>$H$15</f>
        <v>7295224.8633431885</v>
      </c>
      <c r="F21" s="561">
        <f>E21-G21</f>
        <v>0</v>
      </c>
      <c r="G21" s="561">
        <f>D21-H21</f>
        <v>7295224.8633431941</v>
      </c>
      <c r="H21" s="561">
        <f>D21-E21</f>
        <v>97792275.136656806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97792275.136656806</v>
      </c>
      <c r="E22" s="561">
        <f t="shared" ref="E22:E50" si="1">$H$15</f>
        <v>7295224.8633431885</v>
      </c>
      <c r="F22" s="561">
        <f t="shared" ref="F22:F50" si="2">E22-G22</f>
        <v>0</v>
      </c>
      <c r="G22" s="561">
        <f t="shared" ref="G22:G50" si="3">D22-H22</f>
        <v>7295224.8633431941</v>
      </c>
      <c r="H22" s="561">
        <f t="shared" ref="H22:H39" si="4">D22-E22</f>
        <v>90497050.273313612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90497050.273313612</v>
      </c>
      <c r="E23" s="561">
        <f t="shared" si="1"/>
        <v>7295224.8633431885</v>
      </c>
      <c r="F23" s="561">
        <f t="shared" si="2"/>
        <v>0</v>
      </c>
      <c r="G23" s="561">
        <f t="shared" si="3"/>
        <v>7295224.8633431941</v>
      </c>
      <c r="H23" s="561">
        <f t="shared" si="4"/>
        <v>83201825.409970418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83201825.409970418</v>
      </c>
      <c r="E24" s="561">
        <f t="shared" si="1"/>
        <v>7295224.8633431885</v>
      </c>
      <c r="F24" s="561">
        <f t="shared" si="2"/>
        <v>0</v>
      </c>
      <c r="G24" s="561">
        <f t="shared" si="3"/>
        <v>7295224.8633431941</v>
      </c>
      <c r="H24" s="561">
        <f t="shared" si="4"/>
        <v>75906600.546627223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75906600.546627223</v>
      </c>
      <c r="E25" s="561">
        <f t="shared" si="1"/>
        <v>7295224.8633431885</v>
      </c>
      <c r="F25" s="561">
        <f t="shared" si="2"/>
        <v>0</v>
      </c>
      <c r="G25" s="561">
        <f t="shared" si="3"/>
        <v>7295224.8633431941</v>
      </c>
      <c r="H25" s="561">
        <f t="shared" si="4"/>
        <v>68611375.683284029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68611375.683284029</v>
      </c>
      <c r="E26" s="561">
        <f t="shared" si="1"/>
        <v>7295224.8633431885</v>
      </c>
      <c r="F26" s="561">
        <f t="shared" si="2"/>
        <v>0</v>
      </c>
      <c r="G26" s="561">
        <f t="shared" si="3"/>
        <v>7295224.8633431867</v>
      </c>
      <c r="H26" s="561">
        <f t="shared" si="4"/>
        <v>61316150.819940843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61316150.819940843</v>
      </c>
      <c r="E27" s="561">
        <f t="shared" si="1"/>
        <v>7295224.8633431885</v>
      </c>
      <c r="F27" s="561">
        <f t="shared" si="2"/>
        <v>0</v>
      </c>
      <c r="G27" s="561">
        <f t="shared" si="3"/>
        <v>7295224.8633431867</v>
      </c>
      <c r="H27" s="561">
        <f t="shared" si="4"/>
        <v>54020925.956597656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54020925.956597656</v>
      </c>
      <c r="E28" s="561">
        <f t="shared" si="1"/>
        <v>7295224.8633431885</v>
      </c>
      <c r="F28" s="561">
        <f t="shared" si="2"/>
        <v>0</v>
      </c>
      <c r="G28" s="561">
        <f t="shared" si="3"/>
        <v>7295224.8633431867</v>
      </c>
      <c r="H28" s="561">
        <f t="shared" si="4"/>
        <v>46725701.093254469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46725701.093254469</v>
      </c>
      <c r="E29" s="561">
        <f t="shared" si="1"/>
        <v>7295224.8633431885</v>
      </c>
      <c r="F29" s="561">
        <f t="shared" si="2"/>
        <v>0</v>
      </c>
      <c r="G29" s="561">
        <f t="shared" si="3"/>
        <v>7295224.8633431867</v>
      </c>
      <c r="H29" s="561">
        <f t="shared" si="4"/>
        <v>39430476.229911283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39430476.229911283</v>
      </c>
      <c r="E30" s="561">
        <f t="shared" si="1"/>
        <v>7295224.8633431885</v>
      </c>
      <c r="F30" s="561">
        <f t="shared" si="2"/>
        <v>0</v>
      </c>
      <c r="G30" s="561">
        <f t="shared" si="3"/>
        <v>7295224.8633431867</v>
      </c>
      <c r="H30" s="561">
        <f>D30-E30</f>
        <v>32135251.366568096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32135251.366568096</v>
      </c>
      <c r="E31" s="561">
        <f t="shared" si="1"/>
        <v>7295224.8633431885</v>
      </c>
      <c r="F31" s="561">
        <f t="shared" si="2"/>
        <v>0</v>
      </c>
      <c r="G31" s="561">
        <f t="shared" si="3"/>
        <v>7295224.8633431867</v>
      </c>
      <c r="H31" s="561">
        <f t="shared" si="4"/>
        <v>24840026.503224909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24840026.503224909</v>
      </c>
      <c r="E32" s="561">
        <f t="shared" si="1"/>
        <v>7295224.8633431885</v>
      </c>
      <c r="F32" s="561">
        <f t="shared" si="2"/>
        <v>0</v>
      </c>
      <c r="G32" s="561">
        <f t="shared" si="3"/>
        <v>7295224.8633431867</v>
      </c>
      <c r="H32" s="561">
        <f t="shared" si="4"/>
        <v>17544801.639881723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17544801.639881723</v>
      </c>
      <c r="E33" s="561">
        <f t="shared" si="1"/>
        <v>7295224.8633431885</v>
      </c>
      <c r="F33" s="561">
        <f t="shared" si="2"/>
        <v>0</v>
      </c>
      <c r="G33" s="561">
        <f t="shared" si="3"/>
        <v>7295224.8633431885</v>
      </c>
      <c r="H33" s="561">
        <f t="shared" si="4"/>
        <v>10249576.776538534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10249576.776538534</v>
      </c>
      <c r="E34" s="561">
        <f t="shared" si="1"/>
        <v>7295224.8633431885</v>
      </c>
      <c r="F34" s="561">
        <f t="shared" si="2"/>
        <v>0</v>
      </c>
      <c r="G34" s="561">
        <f t="shared" si="3"/>
        <v>7295224.8633431885</v>
      </c>
      <c r="H34" s="561">
        <f t="shared" si="4"/>
        <v>2954351.9131953456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2954351.9131953456</v>
      </c>
      <c r="E35" s="561">
        <f t="shared" si="1"/>
        <v>7295224.8633431885</v>
      </c>
      <c r="F35" s="561">
        <f t="shared" si="2"/>
        <v>0</v>
      </c>
      <c r="G35" s="561">
        <f t="shared" si="3"/>
        <v>7295224.8633431885</v>
      </c>
      <c r="H35" s="561">
        <f t="shared" si="4"/>
        <v>-4340872.950147843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-4340872.950147843</v>
      </c>
      <c r="E36" s="561">
        <f t="shared" si="1"/>
        <v>7295224.8633431885</v>
      </c>
      <c r="F36" s="561">
        <f t="shared" si="2"/>
        <v>0</v>
      </c>
      <c r="G36" s="561">
        <f t="shared" si="3"/>
        <v>7295224.8633431885</v>
      </c>
      <c r="H36" s="561">
        <f t="shared" si="4"/>
        <v>-11636097.813491032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-11636097.813491032</v>
      </c>
      <c r="E37" s="561">
        <f t="shared" si="1"/>
        <v>7295224.8633431885</v>
      </c>
      <c r="F37" s="561">
        <f t="shared" si="2"/>
        <v>0</v>
      </c>
      <c r="G37" s="561">
        <f t="shared" si="3"/>
        <v>7295224.8633431867</v>
      </c>
      <c r="H37" s="561">
        <f t="shared" si="4"/>
        <v>-18931322.676834218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-18931322.676834218</v>
      </c>
      <c r="E38" s="561">
        <f t="shared" si="1"/>
        <v>7295224.8633431885</v>
      </c>
      <c r="F38" s="561">
        <f t="shared" si="2"/>
        <v>0</v>
      </c>
      <c r="G38" s="561">
        <f t="shared" si="3"/>
        <v>7295224.8633431867</v>
      </c>
      <c r="H38" s="561">
        <f>D38-E38</f>
        <v>-26226547.540177405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-26226547.540177405</v>
      </c>
      <c r="E39" s="561">
        <f t="shared" si="1"/>
        <v>7295224.8633431885</v>
      </c>
      <c r="F39" s="561">
        <f t="shared" si="2"/>
        <v>0</v>
      </c>
      <c r="G39" s="561">
        <f t="shared" si="3"/>
        <v>7295224.8633431867</v>
      </c>
      <c r="H39" s="561">
        <f t="shared" si="4"/>
        <v>-33521772.403520592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-33521772.403520592</v>
      </c>
      <c r="E40" s="561">
        <f t="shared" si="1"/>
        <v>7295224.8633431885</v>
      </c>
      <c r="F40" s="561">
        <f t="shared" si="2"/>
        <v>40816997.266863778</v>
      </c>
      <c r="G40" s="561">
        <f t="shared" si="3"/>
        <v>-33521772.403520592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7295224.8633431885</v>
      </c>
      <c r="F41" s="561">
        <f t="shared" si="2"/>
        <v>7295224.8633431885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7295224.8633431885</v>
      </c>
      <c r="F42" s="561">
        <f t="shared" si="2"/>
        <v>7295224.8633431885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7295224.8633431885</v>
      </c>
      <c r="F43" s="561">
        <f t="shared" si="2"/>
        <v>7295224.8633431885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7295224.8633431885</v>
      </c>
      <c r="F44" s="561">
        <f t="shared" si="2"/>
        <v>7295224.8633431885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7295224.8633431885</v>
      </c>
      <c r="F45" s="561">
        <f t="shared" si="2"/>
        <v>7295224.8633431885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7295224.8633431885</v>
      </c>
      <c r="F46" s="561">
        <f t="shared" si="2"/>
        <v>7295224.8633431885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7295224.8633431885</v>
      </c>
      <c r="F47" s="561">
        <f t="shared" si="2"/>
        <v>7295224.8633431885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7295224.8633431885</v>
      </c>
      <c r="F48" s="561">
        <f t="shared" si="2"/>
        <v>7295224.8633431885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7295224.8633431885</v>
      </c>
      <c r="F49" s="561">
        <f t="shared" si="2"/>
        <v>7295224.8633431885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7295224.8633431885</v>
      </c>
      <c r="F50" s="561">
        <f t="shared" si="2"/>
        <v>7295224.8633431885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1088</v>
      </c>
      <c r="H54" s="1659"/>
    </row>
    <row r="55" spans="2:28">
      <c r="D55" s="1655" t="s">
        <v>1063</v>
      </c>
      <c r="E55" s="1664">
        <f>'Cash Flow'!K15/0.05</f>
        <v>239868082.75083497</v>
      </c>
      <c r="F55" s="561"/>
      <c r="G55" s="1663" t="s">
        <v>1063</v>
      </c>
      <c r="H55" s="1667">
        <f>'Cash Flow'!N15/0.05</f>
        <v>258311689.55109826</v>
      </c>
    </row>
    <row r="56" spans="2:28">
      <c r="D56" s="1653" t="s">
        <v>1064</v>
      </c>
      <c r="E56" s="1665">
        <f>'Cash Flow'!K21/1.2</f>
        <v>8382641.7367573678</v>
      </c>
      <c r="F56" s="561"/>
      <c r="G56" s="1661" t="s">
        <v>1064</v>
      </c>
      <c r="H56" s="1668">
        <f>'Cash Flow'!N21/1.2</f>
        <v>8982736.3995251227</v>
      </c>
    </row>
    <row r="57" spans="2:28">
      <c r="D57" s="1653" t="s">
        <v>1065</v>
      </c>
      <c r="E57" s="1665">
        <f>E55*0.6</f>
        <v>143920849.65050098</v>
      </c>
      <c r="F57" s="561"/>
      <c r="G57" s="1661" t="s">
        <v>1065</v>
      </c>
      <c r="H57" s="1668">
        <f>H55*0.6</f>
        <v>154987013.73065895</v>
      </c>
    </row>
    <row r="58" spans="2:28">
      <c r="D58" s="1653" t="s">
        <v>1066</v>
      </c>
      <c r="E58" s="1665">
        <f>-PV(6.5%,34,E56)</f>
        <v>113807848.57530136</v>
      </c>
      <c r="F58" s="561"/>
      <c r="G58" s="1661" t="s">
        <v>1066</v>
      </c>
      <c r="H58" s="1668">
        <f>-PV(6.5%,30,H56)</f>
        <v>117302643.39045376</v>
      </c>
    </row>
    <row r="59" spans="2:28">
      <c r="D59" s="1652" t="s">
        <v>1067</v>
      </c>
      <c r="E59" s="1665">
        <f>E58-H27</f>
        <v>59786922.618703708</v>
      </c>
      <c r="F59" s="561"/>
      <c r="G59" s="1660" t="s">
        <v>1067</v>
      </c>
      <c r="H59" s="1668">
        <f>H58-H30</f>
        <v>85167392.023885667</v>
      </c>
    </row>
    <row r="60" spans="2:28" ht="13.5" thickBot="1">
      <c r="D60" s="1654" t="s">
        <v>1068</v>
      </c>
      <c r="E60" s="1666">
        <f>E59*GapCalc!I33</f>
        <v>50818884.225898154</v>
      </c>
      <c r="F60" s="561"/>
      <c r="G60" s="1662" t="s">
        <v>1068</v>
      </c>
      <c r="H60" s="1669">
        <f>H59*GapCalc!I33</f>
        <v>72392283.22030282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16380000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80891329.5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196461.39239999998</v>
      </c>
      <c r="C7" s="1417">
        <f>C4*E4</f>
        <v>970208.98819641001</v>
      </c>
      <c r="D7" s="1409">
        <f>(1-'Rental Income'!O19)</f>
        <v>0.80158730158730163</v>
      </c>
    </row>
    <row r="8" spans="1:5">
      <c r="A8" s="1410" t="s">
        <v>979</v>
      </c>
      <c r="B8" s="1417">
        <f>B7*D7</f>
        <v>157480.95739999998</v>
      </c>
      <c r="C8" s="1417">
        <f>C7*D7</f>
        <v>777707.20482410642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935188.16222410637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98230.696200000006</v>
      </c>
    </row>
    <row r="14" spans="1:5">
      <c r="A14" t="s">
        <v>991</v>
      </c>
      <c r="B14">
        <v>24</v>
      </c>
      <c r="C14" s="1425">
        <f>C3*(E3/12)*B14</f>
        <v>392922.78480000002</v>
      </c>
    </row>
    <row r="15" spans="1:5">
      <c r="A15" s="40" t="s">
        <v>993</v>
      </c>
      <c r="C15" s="1428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10880604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-544309.20000000007</v>
      </c>
      <c r="E18" s="50"/>
      <c r="F18" s="55">
        <v>0.05</v>
      </c>
    </row>
    <row r="19" spans="1:25">
      <c r="A19" s="40" t="s">
        <v>164</v>
      </c>
      <c r="D19" s="57">
        <f>SUM(D15:D18)</f>
        <v>10341874.800000001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131433</v>
      </c>
      <c r="E22" s="48">
        <v>1043</v>
      </c>
      <c r="F22" s="453" t="s">
        <v>171</v>
      </c>
      <c r="N22" s="428">
        <f>D22*0.8</f>
        <v>105146.40000000001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173</v>
      </c>
      <c r="D23" s="48">
        <f>(E23*$D$10-20)/2</f>
        <v>168074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23466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121351.36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182</v>
      </c>
      <c r="D26" s="51">
        <f>SUM(D22:D25)</f>
        <v>444324.36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46872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25200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191</v>
      </c>
      <c r="D31" s="48">
        <f>E31*$D$10</f>
        <v>41328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193</v>
      </c>
      <c r="C32" s="43"/>
      <c r="D32" s="50">
        <f>E32*$D$10</f>
        <v>7560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120960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133560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201</v>
      </c>
      <c r="D37" s="48">
        <f>E37*$D$10</f>
        <v>199080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106092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438732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92988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66982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99792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34272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214200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13860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391164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935188.16222410637</v>
      </c>
      <c r="Y56" s="1309">
        <f>X56/'Rental Income'!D15</f>
        <v>3711.064135809946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436.27870666666666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211680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158.73015873015873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1007772.2955574398</v>
      </c>
    </row>
    <row r="65" spans="1:25">
      <c r="B65" t="s">
        <v>249</v>
      </c>
      <c r="D65" s="48">
        <f>E65*$D$10</f>
        <v>37800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301480</v>
      </c>
      <c r="E67" s="48">
        <f>SUM(E62:E66)</f>
        <v>1333.7301587301588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75600</v>
      </c>
      <c r="E69" s="426">
        <v>300</v>
      </c>
    </row>
    <row r="70" spans="1:25">
      <c r="V70" s="40" t="s">
        <v>255</v>
      </c>
      <c r="X70" s="1307">
        <f>SUM(X68,X64,X54,X39,X31)</f>
        <v>1455015.2755574398</v>
      </c>
      <c r="Y70" s="1307">
        <f>X70/D10</f>
        <v>5773.8701411009515</v>
      </c>
    </row>
    <row r="71" spans="1:25">
      <c r="A71" s="40" t="s">
        <v>256</v>
      </c>
      <c r="D71" s="48">
        <f>E71*$D$10</f>
        <v>126000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-226.12985889904849</v>
      </c>
    </row>
    <row r="75" spans="1:25">
      <c r="A75" s="44" t="s">
        <v>259</v>
      </c>
      <c r="B75" s="45"/>
      <c r="C75" s="45"/>
      <c r="D75" s="52">
        <f>D19-D73</f>
        <v>8173702.2059200015</v>
      </c>
      <c r="E75" s="52">
        <f>D75/D10</f>
        <v>32435.326213968259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245772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101264161.87499999</v>
      </c>
      <c r="C7" s="465">
        <f>'Dev Summary_5-20'!B8</f>
        <v>3190331</v>
      </c>
      <c r="D7" s="465">
        <f t="shared" ref="D7:D14" si="0">B7-C7</f>
        <v>98073830.874999985</v>
      </c>
      <c r="E7" s="477">
        <f t="shared" ref="E7:E15" si="1">D7/B7</f>
        <v>0.96849496464565488</v>
      </c>
      <c r="F7" s="477"/>
      <c r="G7" s="472" t="e">
        <f t="shared" ref="G7:G14" si="2">B7/$B$15</f>
        <v>#REF!</v>
      </c>
      <c r="I7" s="147">
        <f>B7/$H$4</f>
        <v>920583.28977272718</v>
      </c>
      <c r="J7" s="53">
        <f>B7/$H$5</f>
        <v>412.0248111054147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367142.69850430451</v>
      </c>
      <c r="C9" s="446">
        <f>'Dev Summary_5-20'!B10</f>
        <v>50000</v>
      </c>
      <c r="D9" s="446">
        <f t="shared" si="0"/>
        <v>317142.69850430451</v>
      </c>
      <c r="E9" s="477">
        <f t="shared" si="1"/>
        <v>0.86381317072709318</v>
      </c>
      <c r="F9" s="477"/>
      <c r="G9" s="473" t="e">
        <f t="shared" si="2"/>
        <v>#REF!</v>
      </c>
      <c r="I9" s="53">
        <f t="shared" si="3"/>
        <v>3337.6608954936773</v>
      </c>
      <c r="J9" s="53">
        <f t="shared" si="4"/>
        <v>1.4938345234782828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0.130201975814983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1.9984110517064597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16.176724769298374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105087559.58841945</v>
      </c>
      <c r="C21" s="48">
        <v>18731659</v>
      </c>
      <c r="D21" s="48">
        <f>B21-C21</f>
        <v>86355900.588419452</v>
      </c>
      <c r="E21" s="55">
        <f>D21/B21</f>
        <v>0.82175188886902073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3346284.7146738619</v>
      </c>
      <c r="C28" s="50"/>
      <c r="D28" s="50">
        <f t="shared" si="5"/>
        <v>3346284.7146738619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111390578.06249999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100751.52025624999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90676.368230624998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802579.41493229149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111390578.06249999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25619.832954375001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1019627.1363735414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89112462.449999988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122057.76818749998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89112462.449999988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129145.26818749998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1213369.9424999999</v>
      </c>
      <c r="E10" s="748">
        <f>'PreDev Flow of Funds'!Y10+'PreDev Flow of Funds'!Y12</f>
        <v>1395966</v>
      </c>
      <c r="F10" s="748">
        <f>(D10-E10)/18</f>
        <v>-10144.225416666673</v>
      </c>
      <c r="G10" s="748">
        <f>$F$10</f>
        <v>-10144.225416666673</v>
      </c>
      <c r="H10" s="748">
        <f t="shared" ref="H10:W10" si="2">$F$10</f>
        <v>-10144.225416666673</v>
      </c>
      <c r="I10" s="748">
        <f t="shared" si="2"/>
        <v>-10144.225416666673</v>
      </c>
      <c r="J10" s="748">
        <f t="shared" si="2"/>
        <v>-10144.225416666673</v>
      </c>
      <c r="K10" s="748">
        <f t="shared" si="2"/>
        <v>-10144.225416666673</v>
      </c>
      <c r="L10" s="748">
        <f t="shared" si="2"/>
        <v>-10144.225416666673</v>
      </c>
      <c r="M10" s="748">
        <f t="shared" si="2"/>
        <v>-10144.225416666673</v>
      </c>
      <c r="N10" s="748">
        <f t="shared" si="2"/>
        <v>-10144.225416666673</v>
      </c>
      <c r="O10" s="748">
        <f t="shared" si="2"/>
        <v>-10144.225416666673</v>
      </c>
      <c r="P10" s="748">
        <f t="shared" si="2"/>
        <v>-10144.225416666673</v>
      </c>
      <c r="Q10" s="748">
        <f t="shared" si="2"/>
        <v>-10144.225416666673</v>
      </c>
      <c r="R10" s="748">
        <f t="shared" si="2"/>
        <v>-10144.225416666673</v>
      </c>
      <c r="S10" s="748">
        <f t="shared" si="2"/>
        <v>-10144.225416666673</v>
      </c>
      <c r="T10" s="748">
        <f t="shared" si="2"/>
        <v>-10144.225416666673</v>
      </c>
      <c r="U10" s="748">
        <f t="shared" si="2"/>
        <v>-10144.225416666673</v>
      </c>
      <c r="V10" s="748">
        <f t="shared" si="2"/>
        <v>-10144.225416666673</v>
      </c>
      <c r="W10" s="748">
        <f t="shared" si="2"/>
        <v>-10144.225416666673</v>
      </c>
      <c r="X10" s="748"/>
      <c r="Y10" s="748">
        <f>SUM(E10:W10)</f>
        <v>1213369.9425000013</v>
      </c>
    </row>
    <row r="11" spans="1:25" ht="15">
      <c r="A11" s="402"/>
      <c r="B11" s="403" t="s">
        <v>387</v>
      </c>
      <c r="C11" s="748"/>
      <c r="D11" s="748">
        <f>'Development Budget'!G41</f>
        <v>1213369.9424999999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101264161.87499999</v>
      </c>
      <c r="E13" s="748">
        <f>'PreDev Flow of Funds'!Y14</f>
        <v>69798.3</v>
      </c>
      <c r="F13" s="748">
        <f>(D13-E13)/18</f>
        <v>5621909.0874999994</v>
      </c>
      <c r="G13" s="748">
        <f>$F$13</f>
        <v>5621909.0874999994</v>
      </c>
      <c r="H13" s="748">
        <f t="shared" ref="H13:W13" si="5">$F$13</f>
        <v>5621909.0874999994</v>
      </c>
      <c r="I13" s="748">
        <f t="shared" si="5"/>
        <v>5621909.0874999994</v>
      </c>
      <c r="J13" s="748">
        <f t="shared" si="5"/>
        <v>5621909.0874999994</v>
      </c>
      <c r="K13" s="748">
        <f t="shared" si="5"/>
        <v>5621909.0874999994</v>
      </c>
      <c r="L13" s="748">
        <f t="shared" si="5"/>
        <v>5621909.0874999994</v>
      </c>
      <c r="M13" s="748">
        <f t="shared" si="5"/>
        <v>5621909.0874999994</v>
      </c>
      <c r="N13" s="748">
        <f t="shared" si="5"/>
        <v>5621909.0874999994</v>
      </c>
      <c r="O13" s="748">
        <f t="shared" si="5"/>
        <v>5621909.0874999994</v>
      </c>
      <c r="P13" s="748">
        <f t="shared" si="5"/>
        <v>5621909.0874999994</v>
      </c>
      <c r="Q13" s="748">
        <f t="shared" si="5"/>
        <v>5621909.0874999994</v>
      </c>
      <c r="R13" s="748">
        <f t="shared" si="5"/>
        <v>5621909.0874999994</v>
      </c>
      <c r="S13" s="748">
        <f t="shared" si="5"/>
        <v>5621909.0874999994</v>
      </c>
      <c r="T13" s="748">
        <f t="shared" si="5"/>
        <v>5621909.0874999994</v>
      </c>
      <c r="U13" s="748">
        <f t="shared" si="5"/>
        <v>5621909.0874999994</v>
      </c>
      <c r="V13" s="748">
        <f t="shared" si="5"/>
        <v>5621909.0874999994</v>
      </c>
      <c r="W13" s="748">
        <f t="shared" si="5"/>
        <v>5621909.0874999994</v>
      </c>
      <c r="X13" s="748"/>
      <c r="Y13" s="748">
        <f t="shared" si="3"/>
        <v>101264161.87500003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101264161.87499999</v>
      </c>
      <c r="E15" s="748">
        <f>'PreDev Flow of Funds'!Y16+'PreDev Flow of Funds'!Y17+'PreDev Flow of Funds'!Y19</f>
        <v>72500</v>
      </c>
      <c r="F15" s="748">
        <f>(D15-E15)/18</f>
        <v>5621758.993055555</v>
      </c>
      <c r="G15" s="748">
        <f>$F$15</f>
        <v>5621758.993055555</v>
      </c>
      <c r="H15" s="748">
        <f t="shared" ref="H15:W15" si="7">$F$15</f>
        <v>5621758.993055555</v>
      </c>
      <c r="I15" s="748">
        <f t="shared" si="7"/>
        <v>5621758.993055555</v>
      </c>
      <c r="J15" s="748">
        <f t="shared" si="7"/>
        <v>5621758.993055555</v>
      </c>
      <c r="K15" s="748">
        <f t="shared" si="7"/>
        <v>5621758.993055555</v>
      </c>
      <c r="L15" s="748">
        <f t="shared" si="7"/>
        <v>5621758.993055555</v>
      </c>
      <c r="M15" s="748">
        <f t="shared" si="7"/>
        <v>5621758.993055555</v>
      </c>
      <c r="N15" s="748">
        <f t="shared" si="7"/>
        <v>5621758.993055555</v>
      </c>
      <c r="O15" s="748">
        <f t="shared" si="7"/>
        <v>5621758.993055555</v>
      </c>
      <c r="P15" s="748">
        <f t="shared" si="7"/>
        <v>5621758.993055555</v>
      </c>
      <c r="Q15" s="748">
        <f t="shared" si="7"/>
        <v>5621758.993055555</v>
      </c>
      <c r="R15" s="748">
        <f t="shared" si="7"/>
        <v>5621758.993055555</v>
      </c>
      <c r="S15" s="748">
        <f t="shared" si="7"/>
        <v>5621758.993055555</v>
      </c>
      <c r="T15" s="748">
        <f t="shared" si="7"/>
        <v>5621758.993055555</v>
      </c>
      <c r="U15" s="748">
        <f t="shared" si="7"/>
        <v>5621758.993055555</v>
      </c>
      <c r="V15" s="748">
        <f t="shared" si="7"/>
        <v>5621758.993055555</v>
      </c>
      <c r="W15" s="748">
        <f t="shared" si="7"/>
        <v>5621758.993055555</v>
      </c>
      <c r="X15" s="748"/>
      <c r="Y15" s="748">
        <f t="shared" si="3"/>
        <v>101264161.87499996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80891329.5</v>
      </c>
      <c r="E33" s="748">
        <v>0</v>
      </c>
      <c r="F33" s="748">
        <f>D33</f>
        <v>80891329.5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80891329.5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253160.40468749998</v>
      </c>
      <c r="E43" s="748">
        <f>D43</f>
        <v>253160.40468749998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253160.40468749998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444160.40468749998</v>
      </c>
      <c r="E52" s="748">
        <f>D52</f>
        <v>444160.40468749998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444160.40468749998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367142.69850430451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15542473.884374997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101741274.87374559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-7317034.5546747884</v>
      </c>
      <c r="E87" s="749">
        <f>E80-E84-E85-E86-E88-E89-E90-E91</f>
        <v>701320.80937499553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15542473.884374997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65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65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6" t="s">
        <v>589</v>
      </c>
      <c r="D74" s="1767"/>
      <c r="E74" s="1767"/>
      <c r="F74" s="1767"/>
      <c r="G74" s="1767"/>
      <c r="H74" s="1767"/>
      <c r="I74" s="1768"/>
      <c r="J74" s="1769" t="s">
        <v>582</v>
      </c>
      <c r="K74" s="1770"/>
      <c r="L74" s="1770"/>
      <c r="M74" s="1770"/>
      <c r="N74" s="1770"/>
      <c r="O74" s="1771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-879352.94437499985</v>
      </c>
      <c r="K103" s="162">
        <f>J103+(C116*0.25)/2</f>
        <v>-1758705.8887499997</v>
      </c>
      <c r="L103" s="162">
        <f>K103+((C116-K103)/4)</f>
        <v>-3077735.3053124994</v>
      </c>
      <c r="M103" s="162">
        <f>L103+((C116-K103)/4)</f>
        <v>-4396764.7218749989</v>
      </c>
      <c r="N103" s="162">
        <f>M103+((C116-K103)/4)</f>
        <v>-5715794.1384374984</v>
      </c>
      <c r="O103" s="162">
        <f>N103+((C116-K103)/4)</f>
        <v>-7034823.5549999978</v>
      </c>
      <c r="P103" s="162">
        <f>O103</f>
        <v>-7034823.5549999978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9368494.5633333344</v>
      </c>
      <c r="K104" s="371">
        <f>((C117-1033493)/6)+J104</f>
        <v>18736989.126666669</v>
      </c>
      <c r="L104" s="371">
        <f>((C117-1033493)/6)+K104</f>
        <v>28105483.690000005</v>
      </c>
      <c r="M104" s="371">
        <f>((C117-1033493)/6)+L104</f>
        <v>37473978.253333338</v>
      </c>
      <c r="N104" s="371">
        <f>((C117-1033493)/6)+M104</f>
        <v>46842472.81666667</v>
      </c>
      <c r="O104" s="371">
        <f>((C117-1033493)/6)+N104</f>
        <v>56210967.380000003</v>
      </c>
      <c r="P104" s="371">
        <f>(286645+100000+646848)+O104</f>
        <v>57244460.380000003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8489141.6189583354</v>
      </c>
      <c r="K110" s="371">
        <f t="shared" ref="K110:P110" si="9">SUM(K103:K104)</f>
        <v>16978283.237916671</v>
      </c>
      <c r="L110" s="371">
        <f t="shared" si="9"/>
        <v>25027748.384687506</v>
      </c>
      <c r="M110" s="371">
        <f t="shared" si="9"/>
        <v>33077213.531458341</v>
      </c>
      <c r="N110" s="371">
        <f t="shared" si="9"/>
        <v>41126678.678229168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4">
        <f>'PreDev Flow of Funds'!D47</f>
        <v>14824249.954999998</v>
      </c>
      <c r="D114" s="1773"/>
    </row>
    <row r="115" spans="2:19">
      <c r="B115" s="397" t="s">
        <v>600</v>
      </c>
      <c r="C115" s="1775">
        <f>M102</f>
        <v>1323400.22</v>
      </c>
      <c r="D115" s="1773"/>
    </row>
    <row r="116" spans="2:19">
      <c r="B116" s="397" t="s">
        <v>582</v>
      </c>
      <c r="C116" s="1775">
        <f>'Development Budget'!G37-Predevelopment!D27-Predevelopment!D28-Predevelopment!D29-Timeline!M102-Predevelopment!D17</f>
        <v>-7034823.5549999988</v>
      </c>
      <c r="D116" s="1773"/>
    </row>
    <row r="117" spans="2:19" ht="16.5" thickBot="1">
      <c r="B117" s="398" t="s">
        <v>601</v>
      </c>
      <c r="C117" s="1776">
        <f>C118-C114-C116-C115</f>
        <v>57244460.380000003</v>
      </c>
      <c r="D117" s="1777"/>
    </row>
    <row r="118" spans="2:19" ht="16.5" thickTop="1">
      <c r="B118" s="368" t="s">
        <v>585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