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128A31D1-9340-42F9-949D-D911D3405D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 iterateCount="32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<sst xmlns="http://schemas.openxmlformats.org/spreadsheetml/2006/main" count="1995" uniqueCount="1106">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</sst>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9" workbookViewId="0">
      <selection activeCell="H14" sqref="H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1092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212112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212112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1096</v>
      </c>
      <c r="B14" s="1691"/>
      <c r="C14" s="1691"/>
      <c r="D14" s="1715" t="s">
        <v>1105</v>
      </c>
      <c r="E14" s="700"/>
    </row>
    <row r="15" spans="1:5">
      <c r="A15" s="1582" t="s">
        <v>1093</v>
      </c>
      <c r="B15" s="1678"/>
      <c r="C15" s="1685"/>
      <c r="D15" s="1679" cm="1">
        <f t="array" aca="1" ref="D15" ca="1">IF(D14="Year 7 Takeout", INDIRECT("GapCalc!K46"), INDIRECT("GapCalc!K58"))</f>
        <v>-0.12172256748827001</v>
      </c>
      <c r="E15" s="700"/>
    </row>
    <row r="16" spans="1:5">
      <c r="A16" s="1681" t="s">
        <v>1094</v>
      </c>
      <c r="B16" s="702"/>
      <c r="D16" s="1680" cm="1">
        <f t="array" aca="1" ref="D16" ca="1">IF(D14="Year 7 Takeout", INDIRECT("GapCalc!K51"), INDIRECT("GapCalc!K63"))</f>
        <v>-0.12172256748827001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1095</v>
      </c>
      <c r="B18" s="47"/>
      <c r="C18" s="47"/>
      <c r="D18" s="1684" cm="1">
        <f t="array" aca="1" ref="D18" ca="1">IF(D14="Year 7 Takeout", INDIRECT("GapCalc!I55"), INDIRECT("GapCalc!I67"))</f>
        <v>-84809894.343106672</v>
      </c>
      <c r="E18" s="1754">
        <f ca="1">-D18/D28</f>
        <v>0.74217420796157796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694.44444444444446</v>
      </c>
    </row>
    <row r="22" spans="1:6">
      <c r="A22" s="64"/>
      <c r="B22" s="4" t="s">
        <v>16</v>
      </c>
      <c r="C22" s="4"/>
      <c r="D22" s="1531">
        <f>'Development Budget'!G44</f>
        <v>88641661.874999985</v>
      </c>
      <c r="E22" s="1531">
        <f t="shared" ref="E22:E28" si="0">D22/$D$10</f>
        <v>351752.62648809521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757075</v>
      </c>
      <c r="E24" s="1531">
        <f t="shared" si="0"/>
        <v>3004.2658730158732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7510176.9508876512</v>
      </c>
      <c r="E25" s="1531">
        <f t="shared" si="0"/>
        <v>29802.28948764941</v>
      </c>
    </row>
    <row r="26" spans="1:6">
      <c r="A26" s="64"/>
      <c r="B26" s="4" t="s">
        <v>20</v>
      </c>
      <c r="C26" s="4"/>
      <c r="D26" s="1531">
        <f>'Development Budget'!G181</f>
        <v>1835582.3004090188</v>
      </c>
      <c r="E26" s="1531">
        <f t="shared" si="0"/>
        <v>7284.0567476548367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12628483.8367787</v>
      </c>
      <c r="E27" s="1532">
        <f t="shared" si="0"/>
        <v>50113.031098328174</v>
      </c>
    </row>
    <row r="28" spans="1:6" ht="16.5" thickTop="1">
      <c r="A28" s="4"/>
      <c r="B28" s="4"/>
      <c r="C28" s="150" t="s">
        <v>14</v>
      </c>
      <c r="D28" s="1533">
        <f>SUM(D21:D27)</f>
        <v>114272219.96307535</v>
      </c>
      <c r="E28" s="1531">
        <f t="shared" si="0"/>
        <v>453461.1903296641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75174308.904370353</v>
      </c>
      <c r="E32" s="1586">
        <f t="shared" si="1"/>
        <v>298310.74962051725</v>
      </c>
    </row>
    <row r="33" spans="1:5">
      <c r="A33" s="64"/>
      <c r="B33" s="4" t="s">
        <v>1052</v>
      </c>
      <c r="C33" s="4"/>
      <c r="D33" s="1587">
        <f>GapCalc!D29</f>
        <v>5864686.6588057512</v>
      </c>
      <c r="E33" s="1586">
        <f>D33/$D$10</f>
        <v>23272.566106372029</v>
      </c>
    </row>
    <row r="34" spans="1:5">
      <c r="A34" s="65"/>
      <c r="B34" s="4" t="s">
        <v>26</v>
      </c>
      <c r="C34" s="4"/>
      <c r="D34" s="1587">
        <f>GapCalc!D30</f>
        <v>33233224.399899252</v>
      </c>
      <c r="E34" s="1586">
        <f>D34/$D$10</f>
        <v>131877.8746027748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114272219.96307537</v>
      </c>
      <c r="E36" s="1586">
        <f>D36/$D$10</f>
        <v>453461.19032966415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20996430.249037862</v>
      </c>
      <c r="E40" s="1586">
        <f t="shared" ref="E40" si="2">D40/$D$10</f>
        <v>83319.167654912148</v>
      </c>
    </row>
    <row r="41" spans="1:5">
      <c r="A41" s="60"/>
      <c r="B41" s="4" t="s">
        <v>1052</v>
      </c>
      <c r="C41" s="4"/>
      <c r="D41" s="1591">
        <f>GapCalc!D29+GapCalc!D38</f>
        <v>13991368.457105625</v>
      </c>
      <c r="E41" s="1586">
        <f>D41/$D$10</f>
        <v>55521.303401212797</v>
      </c>
    </row>
    <row r="42" spans="1:5">
      <c r="A42" s="60"/>
      <c r="B42" s="1557" t="s">
        <v>26</v>
      </c>
      <c r="C42" s="4"/>
      <c r="D42" s="1592">
        <f>GapCalc!D30+GapCalc!D39</f>
        <v>79284421.256931871</v>
      </c>
      <c r="E42" s="1586">
        <f>D42/$D$10</f>
        <v>314620.71927353914</v>
      </c>
    </row>
    <row r="43" spans="1:5">
      <c r="A43" s="60"/>
      <c r="B43" s="1714" t="s">
        <v>1104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114272219.96307535</v>
      </c>
      <c r="E45" s="1588">
        <f>D45/$D$10</f>
        <v>453461.1903296641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9" zoomScaleNormal="100" workbookViewId="0">
      <selection activeCell="D38" sqref="D38:D39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212112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212112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694.44444444444446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88641661.874999985</v>
      </c>
      <c r="E18" s="1531">
        <f t="shared" ref="E18:E24" si="0">D18/$D$11</f>
        <v>351752.62648809521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757075</v>
      </c>
      <c r="E20" s="1531">
        <f t="shared" si="0"/>
        <v>3004.2658730158732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7510176.9508876512</v>
      </c>
      <c r="E21" s="1531">
        <f t="shared" si="0"/>
        <v>29802.28948764941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1835582.3004090188</v>
      </c>
      <c r="E22" s="1531">
        <f t="shared" si="0"/>
        <v>7284.0567476548367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12628483.8367787</v>
      </c>
      <c r="E23" s="1532">
        <f t="shared" si="0"/>
        <v>50113.031098328174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114272219.96307535</v>
      </c>
      <c r="E24" s="1531">
        <f t="shared" si="0"/>
        <v>453461.1903296641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0.41916462115807723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75174308.904370353</v>
      </c>
      <c r="E28" s="1586">
        <f t="shared" si="1"/>
        <v>298310.74962051725</v>
      </c>
      <c r="F28" s="62"/>
      <c r="G28" s="1419" t="s">
        <v>609</v>
      </c>
      <c r="H28" s="1608">
        <f>H32/D11</f>
        <v>55521.303401212797</v>
      </c>
      <c r="I28" s="703"/>
    </row>
    <row r="29" spans="1:10" ht="15.75">
      <c r="A29" s="64"/>
      <c r="B29" s="4" t="s">
        <v>1052</v>
      </c>
      <c r="C29" s="4"/>
      <c r="D29" s="1587">
        <v>5864686.6588057512</v>
      </c>
      <c r="E29" s="1586">
        <f>D29/$D$11</f>
        <v>23272.566106372029</v>
      </c>
      <c r="F29" s="520"/>
      <c r="G29" s="1420" t="s">
        <v>972</v>
      </c>
      <c r="H29" s="1609">
        <f>H33/D11</f>
        <v>314620.71927353914</v>
      </c>
      <c r="I29" s="703"/>
    </row>
    <row r="30" spans="1:10" ht="16.5" thickBot="1">
      <c r="A30" s="65"/>
      <c r="B30" s="4" t="s">
        <v>26</v>
      </c>
      <c r="C30" s="4"/>
      <c r="D30" s="1587">
        <v>33233224.399899252</v>
      </c>
      <c r="E30" s="1586">
        <f>D30/$D$11</f>
        <v>131877.8746027748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13991368.457105625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114272219.96307537</v>
      </c>
      <c r="E33" s="1586">
        <f>D33/$D$11</f>
        <v>453461.19032966415</v>
      </c>
      <c r="F33" s="62"/>
      <c r="G33" s="1441" t="s">
        <v>972</v>
      </c>
      <c r="H33" s="1611">
        <f>D30+D39</f>
        <v>79284421.256931871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93275789.714037493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0.81625954010675195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20996430.249037862</v>
      </c>
      <c r="E37" s="1586">
        <f t="shared" ref="E37" si="2">D37/$D$11</f>
        <v>83319.167654912148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8126681.7982998732</v>
      </c>
      <c r="E38" s="1586">
        <f>D38/$D$11</f>
        <v>32248.737294840768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46051196.857032619</v>
      </c>
      <c r="E39" s="1586">
        <f>D39/$D$11</f>
        <v>182742.84467076437</v>
      </c>
      <c r="F39" s="62"/>
      <c r="G39" s="1435" t="s">
        <v>609</v>
      </c>
      <c r="H39" s="1616">
        <f>-D32*0.15</f>
        <v>0</v>
      </c>
      <c r="I39" s="1596">
        <f>D29+H39</f>
        <v>5864686.6588057512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33233224.399899252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75174308.904370353</v>
      </c>
      <c r="E42" s="1586">
        <f>D42/$D$11</f>
        <v>298310.74962051725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8126681.7982998732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46051196.857032619</v>
      </c>
      <c r="J44" s="690"/>
    </row>
    <row r="45" spans="1:12" ht="15.75">
      <c r="A45" s="60"/>
      <c r="D45" s="159"/>
      <c r="E45" s="159"/>
      <c r="G45" s="4"/>
      <c r="H45" s="1705" t="s">
        <v>1097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7196011.0652911933</v>
      </c>
      <c r="J46" s="1582" t="s">
        <v>1084</v>
      </c>
      <c r="K46" s="1583">
        <f>'Cash Flow'!C76</f>
        <v>-0.12172256748827001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2038493.7222947231</v>
      </c>
      <c r="J47" s="1584" t="s">
        <v>1100</v>
      </c>
      <c r="K47" s="1607">
        <f>'Cash Flow'!C70</f>
        <v>11729498.036424644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-72088410.191640675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1269884.3056396225</v>
      </c>
      <c r="J51" s="1585" t="s">
        <v>1084</v>
      </c>
      <c r="K51" s="1618">
        <f>'Cash Flow'!H76</f>
        <v>-0.12172256748827001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13991368.457105625</v>
      </c>
      <c r="J52" s="1584" t="s">
        <v>1099</v>
      </c>
      <c r="K52" s="1607">
        <f>'Cash Flow'!H70</f>
        <v>2069911.4181925845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-12721484.151466003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-84809894.343106672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1098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10432153.501970097</v>
      </c>
      <c r="J58" s="1582" t="s">
        <v>1084</v>
      </c>
      <c r="K58" s="1583">
        <f>'Cash Flow'!C103</f>
        <v>-7.8552646360239967E-2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1099</v>
      </c>
      <c r="K59" s="1607">
        <f>'Cash Flow'!C97</f>
        <v>17004410.208211258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-68852267.754961774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1419531.5657295627</v>
      </c>
      <c r="J63" s="1585" t="s">
        <v>1084</v>
      </c>
      <c r="K63" s="1618">
        <f>'Cash Flow'!H103</f>
        <v>-8.3462400699167577E-2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13991368.457105625</v>
      </c>
      <c r="J64" s="1584" t="s">
        <v>1099</v>
      </c>
      <c r="K64" s="1607">
        <f>'Cash Flow'!H97</f>
        <v>2313836.4521391871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-12571836.891376063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-81424104.646337837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9" zoomScale="130" zoomScaleNormal="130" workbookViewId="0">
      <selection activeCell="N21" sqref="N21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50</v>
      </c>
      <c r="O7" s="521">
        <f t="shared" ref="O7:O18" si="0">N7/$N$18</f>
        <v>0.1984126984126984</v>
      </c>
      <c r="Q7" s="283">
        <f>O7+O8+O9</f>
        <v>0.99206349206349209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75</v>
      </c>
      <c r="O8" s="521">
        <f t="shared" si="0"/>
        <v>0.29761904761904762</v>
      </c>
      <c r="Q8" s="283">
        <f>SUM(O10:O15)</f>
        <v>0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77</v>
      </c>
      <c r="E9" s="278">
        <f>IF(D9="","",D9/D$15)</f>
        <v>0.30555555555555558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1088</v>
      </c>
      <c r="N9" s="298">
        <f>E46+E183</f>
        <v>125</v>
      </c>
      <c r="O9" s="332">
        <f t="shared" si="0"/>
        <v>0.49603174603174605</v>
      </c>
    </row>
    <row r="10" spans="2:19" ht="12.75" customHeight="1">
      <c r="B10" s="268"/>
      <c r="C10" s="209" t="s">
        <v>53</v>
      </c>
      <c r="D10" s="210">
        <f>SUM(E24,E33,E42,E51,E60,E78,E69,E87,E96,E116,E106)</f>
        <v>88</v>
      </c>
      <c r="E10" s="278">
        <f>IF(D10="","",D10/D$15)</f>
        <v>0.34920634920634919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87</v>
      </c>
      <c r="E11" s="278">
        <f>IF(D11="","",D11/D$15)</f>
        <v>0.34523809523809523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0</v>
      </c>
      <c r="O13" s="332">
        <f>N13/$N$18</f>
        <v>0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176760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292819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0.99206349206349209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16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6400</v>
      </c>
      <c r="K23" s="292">
        <f>E23*I23</f>
        <v>11648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18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12060</v>
      </c>
      <c r="K24" s="292">
        <f>E24*I24</f>
        <v>14040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16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16000</v>
      </c>
      <c r="K25" s="292">
        <f>E25*I25</f>
        <v>14976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50</v>
      </c>
      <c r="F28" s="241"/>
      <c r="G28" s="241"/>
      <c r="H28" s="243"/>
      <c r="I28" s="241"/>
      <c r="J28" s="293">
        <f>SUM(J23:J27)</f>
        <v>34460</v>
      </c>
      <c r="K28" s="294">
        <f>SUM(K23:K27)</f>
        <v>40664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0.4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22</v>
      </c>
      <c r="F32" s="223"/>
      <c r="G32" s="308">
        <f>H9*$C$29</f>
        <v>970.40000000000009</v>
      </c>
      <c r="H32" s="308">
        <f>$K$9</f>
        <v>0</v>
      </c>
      <c r="I32" s="228">
        <f>ROUND(G32-H32,0)</f>
        <v>970</v>
      </c>
      <c r="J32" s="284">
        <f>D32*E32</f>
        <v>8800</v>
      </c>
      <c r="K32" s="292">
        <f>E32*I32</f>
        <v>21340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27</v>
      </c>
      <c r="F33" s="223"/>
      <c r="G33" s="308">
        <f>H10*$C$29</f>
        <v>1040</v>
      </c>
      <c r="H33" s="308">
        <f>$K$10</f>
        <v>0</v>
      </c>
      <c r="I33" s="228">
        <f>ROUND(G33-H33,0)</f>
        <v>1040</v>
      </c>
      <c r="J33" s="284">
        <f>D33*E33</f>
        <v>18090</v>
      </c>
      <c r="K33" s="292">
        <f>E33*I33</f>
        <v>28080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26</v>
      </c>
      <c r="F34" s="223"/>
      <c r="G34" s="308">
        <f>H11*$C$29</f>
        <v>1248</v>
      </c>
      <c r="H34" s="228">
        <f>$K$11</f>
        <v>0</v>
      </c>
      <c r="I34" s="228">
        <f>ROUND(G34-H34,0)</f>
        <v>1248</v>
      </c>
      <c r="J34" s="284">
        <f>D34*E34</f>
        <v>26000</v>
      </c>
      <c r="K34" s="292">
        <f>E34*I34</f>
        <v>32448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1442.4</v>
      </c>
      <c r="H35" s="228">
        <v>0</v>
      </c>
      <c r="I35" s="228">
        <f>ROUND(G35-H35,0)</f>
        <v>1442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75</v>
      </c>
      <c r="F37" s="241"/>
      <c r="G37" s="241"/>
      <c r="H37" s="243"/>
      <c r="I37" s="241"/>
      <c r="J37" s="293">
        <f>SUM(J32:J36)</f>
        <v>52890</v>
      </c>
      <c r="K37" s="294">
        <f>SUM(K32:K36)</f>
        <v>81868</v>
      </c>
      <c r="U37" s="332"/>
    </row>
    <row r="38" spans="2:21" ht="12.75" customHeight="1">
      <c r="B38" s="289"/>
      <c r="C38" s="314">
        <v>0.5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39</v>
      </c>
      <c r="F41" s="223"/>
      <c r="G41" s="308">
        <f>H9*$C$38</f>
        <v>1213</v>
      </c>
      <c r="H41" s="308">
        <f>$K$9</f>
        <v>0</v>
      </c>
      <c r="I41" s="228">
        <f>ROUND(G41-H41,0)</f>
        <v>1213</v>
      </c>
      <c r="J41" s="284">
        <f>D41*E41</f>
        <v>15600</v>
      </c>
      <c r="K41" s="292">
        <f>E41*I41</f>
        <v>47307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43</v>
      </c>
      <c r="F42" s="223"/>
      <c r="G42" s="308">
        <f>H10*C38</f>
        <v>1300</v>
      </c>
      <c r="H42" s="308">
        <f>$K$10</f>
        <v>0</v>
      </c>
      <c r="I42" s="228">
        <f>ROUND(G42-H42,0)</f>
        <v>1300</v>
      </c>
      <c r="J42" s="284">
        <f>D42*E42</f>
        <v>28810</v>
      </c>
      <c r="K42" s="292">
        <f>E42*I42</f>
        <v>55900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43</v>
      </c>
      <c r="F43" s="223"/>
      <c r="G43" s="308">
        <f>H11*C38</f>
        <v>1560</v>
      </c>
      <c r="H43" s="228">
        <f>$K$11</f>
        <v>0</v>
      </c>
      <c r="I43" s="228">
        <f>ROUND(G43-H43,0)</f>
        <v>1560</v>
      </c>
      <c r="J43" s="284">
        <f>D43*E43</f>
        <v>43000</v>
      </c>
      <c r="K43" s="292">
        <f>E43*I43</f>
        <v>67080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1803</v>
      </c>
      <c r="H44" s="228">
        <v>0</v>
      </c>
      <c r="I44" s="228">
        <f>ROUND(G44-H44,0)</f>
        <v>1803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125</v>
      </c>
      <c r="F46" s="203"/>
      <c r="G46" s="203"/>
      <c r="H46" s="246"/>
      <c r="I46" s="247"/>
      <c r="J46" s="296">
        <f>SUM(J41:J45)</f>
        <v>87410</v>
      </c>
      <c r="K46" s="297">
        <f>SUM(K41:K45)</f>
        <v>170287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0</v>
      </c>
      <c r="K50" s="292">
        <f>E50*I50</f>
        <v>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0</v>
      </c>
      <c r="K51" s="292">
        <f>E51*I51</f>
        <v>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0</v>
      </c>
      <c r="K52" s="292">
        <f>E52*I52</f>
        <v>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0</v>
      </c>
      <c r="F55" s="247"/>
      <c r="G55" s="247"/>
      <c r="H55" s="246"/>
      <c r="I55" s="247"/>
      <c r="J55" s="296">
        <f>SUM(J50:J54)</f>
        <v>0</v>
      </c>
      <c r="K55" s="297">
        <f>SUM(K50:K54)</f>
        <v>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16380000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694.44444444444446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70793329.5</v>
      </c>
      <c r="H32" s="1039"/>
      <c r="I32" s="950">
        <f t="shared" si="0"/>
        <v>280925.91071428574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77872662.450000003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63633600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7079332.9500000002</v>
      </c>
      <c r="G36" s="854">
        <f>F36</f>
        <v>7079332.9500000002</v>
      </c>
      <c r="H36" s="950"/>
      <c r="I36" s="950">
        <f t="shared" si="0"/>
        <v>28092.591071428571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4955533.0650000004</v>
      </c>
      <c r="H37" s="1072"/>
      <c r="I37" s="950">
        <f t="shared" si="0"/>
        <v>19664.813750000001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4955533.0650000004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3539666.4750000001</v>
      </c>
      <c r="H38" s="1072"/>
      <c r="I38" s="950">
        <f t="shared" si="0"/>
        <v>14046.295535714286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3539666.4750000001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1061899.9424999999</v>
      </c>
      <c r="H40" s="1072"/>
      <c r="I40" s="950">
        <f t="shared" si="0"/>
        <v>4213.8886607142849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1061899.9424999999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1061899.9424999999</v>
      </c>
      <c r="H41" s="1072"/>
      <c r="I41" s="950">
        <f t="shared" si="0"/>
        <v>4213.8886607142849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1061899.9424999999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88641661.874999985</v>
      </c>
      <c r="H44" s="1324"/>
      <c r="I44" s="1325">
        <f t="shared" si="0"/>
        <v>351752.62648809521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88641661.874999985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88641661.874999985</v>
      </c>
      <c r="H46" s="1333"/>
      <c r="I46" s="1325">
        <f t="shared" si="0"/>
        <v>351752.62648809521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88641661.874999985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8864166.1874999981</v>
      </c>
      <c r="H47" s="1039"/>
      <c r="I47" s="950">
        <f t="shared" si="0"/>
        <v>35175.262648809519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8864166.1874999981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1091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2311635.8453124999</v>
      </c>
      <c r="H59" s="1128"/>
      <c r="I59" s="950">
        <f t="shared" si="0"/>
        <v>9173.1581163194442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221604.15468749998</v>
      </c>
      <c r="H67" s="1039"/>
      <c r="I67" s="950">
        <f t="shared" si="0"/>
        <v>879.38156622023803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221604.15468749998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412604.15468749998</v>
      </c>
      <c r="H80" s="1101"/>
      <c r="I80" s="950">
        <f t="shared" si="0"/>
        <v>1637.318074156746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412604.15468749998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657075</v>
      </c>
      <c r="H90" s="1111"/>
      <c r="I90" s="950">
        <f t="shared" si="3"/>
        <v>2607.4404761904761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657075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2970324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757075</v>
      </c>
      <c r="H97" s="1101"/>
      <c r="I97" s="950">
        <f t="shared" si="3"/>
        <v>3004.2658730158732</v>
      </c>
      <c r="J97" s="1102"/>
      <c r="K97" s="1166">
        <f>I97/I250</f>
        <v>6.6251885212751868E-3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757075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190295.77363126486</v>
      </c>
      <c r="H102" s="1111"/>
      <c r="I102" s="950">
        <f t="shared" si="3"/>
        <v>755.14195885422566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190295.77363126486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175295.77363126486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3459896.70706779</v>
      </c>
      <c r="N103" s="1172">
        <v>3505915.472625297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190295.77363126486</v>
      </c>
      <c r="H114" s="1101"/>
      <c r="I114" s="950">
        <f t="shared" si="3"/>
        <v>755.14195885422566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190295.77363126486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5299788.7777581103</v>
      </c>
      <c r="H116" s="1177"/>
      <c r="I116" s="950">
        <f t="shared" si="3"/>
        <v>21030.907848246468</v>
      </c>
      <c r="J116" s="1178"/>
      <c r="K116" s="1179" t="s">
        <v>823</v>
      </c>
      <c r="L116" s="1073"/>
      <c r="M116" s="1180">
        <f>0.5*Data!C20*Data!C17/12*Data!C19</f>
        <v>5299788.7777581103</v>
      </c>
      <c r="N116" s="1181">
        <v>5299788.7777581103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5299788.7777581103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751743.08904370351</v>
      </c>
      <c r="H117" s="1094"/>
      <c r="I117" s="950">
        <f t="shared" si="3"/>
        <v>2983.1074962051725</v>
      </c>
      <c r="J117" s="1015"/>
      <c r="K117" s="1184" t="s">
        <v>825</v>
      </c>
      <c r="L117" s="1185"/>
      <c r="M117" s="1186">
        <f>0.01*Data!C20</f>
        <v>751743.08904370351</v>
      </c>
      <c r="N117" s="1172">
        <v>751743.08904370351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751743.08904370351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1210483.6207292813</v>
      </c>
      <c r="H121" s="1117"/>
      <c r="I121" s="950">
        <f t="shared" si="3"/>
        <v>4803.5064314654019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1210483.6207292813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1210483.6207292813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122761.46335655553</v>
      </c>
      <c r="H125" s="1111"/>
      <c r="I125" s="950">
        <f t="shared" si="3"/>
        <v>487.14866411331559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122761.46335655553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112761.46335655553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112761.46335655553</v>
      </c>
      <c r="N126" s="1172">
        <v>112761.46335655553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7400176.9508876512</v>
      </c>
      <c r="H148" s="1128"/>
      <c r="I148" s="950">
        <f t="shared" si="6"/>
        <v>29365.781551141474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7400176.9508876512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209964.30249037861</v>
      </c>
      <c r="H151" s="1093"/>
      <c r="I151" s="950">
        <f t="shared" ref="I151:I158" si="7">G151/$F$9</f>
        <v>833.19167654912144</v>
      </c>
      <c r="J151" s="1094"/>
      <c r="K151" s="1244" t="s">
        <v>863</v>
      </c>
      <c r="L151" s="1245"/>
      <c r="M151" s="1558">
        <f>Data!C31*Data!C30</f>
        <v>209964.30249037861</v>
      </c>
      <c r="N151" s="1345">
        <v>209964.30249037861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1090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6765687.801393331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1835582.3004090188</v>
      </c>
      <c r="H178" s="1093"/>
      <c r="I178" s="950">
        <f t="shared" si="6"/>
        <v>7284.0567476548367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1835582.3004090188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1835582.3004090188</v>
      </c>
      <c r="H181" s="1128"/>
      <c r="I181" s="950">
        <f t="shared" si="6"/>
        <v>7284.0567476548367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1835582.3004090188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558474.20898077171</v>
      </c>
      <c r="H233" s="1111"/>
      <c r="I233" s="950">
        <f t="shared" si="8"/>
        <v>2216.1674959554434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558474.20898077171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997224.20898077171</v>
      </c>
      <c r="H234" s="1282"/>
      <c r="I234" s="950">
        <f t="shared" si="8"/>
        <v>3957.2389245268719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997224.20898077171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114272219.96307535</v>
      </c>
      <c r="H250" s="1298"/>
      <c r="I250" s="1299">
        <f>G250/F9</f>
        <v>453461.1903296641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538.73529061569059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212112</v>
      </c>
      <c r="D5" t="s">
        <v>428</v>
      </c>
      <c r="G5" s="510"/>
    </row>
    <row r="6" spans="1:15">
      <c r="B6" s="1350" t="s">
        <v>12</v>
      </c>
      <c r="C6" s="700">
        <f>'Construction Calculation'!C14</f>
        <v>212112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35352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126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1102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75174308.904370353</v>
      </c>
      <c r="D20" s="1375">
        <f>MIN(D22,GapCalc!D24)</f>
        <v>74276942.975998983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74276942.975998983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-1457582.300409012</v>
      </c>
      <c r="E24" s="1384"/>
      <c r="G24" s="1377"/>
      <c r="H24" s="1385"/>
      <c r="K24" s="1425"/>
    </row>
    <row r="25" spans="1:13">
      <c r="A25" s="1371"/>
      <c r="B25" t="s">
        <v>1103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1457582.3004090188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40121251.199999996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20996430.249037862</v>
      </c>
      <c r="D30" s="1376">
        <f>-PV($C$24/12,$C$29*12,C27/12)</f>
        <v>20996430.249037862</v>
      </c>
      <c r="E30" s="1384"/>
      <c r="F30" t="s">
        <v>438</v>
      </c>
      <c r="G30" s="1381"/>
      <c r="H30" s="1376">
        <f>PV(G23,G29,-'Cash Flow'!E41*H28,)</f>
        <v>2349823.3568934617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1103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1457582.3004090188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91417775.970460296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23972511.013293665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3513828</v>
      </c>
      <c r="F12" s="89">
        <f>E12*(1+$D$12)</f>
        <v>3601673.6999999997</v>
      </c>
      <c r="G12" s="89">
        <f t="shared" ref="G12:AH12" si="0">F12*(1+$D$12)</f>
        <v>3691715.5424999995</v>
      </c>
      <c r="H12" s="89">
        <f t="shared" si="0"/>
        <v>3784008.4310624991</v>
      </c>
      <c r="I12" s="89">
        <f t="shared" si="0"/>
        <v>3878608.6418390614</v>
      </c>
      <c r="J12" s="89">
        <f t="shared" si="0"/>
        <v>3975573.8578850375</v>
      </c>
      <c r="K12" s="89">
        <f t="shared" si="0"/>
        <v>4074963.2043321631</v>
      </c>
      <c r="L12" s="89">
        <f t="shared" si="0"/>
        <v>4176837.2844404667</v>
      </c>
      <c r="M12" s="89">
        <f t="shared" si="0"/>
        <v>4281258.216551478</v>
      </c>
      <c r="N12" s="89">
        <f t="shared" si="0"/>
        <v>4388289.6719652647</v>
      </c>
      <c r="O12" s="89">
        <f t="shared" si="0"/>
        <v>4497996.9137643958</v>
      </c>
      <c r="P12" s="89">
        <f t="shared" si="0"/>
        <v>4610446.8366085049</v>
      </c>
      <c r="Q12" s="89">
        <f t="shared" si="0"/>
        <v>4725708.0075237174</v>
      </c>
      <c r="R12" s="89">
        <f t="shared" si="0"/>
        <v>4843850.7077118102</v>
      </c>
      <c r="S12" s="90">
        <f t="shared" si="0"/>
        <v>4964946.9754046053</v>
      </c>
      <c r="T12" s="89">
        <f t="shared" si="0"/>
        <v>5089070.6497897198</v>
      </c>
      <c r="U12" s="89">
        <f t="shared" si="0"/>
        <v>5216297.4160344619</v>
      </c>
      <c r="V12" s="89">
        <f t="shared" si="0"/>
        <v>5346704.8514353232</v>
      </c>
      <c r="W12" s="89">
        <f t="shared" si="0"/>
        <v>5480372.472721206</v>
      </c>
      <c r="X12" s="89">
        <f t="shared" si="0"/>
        <v>5617381.7845392358</v>
      </c>
      <c r="Y12" s="89">
        <f t="shared" si="0"/>
        <v>5757816.3291527163</v>
      </c>
      <c r="Z12" s="89">
        <f t="shared" si="0"/>
        <v>5901761.7373815337</v>
      </c>
      <c r="AA12" s="89">
        <f t="shared" si="0"/>
        <v>6049305.7808160717</v>
      </c>
      <c r="AB12" s="89">
        <f t="shared" si="0"/>
        <v>6200538.4253364727</v>
      </c>
      <c r="AC12" s="89">
        <f t="shared" si="0"/>
        <v>6355551.8859698838</v>
      </c>
      <c r="AD12" s="89">
        <f t="shared" si="0"/>
        <v>6514440.6831191303</v>
      </c>
      <c r="AE12" s="89">
        <f t="shared" si="0"/>
        <v>6677301.7001971081</v>
      </c>
      <c r="AF12" s="89">
        <f t="shared" si="0"/>
        <v>6844234.2427020352</v>
      </c>
      <c r="AG12" s="89">
        <f t="shared" si="0"/>
        <v>7015340.0987695856</v>
      </c>
      <c r="AH12" s="89">
        <f t="shared" si="0"/>
        <v>7190723.6012388244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-175970.40000000002</v>
      </c>
      <c r="F14" s="100">
        <f t="shared" ref="F14:AH14" si="2">-((F12+F13)*$C$14)</f>
        <v>-180369.66</v>
      </c>
      <c r="G14" s="100">
        <f t="shared" si="2"/>
        <v>-184878.90149999998</v>
      </c>
      <c r="H14" s="100">
        <f t="shared" si="2"/>
        <v>-189500.87403749998</v>
      </c>
      <c r="I14" s="100">
        <f t="shared" si="2"/>
        <v>-194238.39588843746</v>
      </c>
      <c r="J14" s="100">
        <f t="shared" si="2"/>
        <v>-199094.35578564837</v>
      </c>
      <c r="K14" s="100">
        <f t="shared" si="2"/>
        <v>-204071.71468028956</v>
      </c>
      <c r="L14" s="100">
        <f t="shared" si="2"/>
        <v>-209173.50754729679</v>
      </c>
      <c r="M14" s="100">
        <f t="shared" si="2"/>
        <v>-214402.84523597918</v>
      </c>
      <c r="N14" s="100">
        <f t="shared" si="2"/>
        <v>-219762.91636687864</v>
      </c>
      <c r="O14" s="100">
        <f t="shared" si="2"/>
        <v>-225256.98927605059</v>
      </c>
      <c r="P14" s="100">
        <f t="shared" si="2"/>
        <v>-230888.4140079518</v>
      </c>
      <c r="Q14" s="100">
        <f t="shared" si="2"/>
        <v>-236660.62435815061</v>
      </c>
      <c r="R14" s="100">
        <f t="shared" si="2"/>
        <v>-242577.13996710433</v>
      </c>
      <c r="S14" s="101">
        <f t="shared" si="2"/>
        <v>-248641.56846628195</v>
      </c>
      <c r="T14" s="100">
        <f t="shared" si="2"/>
        <v>-254857.607677939</v>
      </c>
      <c r="U14" s="100">
        <f t="shared" si="2"/>
        <v>-261229.04786988741</v>
      </c>
      <c r="V14" s="100">
        <f t="shared" si="2"/>
        <v>-267759.77406663459</v>
      </c>
      <c r="W14" s="100">
        <f t="shared" si="2"/>
        <v>-274453.76841830043</v>
      </c>
      <c r="X14" s="100">
        <f t="shared" si="2"/>
        <v>-281315.1126287579</v>
      </c>
      <c r="Y14" s="100">
        <f t="shared" si="2"/>
        <v>-288347.99044447689</v>
      </c>
      <c r="Z14" s="100">
        <f t="shared" si="2"/>
        <v>-295556.69020558876</v>
      </c>
      <c r="AA14" s="100">
        <f t="shared" si="2"/>
        <v>-302945.60746072844</v>
      </c>
      <c r="AB14" s="100">
        <f t="shared" si="2"/>
        <v>-310519.24764724664</v>
      </c>
      <c r="AC14" s="100">
        <f t="shared" si="2"/>
        <v>-318282.22883842775</v>
      </c>
      <c r="AD14" s="100">
        <f t="shared" si="2"/>
        <v>-326239.28455938841</v>
      </c>
      <c r="AE14" s="100">
        <f t="shared" si="2"/>
        <v>-334395.26667337306</v>
      </c>
      <c r="AF14" s="100">
        <f t="shared" si="2"/>
        <v>-342755.14834020741</v>
      </c>
      <c r="AG14" s="100">
        <f t="shared" si="2"/>
        <v>-351324.0270487126</v>
      </c>
      <c r="AH14" s="100">
        <f t="shared" si="2"/>
        <v>-360107.12772493035</v>
      </c>
    </row>
    <row r="15" spans="1:34">
      <c r="A15" s="76"/>
      <c r="B15" s="102" t="s">
        <v>312</v>
      </c>
      <c r="C15" s="76"/>
      <c r="D15" s="76"/>
      <c r="E15" s="95">
        <f>SUM(E12:E14)</f>
        <v>3343437.6</v>
      </c>
      <c r="F15" s="95">
        <f t="shared" ref="F15:AH15" si="3">SUM(F12:F14)</f>
        <v>3427023.5399999996</v>
      </c>
      <c r="G15" s="103">
        <f t="shared" si="3"/>
        <v>3512699.1284999992</v>
      </c>
      <c r="H15" s="104">
        <f t="shared" si="3"/>
        <v>3600516.6067124992</v>
      </c>
      <c r="I15" s="104">
        <f t="shared" si="3"/>
        <v>3690529.5218803114</v>
      </c>
      <c r="J15" s="95">
        <f t="shared" si="3"/>
        <v>3782792.7599273189</v>
      </c>
      <c r="K15" s="103">
        <f t="shared" si="3"/>
        <v>3877362.5789255016</v>
      </c>
      <c r="L15" s="95">
        <f t="shared" si="3"/>
        <v>3974296.6433986388</v>
      </c>
      <c r="M15" s="95">
        <f t="shared" si="3"/>
        <v>4073654.0594836045</v>
      </c>
      <c r="N15" s="95">
        <f t="shared" si="3"/>
        <v>4175495.4109706939</v>
      </c>
      <c r="O15" s="95">
        <f t="shared" si="3"/>
        <v>4279882.7962449612</v>
      </c>
      <c r="P15" s="95">
        <f t="shared" si="3"/>
        <v>4386879.8661510842</v>
      </c>
      <c r="Q15" s="95">
        <f t="shared" si="3"/>
        <v>4496551.8628048617</v>
      </c>
      <c r="R15" s="95">
        <f t="shared" si="3"/>
        <v>4608965.6593749821</v>
      </c>
      <c r="S15" s="96">
        <f t="shared" si="3"/>
        <v>4724189.8008593572</v>
      </c>
      <c r="T15" s="95">
        <f t="shared" si="3"/>
        <v>4842294.5458808402</v>
      </c>
      <c r="U15" s="95">
        <f t="shared" si="3"/>
        <v>4963351.9095278606</v>
      </c>
      <c r="V15" s="95">
        <f t="shared" si="3"/>
        <v>5087435.7072660569</v>
      </c>
      <c r="W15" s="95">
        <f t="shared" si="3"/>
        <v>5214621.5999477077</v>
      </c>
      <c r="X15" s="95">
        <f t="shared" si="3"/>
        <v>5344987.1399464002</v>
      </c>
      <c r="Y15" s="95">
        <f t="shared" si="3"/>
        <v>5478611.8184450604</v>
      </c>
      <c r="Z15" s="95">
        <f t="shared" si="3"/>
        <v>5615577.1139061861</v>
      </c>
      <c r="AA15" s="95">
        <f t="shared" si="3"/>
        <v>5755966.5417538397</v>
      </c>
      <c r="AB15" s="95">
        <f t="shared" si="3"/>
        <v>5899865.7052976862</v>
      </c>
      <c r="AC15" s="95">
        <f t="shared" si="3"/>
        <v>6047362.3479301268</v>
      </c>
      <c r="AD15" s="95">
        <f t="shared" si="3"/>
        <v>6198546.4066283796</v>
      </c>
      <c r="AE15" s="95">
        <f t="shared" si="3"/>
        <v>6353510.0667940881</v>
      </c>
      <c r="AF15" s="95">
        <f t="shared" si="3"/>
        <v>6512347.8184639402</v>
      </c>
      <c r="AG15" s="95">
        <f t="shared" si="3"/>
        <v>6675156.5139255384</v>
      </c>
      <c r="AH15" s="95">
        <f t="shared" si="3"/>
        <v>6842035.4267736757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315</v>
      </c>
      <c r="C19" s="1713" t="s">
        <v>1101</v>
      </c>
      <c r="D19" s="88">
        <v>1.2500000000000001E-2</v>
      </c>
      <c r="E19" s="95">
        <f>IF(C19="Abatement", 0, -'Tax Calc'!B10)</f>
        <v>-6738.839509177833</v>
      </c>
      <c r="F19" s="89">
        <f>E19*(1+$D$19)</f>
        <v>-6823.0750030425552</v>
      </c>
      <c r="G19" s="89">
        <f t="shared" ref="G19:AH19" si="6">F19*(1+$D$19)</f>
        <v>-6908.3634405805869</v>
      </c>
      <c r="H19" s="89">
        <f t="shared" si="6"/>
        <v>-6994.7179835878442</v>
      </c>
      <c r="I19" s="89">
        <f t="shared" si="6"/>
        <v>-7082.1519583826921</v>
      </c>
      <c r="J19" s="89">
        <f t="shared" si="6"/>
        <v>-7170.6788578624755</v>
      </c>
      <c r="K19" s="89">
        <f t="shared" si="6"/>
        <v>-7260.312343585756</v>
      </c>
      <c r="L19" s="89">
        <f t="shared" si="6"/>
        <v>-7351.066247880578</v>
      </c>
      <c r="M19" s="89">
        <f t="shared" si="6"/>
        <v>-7442.9545759790844</v>
      </c>
      <c r="N19" s="89">
        <f t="shared" si="6"/>
        <v>-7535.9915081788231</v>
      </c>
      <c r="O19" s="89">
        <f t="shared" si="6"/>
        <v>-7630.1914020310578</v>
      </c>
      <c r="P19" s="89">
        <f t="shared" si="6"/>
        <v>-7725.5687945564459</v>
      </c>
      <c r="Q19" s="89">
        <f t="shared" si="6"/>
        <v>-7822.1384044884007</v>
      </c>
      <c r="R19" s="89">
        <f t="shared" si="6"/>
        <v>-7919.9151345445052</v>
      </c>
      <c r="S19" s="90">
        <f t="shared" si="6"/>
        <v>-8018.9140737263115</v>
      </c>
      <c r="T19" s="89">
        <f t="shared" si="6"/>
        <v>-8119.1504996478898</v>
      </c>
      <c r="U19" s="89">
        <f t="shared" si="6"/>
        <v>-8220.6398808934882</v>
      </c>
      <c r="V19" s="89">
        <f t="shared" si="6"/>
        <v>-8323.3978794046561</v>
      </c>
      <c r="W19" s="89">
        <f t="shared" si="6"/>
        <v>-8427.4403528972143</v>
      </c>
      <c r="X19" s="89">
        <f t="shared" si="6"/>
        <v>-8532.7833573084299</v>
      </c>
      <c r="Y19" s="89">
        <f t="shared" si="6"/>
        <v>-8639.4431492747844</v>
      </c>
      <c r="Z19" s="89">
        <f t="shared" si="6"/>
        <v>-8747.4361886407187</v>
      </c>
      <c r="AA19" s="89">
        <f t="shared" si="6"/>
        <v>-8856.7791409987276</v>
      </c>
      <c r="AB19" s="89">
        <f t="shared" si="6"/>
        <v>-8967.4888802612113</v>
      </c>
      <c r="AC19" s="89">
        <f t="shared" si="6"/>
        <v>-9079.5824912644766</v>
      </c>
      <c r="AD19" s="89">
        <f t="shared" si="6"/>
        <v>-9193.0772724052822</v>
      </c>
      <c r="AE19" s="89">
        <f t="shared" si="6"/>
        <v>-9307.9907383103473</v>
      </c>
      <c r="AF19" s="89">
        <f t="shared" si="6"/>
        <v>-9424.3406225392264</v>
      </c>
      <c r="AG19" s="89">
        <f t="shared" si="6"/>
        <v>-9542.144880320966</v>
      </c>
      <c r="AH19" s="89">
        <f t="shared" si="6"/>
        <v>-9661.4216913249784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1749098.7604908224</v>
      </c>
      <c r="F21" s="95">
        <f t="shared" si="8"/>
        <v>1779680.4649969572</v>
      </c>
      <c r="G21" s="95">
        <f t="shared" si="8"/>
        <v>1810498.5650594188</v>
      </c>
      <c r="H21" s="95">
        <f t="shared" si="8"/>
        <v>1841540.4617289116</v>
      </c>
      <c r="I21" s="95">
        <f t="shared" si="8"/>
        <v>1872792.5929769292</v>
      </c>
      <c r="J21" s="95">
        <f t="shared" si="8"/>
        <v>1904240.3869313819</v>
      </c>
      <c r="K21" s="95">
        <f t="shared" si="8"/>
        <v>1935868.2131490088</v>
      </c>
      <c r="L21" s="95">
        <f t="shared" si="8"/>
        <v>1967659.3318476996</v>
      </c>
      <c r="M21" s="95">
        <f t="shared" si="8"/>
        <v>1999595.8410189599</v>
      </c>
      <c r="N21" s="95">
        <f t="shared" si="8"/>
        <v>2031658.6213377467</v>
      </c>
      <c r="O21" s="95">
        <f t="shared" si="8"/>
        <v>2063827.278783795</v>
      </c>
      <c r="P21" s="95">
        <f t="shared" si="8"/>
        <v>2096080.084885323</v>
      </c>
      <c r="Q21" s="95">
        <f t="shared" si="8"/>
        <v>2128393.9144926765</v>
      </c>
      <c r="R21" s="95">
        <f t="shared" si="8"/>
        <v>2160744.1809859718</v>
      </c>
      <c r="S21" s="96">
        <f t="shared" si="8"/>
        <v>2193104.768817259</v>
      </c>
      <c r="T21" s="95">
        <f t="shared" si="8"/>
        <v>2225447.9632839272</v>
      </c>
      <c r="U21" s="95">
        <f t="shared" si="8"/>
        <v>2257744.3774262983</v>
      </c>
      <c r="V21" s="95">
        <f t="shared" si="8"/>
        <v>2289962.8759382605</v>
      </c>
      <c r="W21" s="95">
        <f t="shared" si="8"/>
        <v>2322070.4959757249</v>
      </c>
      <c r="X21" s="95">
        <f t="shared" si="8"/>
        <v>2354032.3647433384</v>
      </c>
      <c r="Y21" s="95">
        <f t="shared" si="8"/>
        <v>2385811.6137354309</v>
      </c>
      <c r="Z21" s="95">
        <f t="shared" si="8"/>
        <v>2417369.2895025783</v>
      </c>
      <c r="AA21" s="95">
        <f t="shared" si="8"/>
        <v>2448664.2608103501</v>
      </c>
      <c r="AB21" s="95">
        <f t="shared" si="8"/>
        <v>2479653.1220518467</v>
      </c>
      <c r="AC21" s="95">
        <f t="shared" si="8"/>
        <v>2510290.0927704889</v>
      </c>
      <c r="AD21" s="95">
        <f t="shared" si="8"/>
        <v>2540526.913144208</v>
      </c>
      <c r="AE21" s="95">
        <f t="shared" si="8"/>
        <v>2570312.7352765999</v>
      </c>
      <c r="AF21" s="95">
        <f t="shared" si="8"/>
        <v>2599594.0101349521</v>
      </c>
      <c r="AG21" s="95">
        <f t="shared" si="8"/>
        <v>2628314.3699690434</v>
      </c>
      <c r="AH21" s="95">
        <f t="shared" si="8"/>
        <v>2656414.5060385107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-1457582.3004090188</v>
      </c>
      <c r="F22" s="95">
        <f t="shared" ref="F22:AH22" si="9">$E$22</f>
        <v>-1457582.3004090188</v>
      </c>
      <c r="G22" s="95">
        <f t="shared" si="9"/>
        <v>-1457582.3004090188</v>
      </c>
      <c r="H22" s="95">
        <f t="shared" si="9"/>
        <v>-1457582.3004090188</v>
      </c>
      <c r="I22" s="95">
        <f t="shared" si="9"/>
        <v>-1457582.3004090188</v>
      </c>
      <c r="J22" s="95">
        <f t="shared" si="9"/>
        <v>-1457582.3004090188</v>
      </c>
      <c r="K22" s="95">
        <f t="shared" si="9"/>
        <v>-1457582.3004090188</v>
      </c>
      <c r="L22" s="95">
        <f t="shared" si="9"/>
        <v>-1457582.3004090188</v>
      </c>
      <c r="M22" s="95">
        <f t="shared" si="9"/>
        <v>-1457582.3004090188</v>
      </c>
      <c r="N22" s="95">
        <f t="shared" si="9"/>
        <v>-1457582.3004090188</v>
      </c>
      <c r="O22" s="95">
        <f t="shared" si="9"/>
        <v>-1457582.3004090188</v>
      </c>
      <c r="P22" s="95">
        <f t="shared" si="9"/>
        <v>-1457582.3004090188</v>
      </c>
      <c r="Q22" s="95">
        <f t="shared" si="9"/>
        <v>-1457582.3004090188</v>
      </c>
      <c r="R22" s="95">
        <f t="shared" si="9"/>
        <v>-1457582.3004090188</v>
      </c>
      <c r="S22" s="96">
        <f t="shared" si="9"/>
        <v>-1457582.3004090188</v>
      </c>
      <c r="T22" s="95">
        <f t="shared" si="9"/>
        <v>-1457582.3004090188</v>
      </c>
      <c r="U22" s="95">
        <f t="shared" si="9"/>
        <v>-1457582.3004090188</v>
      </c>
      <c r="V22" s="95">
        <f t="shared" si="9"/>
        <v>-1457582.3004090188</v>
      </c>
      <c r="W22" s="95">
        <f t="shared" si="9"/>
        <v>-1457582.3004090188</v>
      </c>
      <c r="X22" s="95">
        <f t="shared" si="9"/>
        <v>-1457582.3004090188</v>
      </c>
      <c r="Y22" s="95">
        <f t="shared" si="9"/>
        <v>-1457582.3004090188</v>
      </c>
      <c r="Z22" s="95">
        <f t="shared" si="9"/>
        <v>-1457582.3004090188</v>
      </c>
      <c r="AA22" s="95">
        <f t="shared" si="9"/>
        <v>-1457582.3004090188</v>
      </c>
      <c r="AB22" s="95">
        <f t="shared" si="9"/>
        <v>-1457582.3004090188</v>
      </c>
      <c r="AC22" s="95">
        <f t="shared" si="9"/>
        <v>-1457582.3004090188</v>
      </c>
      <c r="AD22" s="95">
        <f t="shared" si="9"/>
        <v>-1457582.3004090188</v>
      </c>
      <c r="AE22" s="95">
        <f t="shared" si="9"/>
        <v>-1457582.3004090188</v>
      </c>
      <c r="AF22" s="95">
        <f t="shared" si="9"/>
        <v>-1457582.3004090188</v>
      </c>
      <c r="AG22" s="95">
        <f t="shared" si="9"/>
        <v>-1457582.3004090188</v>
      </c>
      <c r="AH22" s="95">
        <f t="shared" si="9"/>
        <v>-1457582.3004090188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291516.46008180361</v>
      </c>
      <c r="F25" s="119">
        <f t="shared" ref="F25:AH25" si="11">+F21+F22+F23</f>
        <v>322098.16458793846</v>
      </c>
      <c r="G25" s="119">
        <f t="shared" si="11"/>
        <v>352916.26465040003</v>
      </c>
      <c r="H25" s="119">
        <f t="shared" si="11"/>
        <v>383958.16131989285</v>
      </c>
      <c r="I25" s="119">
        <f t="shared" si="11"/>
        <v>415210.29256791039</v>
      </c>
      <c r="J25" s="119">
        <f t="shared" si="11"/>
        <v>446658.08652236313</v>
      </c>
      <c r="K25" s="119">
        <f t="shared" si="11"/>
        <v>478285.91273999005</v>
      </c>
      <c r="L25" s="119">
        <f t="shared" si="11"/>
        <v>510077.03143868083</v>
      </c>
      <c r="M25" s="119">
        <f t="shared" si="11"/>
        <v>542013.54060994112</v>
      </c>
      <c r="N25" s="119">
        <f t="shared" si="11"/>
        <v>574076.32092872798</v>
      </c>
      <c r="O25" s="119">
        <f t="shared" si="11"/>
        <v>606244.9783747762</v>
      </c>
      <c r="P25" s="119">
        <f t="shared" si="11"/>
        <v>638497.78447630419</v>
      </c>
      <c r="Q25" s="119">
        <f t="shared" si="11"/>
        <v>670811.61408365774</v>
      </c>
      <c r="R25" s="119">
        <f t="shared" si="11"/>
        <v>703161.88057695306</v>
      </c>
      <c r="S25" s="160">
        <f t="shared" si="11"/>
        <v>735522.46840824024</v>
      </c>
      <c r="T25" s="119">
        <f t="shared" si="11"/>
        <v>767865.66287490842</v>
      </c>
      <c r="U25" s="119">
        <f t="shared" si="11"/>
        <v>800162.07701727957</v>
      </c>
      <c r="V25" s="119">
        <f t="shared" si="11"/>
        <v>832380.5755292417</v>
      </c>
      <c r="W25" s="119">
        <f t="shared" si="11"/>
        <v>864488.19556670613</v>
      </c>
      <c r="X25" s="119">
        <f t="shared" si="11"/>
        <v>896450.06433431967</v>
      </c>
      <c r="Y25" s="119">
        <f t="shared" si="11"/>
        <v>928229.31332641211</v>
      </c>
      <c r="Z25" s="119">
        <f t="shared" si="11"/>
        <v>959786.98909355956</v>
      </c>
      <c r="AA25" s="119">
        <f t="shared" si="11"/>
        <v>991081.96040133131</v>
      </c>
      <c r="AB25" s="119">
        <f t="shared" si="11"/>
        <v>1022070.8216428279</v>
      </c>
      <c r="AC25" s="119">
        <f t="shared" si="11"/>
        <v>1052707.7923614702</v>
      </c>
      <c r="AD25" s="119">
        <f t="shared" si="11"/>
        <v>1082944.6127351893</v>
      </c>
      <c r="AE25" s="119">
        <f t="shared" si="11"/>
        <v>1112730.4348675811</v>
      </c>
      <c r="AF25" s="119">
        <f t="shared" si="11"/>
        <v>1142011.7097259334</v>
      </c>
      <c r="AG25" s="119">
        <f t="shared" si="11"/>
        <v>1170732.0695600247</v>
      </c>
      <c r="AH25" s="119">
        <f t="shared" si="11"/>
        <v>1198832.2056294919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1.2209811168107303</v>
      </c>
      <c r="G27" s="122">
        <f t="shared" si="12"/>
        <v>1.2421244169549579</v>
      </c>
      <c r="H27" s="122">
        <f t="shared" si="12"/>
        <v>1.263421256701696</v>
      </c>
      <c r="I27" s="122">
        <f t="shared" si="12"/>
        <v>1.2848623315825092</v>
      </c>
      <c r="J27" s="122">
        <f t="shared" si="12"/>
        <v>1.3064376443079917</v>
      </c>
      <c r="K27" s="122">
        <f t="shared" si="12"/>
        <v>1.3281364713373482</v>
      </c>
      <c r="L27" s="122">
        <f t="shared" si="12"/>
        <v>1.3499473280483345</v>
      </c>
      <c r="M27" s="122">
        <f t="shared" si="12"/>
        <v>1.3718579324528326</v>
      </c>
      <c r="N27" s="122">
        <f t="shared" si="12"/>
        <v>1.3938551674012738</v>
      </c>
      <c r="O27" s="122">
        <f t="shared" si="12"/>
        <v>1.4159250412169899</v>
      </c>
      <c r="P27" s="122">
        <f t="shared" si="12"/>
        <v>1.4380526466993544</v>
      </c>
      <c r="Q27" s="122">
        <f t="shared" si="12"/>
        <v>1.4602221184322959</v>
      </c>
      <c r="R27" s="122">
        <f t="shared" si="12"/>
        <v>1.4824165883323608</v>
      </c>
      <c r="S27" s="161">
        <f t="shared" si="12"/>
        <v>1.5046181393680769</v>
      </c>
      <c r="T27" s="122">
        <f t="shared" si="12"/>
        <v>1.5268077573797612</v>
      </c>
      <c r="U27" s="122">
        <f t="shared" si="12"/>
        <v>1.5489652809263275</v>
      </c>
      <c r="V27" s="122">
        <f t="shared" si="12"/>
        <v>1.5710693490828365</v>
      </c>
      <c r="W27" s="122">
        <f t="shared" si="12"/>
        <v>1.5930973471097434</v>
      </c>
      <c r="X27" s="122">
        <f t="shared" si="12"/>
        <v>1.6150253499118112</v>
      </c>
      <c r="Y27" s="122">
        <f t="shared" si="12"/>
        <v>1.6368280632016028</v>
      </c>
      <c r="Z27" s="122">
        <f t="shared" si="12"/>
        <v>1.6584787622793096</v>
      </c>
      <c r="AA27" s="122">
        <f t="shared" si="12"/>
        <v>1.6799492283373771</v>
      </c>
      <c r="AB27" s="122">
        <f t="shared" si="12"/>
        <v>1.7012096821949745</v>
      </c>
      <c r="AC27" s="122">
        <f t="shared" si="12"/>
        <v>1.7222287153638358</v>
      </c>
      <c r="AD27" s="122">
        <f t="shared" si="12"/>
        <v>1.742973218343348</v>
      </c>
      <c r="AE27" s="122">
        <f t="shared" si="12"/>
        <v>1.7634083060389336</v>
      </c>
      <c r="AF27" s="122">
        <f t="shared" si="12"/>
        <v>1.783497240193894</v>
      </c>
      <c r="AG27" s="122">
        <f t="shared" si="12"/>
        <v>1.803201348720755</v>
      </c>
      <c r="AH27" s="122">
        <f t="shared" si="12"/>
        <v>1.8224799418139765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291516.46008180361</v>
      </c>
      <c r="F41" s="129">
        <f t="shared" ref="F41:S41" si="20">F25+F37</f>
        <v>322098.16458793846</v>
      </c>
      <c r="G41" s="129">
        <f t="shared" si="20"/>
        <v>352916.26465040003</v>
      </c>
      <c r="H41" s="129">
        <f t="shared" si="20"/>
        <v>383958.16131989285</v>
      </c>
      <c r="I41" s="129">
        <f t="shared" si="20"/>
        <v>415210.29256791039</v>
      </c>
      <c r="J41" s="129">
        <f t="shared" si="20"/>
        <v>446658.08652236313</v>
      </c>
      <c r="K41" s="129">
        <f t="shared" si="20"/>
        <v>478285.91273999005</v>
      </c>
      <c r="L41" s="129">
        <f t="shared" si="20"/>
        <v>510077.03143868083</v>
      </c>
      <c r="M41" s="129">
        <f t="shared" si="20"/>
        <v>542013.54060994112</v>
      </c>
      <c r="N41" s="129">
        <f t="shared" si="20"/>
        <v>574076.32092872798</v>
      </c>
      <c r="O41" s="129">
        <f t="shared" si="20"/>
        <v>606244.9783747762</v>
      </c>
      <c r="P41" s="129">
        <f t="shared" si="20"/>
        <v>638497.78447630419</v>
      </c>
      <c r="Q41" s="129">
        <f t="shared" si="20"/>
        <v>670811.61408365774</v>
      </c>
      <c r="R41" s="129">
        <f t="shared" si="20"/>
        <v>703161.88057695306</v>
      </c>
      <c r="S41" s="130">
        <f t="shared" si="20"/>
        <v>735522.46840824024</v>
      </c>
      <c r="T41" s="130">
        <f t="shared" ref="T41:AH41" si="21">T25+T37</f>
        <v>767865.66287490842</v>
      </c>
      <c r="U41" s="130">
        <f t="shared" si="21"/>
        <v>800162.07701727957</v>
      </c>
      <c r="V41" s="130">
        <f t="shared" si="21"/>
        <v>832380.5755292417</v>
      </c>
      <c r="W41" s="130">
        <f t="shared" si="21"/>
        <v>864488.19556670613</v>
      </c>
      <c r="X41" s="130">
        <f t="shared" si="21"/>
        <v>896450.06433431967</v>
      </c>
      <c r="Y41" s="130">
        <f t="shared" si="21"/>
        <v>928229.31332641211</v>
      </c>
      <c r="Z41" s="130">
        <f t="shared" si="21"/>
        <v>959786.98909355956</v>
      </c>
      <c r="AA41" s="130">
        <f t="shared" si="21"/>
        <v>991081.96040133131</v>
      </c>
      <c r="AB41" s="130">
        <f t="shared" si="21"/>
        <v>1022070.8216428279</v>
      </c>
      <c r="AC41" s="130">
        <f t="shared" si="21"/>
        <v>1052707.7923614702</v>
      </c>
      <c r="AD41" s="130">
        <f t="shared" si="21"/>
        <v>1082944.6127351893</v>
      </c>
      <c r="AE41" s="130">
        <f t="shared" si="21"/>
        <v>1112730.4348675811</v>
      </c>
      <c r="AF41" s="130">
        <f t="shared" si="21"/>
        <v>1142011.7097259334</v>
      </c>
      <c r="AG41" s="130">
        <f t="shared" si="21"/>
        <v>1170732.0695600247</v>
      </c>
      <c r="AH41" s="130">
        <f t="shared" si="21"/>
        <v>1198832.2056294919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247788.99106953308</v>
      </c>
      <c r="F42" s="129">
        <f t="shared" ref="F42:S42" si="22">((F41*$C$42))</f>
        <v>273783.43989974767</v>
      </c>
      <c r="G42" s="129">
        <f t="shared" si="22"/>
        <v>299978.82495283999</v>
      </c>
      <c r="H42" s="129">
        <f t="shared" si="22"/>
        <v>326364.43712190894</v>
      </c>
      <c r="I42" s="129">
        <f t="shared" si="22"/>
        <v>352928.74868272385</v>
      </c>
      <c r="J42" s="129">
        <f t="shared" si="22"/>
        <v>379659.37354400865</v>
      </c>
      <c r="K42" s="129">
        <f t="shared" si="22"/>
        <v>406543.02582899155</v>
      </c>
      <c r="L42" s="129">
        <f t="shared" si="22"/>
        <v>433565.47672287869</v>
      </c>
      <c r="M42" s="129">
        <f t="shared" si="22"/>
        <v>460711.50951844995</v>
      </c>
      <c r="N42" s="129">
        <f t="shared" si="22"/>
        <v>487964.87278941879</v>
      </c>
      <c r="O42" s="129">
        <f t="shared" si="22"/>
        <v>515308.23161855974</v>
      </c>
      <c r="P42" s="129">
        <f t="shared" si="22"/>
        <v>542723.11680485855</v>
      </c>
      <c r="Q42" s="129">
        <f t="shared" si="22"/>
        <v>570189.87197110907</v>
      </c>
      <c r="R42" s="129">
        <f t="shared" si="22"/>
        <v>597687.59849041014</v>
      </c>
      <c r="S42" s="129">
        <f t="shared" si="22"/>
        <v>625194.09814700414</v>
      </c>
      <c r="T42" s="129">
        <f t="shared" ref="T42:AH42" si="23">((T41*$C$42))</f>
        <v>652685.81344367214</v>
      </c>
      <c r="U42" s="129">
        <f t="shared" si="23"/>
        <v>680137.7654646876</v>
      </c>
      <c r="V42" s="129">
        <f t="shared" si="23"/>
        <v>707523.48919985548</v>
      </c>
      <c r="W42" s="129">
        <f t="shared" si="23"/>
        <v>734814.96623170015</v>
      </c>
      <c r="X42" s="129">
        <f t="shared" si="23"/>
        <v>761982.55468417169</v>
      </c>
      <c r="Y42" s="129">
        <f t="shared" si="23"/>
        <v>788994.91632745031</v>
      </c>
      <c r="Z42" s="129">
        <f t="shared" si="23"/>
        <v>815818.94072952564</v>
      </c>
      <c r="AA42" s="129">
        <f t="shared" si="23"/>
        <v>842419.66634113155</v>
      </c>
      <c r="AB42" s="129">
        <f t="shared" si="23"/>
        <v>868760.19839640369</v>
      </c>
      <c r="AC42" s="129">
        <f t="shared" si="23"/>
        <v>894801.62350724963</v>
      </c>
      <c r="AD42" s="129">
        <f t="shared" si="23"/>
        <v>920502.92082491086</v>
      </c>
      <c r="AE42" s="129">
        <f t="shared" si="23"/>
        <v>945820.86963744392</v>
      </c>
      <c r="AF42" s="129">
        <f t="shared" si="23"/>
        <v>970709.95326704334</v>
      </c>
      <c r="AG42" s="129">
        <f t="shared" si="23"/>
        <v>995122.25912602094</v>
      </c>
      <c r="AH42" s="129">
        <f t="shared" si="23"/>
        <v>1019007.3747850681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43727.469012270551</v>
      </c>
      <c r="F43" s="108">
        <f t="shared" ref="F43:S43" si="24">$C$43*(F41)</f>
        <v>48314.724688190778</v>
      </c>
      <c r="G43" s="108">
        <f t="shared" si="24"/>
        <v>52937.43969756001</v>
      </c>
      <c r="H43" s="108">
        <f t="shared" si="24"/>
        <v>57593.724197983938</v>
      </c>
      <c r="I43" s="108">
        <f t="shared" si="24"/>
        <v>62281.543885186569</v>
      </c>
      <c r="J43" s="108">
        <f t="shared" si="24"/>
        <v>66998.712978354481</v>
      </c>
      <c r="K43" s="108">
        <f t="shared" si="24"/>
        <v>71742.886910998524</v>
      </c>
      <c r="L43" s="108">
        <f t="shared" si="24"/>
        <v>76511.554715802136</v>
      </c>
      <c r="M43" s="108">
        <f t="shared" si="24"/>
        <v>81302.031091491182</v>
      </c>
      <c r="N43" s="108">
        <f t="shared" si="24"/>
        <v>86111.448139309214</v>
      </c>
      <c r="O43" s="108">
        <f t="shared" si="24"/>
        <v>90936.746756216438</v>
      </c>
      <c r="P43" s="108">
        <f t="shared" si="24"/>
        <v>95774.667671445641</v>
      </c>
      <c r="Q43" s="108">
        <f t="shared" si="24"/>
        <v>100621.74211254867</v>
      </c>
      <c r="R43" s="108">
        <f t="shared" si="24"/>
        <v>105474.28208654297</v>
      </c>
      <c r="S43" s="108">
        <f t="shared" si="24"/>
        <v>110328.37026123605</v>
      </c>
      <c r="T43" s="108">
        <f t="shared" ref="T43:AH43" si="25">$C$43*(T41)</f>
        <v>115179.84943123627</v>
      </c>
      <c r="U43" s="108">
        <f t="shared" si="25"/>
        <v>120024.31155259196</v>
      </c>
      <c r="V43" s="108">
        <f t="shared" si="25"/>
        <v>124857.08632938628</v>
      </c>
      <c r="W43" s="108">
        <f t="shared" si="25"/>
        <v>129673.22933500593</v>
      </c>
      <c r="X43" s="108">
        <f t="shared" si="25"/>
        <v>134467.50965014796</v>
      </c>
      <c r="Y43" s="108">
        <f t="shared" si="25"/>
        <v>139234.39699896183</v>
      </c>
      <c r="Z43" s="108">
        <f t="shared" si="25"/>
        <v>143968.04836403395</v>
      </c>
      <c r="AA43" s="108">
        <f t="shared" si="25"/>
        <v>148662.29406019973</v>
      </c>
      <c r="AB43" s="108">
        <f t="shared" si="25"/>
        <v>153310.62324642422</v>
      </c>
      <c r="AC43" s="108">
        <f t="shared" si="25"/>
        <v>157906.16885422054</v>
      </c>
      <c r="AD43" s="108">
        <f t="shared" si="25"/>
        <v>162441.6919102784</v>
      </c>
      <c r="AE43" s="108">
        <f t="shared" si="25"/>
        <v>166909.5652301372</v>
      </c>
      <c r="AF43" s="108">
        <f t="shared" si="25"/>
        <v>171301.75645889004</v>
      </c>
      <c r="AG43" s="108">
        <f t="shared" si="25"/>
        <v>175609.81043400371</v>
      </c>
      <c r="AH43" s="108">
        <f t="shared" si="25"/>
        <v>179824.83084442382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3.6768441449185228E-3</v>
      </c>
      <c r="F47" s="142">
        <f>F41/GapCalc!$H$33</f>
        <v>4.0625656274154527E-3</v>
      </c>
      <c r="G47" s="142">
        <f>G41/GapCalc!$H$33</f>
        <v>4.4512687241132429E-3</v>
      </c>
      <c r="H47" s="142">
        <f>H41/GapCalc!$H$33</f>
        <v>4.8427945267535549E-3</v>
      </c>
      <c r="I47" s="142">
        <f>I41/GapCalc!$H$33</f>
        <v>5.2369719799349405E-3</v>
      </c>
      <c r="J47" s="142">
        <f>J41/GapCalc!$H$33</f>
        <v>5.6336172912823225E-3</v>
      </c>
      <c r="K47" s="142">
        <f>K41/GapCalc!$H$33</f>
        <v>6.0325333168547695E-3</v>
      </c>
      <c r="L47" s="142">
        <f>L41/GapCalc!$H$33</f>
        <v>6.433508920822003E-3</v>
      </c>
      <c r="M47" s="142">
        <f>M41/GapCalc!$H$33</f>
        <v>6.8363183084035268E-3</v>
      </c>
      <c r="N47" s="142">
        <f>N41/GapCalc!$H$33</f>
        <v>7.2407203310263964E-3</v>
      </c>
      <c r="O47" s="142">
        <f>O41/GapCalc!$H$33</f>
        <v>7.6464577626184282E-3</v>
      </c>
      <c r="P47" s="142">
        <f>P41/GapCalc!$H$33</f>
        <v>8.0532565459129225E-3</v>
      </c>
      <c r="Q47" s="142">
        <f>Q41/GapCalc!$H$33</f>
        <v>8.4608250075989353E-3</v>
      </c>
      <c r="R47" s="142">
        <f>R41/GapCalc!$H$33</f>
        <v>8.8688530411070547E-3</v>
      </c>
      <c r="S47" s="142">
        <f>S41/GapCalc!$H$33</f>
        <v>9.2770112557759663E-3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3.1253175231807447E-3</v>
      </c>
      <c r="F48" s="142">
        <f>F43/GapCalc!$H$32</f>
        <v>3.4531807833031347E-3</v>
      </c>
      <c r="G48" s="142">
        <f>G43/GapCalc!$H$32</f>
        <v>3.7835784154962569E-3</v>
      </c>
      <c r="H48" s="142">
        <f>H43/GapCalc!$H$32</f>
        <v>4.1163753477405215E-3</v>
      </c>
      <c r="I48" s="142">
        <f>I43/GapCalc!$H$32</f>
        <v>4.4514261829446998E-3</v>
      </c>
      <c r="J48" s="142">
        <f>J43/GapCalc!$H$32</f>
        <v>4.7885746975899748E-3</v>
      </c>
      <c r="K48" s="142">
        <f>K43/GapCalc!$H$32</f>
        <v>5.127653319326555E-3</v>
      </c>
      <c r="L48" s="142">
        <f>L43/GapCalc!$H$32</f>
        <v>5.4684825826987029E-3</v>
      </c>
      <c r="M48" s="142">
        <f>M43/GapCalc!$H$32</f>
        <v>5.810870562142998E-3</v>
      </c>
      <c r="N48" s="142">
        <f>N43/GapCalc!$H$32</f>
        <v>6.1546122813724378E-3</v>
      </c>
      <c r="O48" s="142">
        <f>O43/GapCalc!$H$32</f>
        <v>6.4994890982256635E-3</v>
      </c>
      <c r="P48" s="142">
        <f>P43/GapCalc!$H$32</f>
        <v>6.845268064025984E-3</v>
      </c>
      <c r="Q48" s="142">
        <f>Q43/GapCalc!$H$32</f>
        <v>7.1917012564590944E-3</v>
      </c>
      <c r="R48" s="142">
        <f>R43/GapCalc!$H$32</f>
        <v>7.5385250849409969E-3</v>
      </c>
      <c r="S48" s="142">
        <f>S43/GapCalc!$H$32</f>
        <v>7.8854595674095716E-3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7196011.0652911933</v>
      </c>
      <c r="D66" s="1544"/>
      <c r="E66" s="1564" t="s">
        <v>285</v>
      </c>
      <c r="G66" s="1520" t="s">
        <v>1073</v>
      </c>
      <c r="H66" s="1565">
        <f>H70/1.63</f>
        <v>1269884.3056396225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2287046.841099754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403596.50137054489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9442451.1953248903</v>
      </c>
      <c r="D69" s="1546">
        <v>0.9</v>
      </c>
      <c r="G69" s="1521" t="s">
        <v>1075</v>
      </c>
      <c r="H69" s="1568">
        <f>'Debt Calc'!E59*C43</f>
        <v>1666314.9168220398</v>
      </c>
      <c r="I69" s="1546">
        <v>0.9</v>
      </c>
    </row>
    <row r="70" spans="2:10">
      <c r="B70" s="1523" t="s">
        <v>1042</v>
      </c>
      <c r="C70" s="1577">
        <f>C67+C68+C69</f>
        <v>11729498.036424644</v>
      </c>
      <c r="D70" s="1545" t="s">
        <v>68</v>
      </c>
      <c r="G70" s="1523" t="s">
        <v>1042</v>
      </c>
      <c r="H70" s="1577">
        <f>H67+H68+H69</f>
        <v>2069911.4181925845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79284421.256931871</v>
      </c>
      <c r="D74" s="1549"/>
      <c r="F74" s="1559"/>
      <c r="G74" s="1578" t="s">
        <v>1082</v>
      </c>
      <c r="H74" s="1581">
        <f>GapCalc!H32</f>
        <v>13991368.457105625</v>
      </c>
      <c r="I74" s="1549"/>
    </row>
    <row r="75" spans="2:10">
      <c r="B75" s="70" t="s">
        <v>1081</v>
      </c>
      <c r="C75" s="1579">
        <f>(C70-C74)/C74</f>
        <v>-0.85205797241789005</v>
      </c>
      <c r="G75" s="70" t="s">
        <v>1081</v>
      </c>
      <c r="H75" s="1579">
        <f>(H70-H74)/H74</f>
        <v>-0.85205797241789005</v>
      </c>
    </row>
    <row r="76" spans="2:10">
      <c r="B76" s="70" t="s">
        <v>1045</v>
      </c>
      <c r="C76" s="1579">
        <f>C75/7</f>
        <v>-0.12172256748827001</v>
      </c>
      <c r="G76" s="70" t="s">
        <v>1045</v>
      </c>
      <c r="H76" s="1579">
        <f>H75/7</f>
        <v>-0.12172256748827001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2038493.7222947231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3669288.7001305018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3669288.7001305018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10432153.501970097</v>
      </c>
      <c r="D93" s="1544"/>
      <c r="E93" s="1564" t="s">
        <v>288</v>
      </c>
      <c r="G93" s="1520" t="s">
        <v>1073</v>
      </c>
      <c r="H93" s="1565">
        <f>H97/1.63</f>
        <v>1419531.5657295627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3669288.7001305018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647521.53531714738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13335121.508080754</v>
      </c>
      <c r="D96" s="1546">
        <v>0.9</v>
      </c>
      <c r="G96" s="1521" t="s">
        <v>1075</v>
      </c>
      <c r="H96" s="1568">
        <f>'Debt Calc'!E59*C43</f>
        <v>1666314.9168220398</v>
      </c>
      <c r="I96" s="1546">
        <v>0.9</v>
      </c>
    </row>
    <row r="97" spans="2:9">
      <c r="B97" s="1523" t="s">
        <v>1042</v>
      </c>
      <c r="C97" s="1577">
        <f>C94+C95+C96</f>
        <v>17004410.208211258</v>
      </c>
      <c r="D97" s="1545" t="s">
        <v>68</v>
      </c>
      <c r="G97" s="1523" t="s">
        <v>1042</v>
      </c>
      <c r="H97" s="1577">
        <f>H94+H95+H96</f>
        <v>2313836.4521391871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79284421.256931871</v>
      </c>
      <c r="D101" s="1549"/>
      <c r="G101" s="1578" t="s">
        <v>1082</v>
      </c>
      <c r="H101" s="1581">
        <f>GapCalc!H32</f>
        <v>13991368.457105625</v>
      </c>
      <c r="I101" s="1549"/>
    </row>
    <row r="102" spans="2:9">
      <c r="B102" s="70" t="s">
        <v>1081</v>
      </c>
      <c r="C102" s="1579">
        <f>(C97-C101)/C101</f>
        <v>-0.78552646360239964</v>
      </c>
      <c r="G102" s="70" t="s">
        <v>1081</v>
      </c>
      <c r="H102" s="1579">
        <f>(H97-H101)/H101</f>
        <v>-0.83462400699167583</v>
      </c>
    </row>
    <row r="103" spans="2:9">
      <c r="B103" s="70" t="s">
        <v>1045</v>
      </c>
      <c r="C103" s="1579">
        <f>C102/10</f>
        <v>-7.8552646360239967E-2</v>
      </c>
      <c r="G103" s="70" t="s">
        <v>1045</v>
      </c>
      <c r="H103" s="1579">
        <f>H102/10</f>
        <v>-8.3462400699167577E-2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176760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35352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212112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212112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212112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126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126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1457582.3004090188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20996430.249037862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20996400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6420597.9949376583</v>
      </c>
    </row>
    <row r="15" spans="2:36">
      <c r="B15" s="556"/>
      <c r="C15" s="560" t="s">
        <v>634</v>
      </c>
      <c r="H15" s="561">
        <f>12*PMT(Data!C24/12,Data!C29*12,-'Debt Calc'!H14)</f>
        <v>1457580.2005062345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11151321.53854033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11151321.53854033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20996400</v>
      </c>
      <c r="E21" s="561">
        <f>$H$15</f>
        <v>1457580.2005062345</v>
      </c>
      <c r="F21" s="561">
        <f>E21-G21</f>
        <v>1.862645149230957E-9</v>
      </c>
      <c r="G21" s="561">
        <f>D21-H21</f>
        <v>1457580.2005062327</v>
      </c>
      <c r="H21" s="561">
        <f>D21-E21</f>
        <v>19538819.799493767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19538819.799493767</v>
      </c>
      <c r="E22" s="561">
        <f t="shared" ref="E22:E50" si="1">$H$15</f>
        <v>1457580.2005062345</v>
      </c>
      <c r="F22" s="561">
        <f t="shared" ref="F22:F50" si="2">E22-G22</f>
        <v>1.862645149230957E-9</v>
      </c>
      <c r="G22" s="561">
        <f t="shared" ref="G22:G50" si="3">D22-H22</f>
        <v>1457580.2005062327</v>
      </c>
      <c r="H22" s="561">
        <f t="shared" ref="H22:H39" si="4">D22-E22</f>
        <v>18081239.598987535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18081239.598987535</v>
      </c>
      <c r="E23" s="561">
        <f t="shared" si="1"/>
        <v>1457580.2005062345</v>
      </c>
      <c r="F23" s="561">
        <f t="shared" si="2"/>
        <v>0</v>
      </c>
      <c r="G23" s="561">
        <f t="shared" si="3"/>
        <v>1457580.2005062345</v>
      </c>
      <c r="H23" s="561">
        <f t="shared" si="4"/>
        <v>16623659.3984813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16623659.3984813</v>
      </c>
      <c r="E24" s="561">
        <f t="shared" si="1"/>
        <v>1457580.2005062345</v>
      </c>
      <c r="F24" s="561">
        <f t="shared" si="2"/>
        <v>0</v>
      </c>
      <c r="G24" s="561">
        <f t="shared" si="3"/>
        <v>1457580.2005062345</v>
      </c>
      <c r="H24" s="561">
        <f t="shared" si="4"/>
        <v>15166079.197975066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15166079.197975066</v>
      </c>
      <c r="E25" s="561">
        <f t="shared" si="1"/>
        <v>1457580.2005062345</v>
      </c>
      <c r="F25" s="561">
        <f t="shared" si="2"/>
        <v>0</v>
      </c>
      <c r="G25" s="561">
        <f t="shared" si="3"/>
        <v>1457580.2005062345</v>
      </c>
      <c r="H25" s="561">
        <f t="shared" si="4"/>
        <v>13708498.997468831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13708498.997468831</v>
      </c>
      <c r="E26" s="561">
        <f t="shared" si="1"/>
        <v>1457580.2005062345</v>
      </c>
      <c r="F26" s="561">
        <f t="shared" si="2"/>
        <v>0</v>
      </c>
      <c r="G26" s="561">
        <f t="shared" si="3"/>
        <v>1457580.2005062345</v>
      </c>
      <c r="H26" s="561">
        <f t="shared" si="4"/>
        <v>12250918.796962596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12250918.796962596</v>
      </c>
      <c r="E27" s="561">
        <f t="shared" si="1"/>
        <v>1457580.2005062345</v>
      </c>
      <c r="F27" s="561">
        <f t="shared" si="2"/>
        <v>0</v>
      </c>
      <c r="G27" s="561">
        <f t="shared" si="3"/>
        <v>1457580.2005062345</v>
      </c>
      <c r="H27" s="561">
        <f t="shared" si="4"/>
        <v>10793338.596456362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10793338.596456362</v>
      </c>
      <c r="E28" s="561">
        <f t="shared" si="1"/>
        <v>1457580.2005062345</v>
      </c>
      <c r="F28" s="561">
        <f t="shared" si="2"/>
        <v>0</v>
      </c>
      <c r="G28" s="561">
        <f t="shared" si="3"/>
        <v>1457580.2005062345</v>
      </c>
      <c r="H28" s="561">
        <f t="shared" si="4"/>
        <v>9335758.3959501274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9335758.3959501274</v>
      </c>
      <c r="E29" s="561">
        <f t="shared" si="1"/>
        <v>1457580.2005062345</v>
      </c>
      <c r="F29" s="561">
        <f t="shared" si="2"/>
        <v>0</v>
      </c>
      <c r="G29" s="561">
        <f t="shared" si="3"/>
        <v>1457580.2005062345</v>
      </c>
      <c r="H29" s="561">
        <f t="shared" si="4"/>
        <v>7878178.1954438929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7878178.1954438929</v>
      </c>
      <c r="E30" s="561">
        <f t="shared" si="1"/>
        <v>1457580.2005062345</v>
      </c>
      <c r="F30" s="561">
        <f t="shared" si="2"/>
        <v>0</v>
      </c>
      <c r="G30" s="561">
        <f t="shared" si="3"/>
        <v>1457580.2005062345</v>
      </c>
      <c r="H30" s="561">
        <f>D30-E30</f>
        <v>6420597.9949376583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6420597.9949376583</v>
      </c>
      <c r="E31" s="561">
        <f t="shared" si="1"/>
        <v>1457580.2005062345</v>
      </c>
      <c r="F31" s="561">
        <f t="shared" si="2"/>
        <v>0</v>
      </c>
      <c r="G31" s="561">
        <f t="shared" si="3"/>
        <v>1457580.2005062345</v>
      </c>
      <c r="H31" s="561">
        <f t="shared" si="4"/>
        <v>4963017.7944314238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4963017.7944314238</v>
      </c>
      <c r="E32" s="561">
        <f t="shared" si="1"/>
        <v>1457580.2005062345</v>
      </c>
      <c r="F32" s="561">
        <f t="shared" si="2"/>
        <v>0</v>
      </c>
      <c r="G32" s="561">
        <f t="shared" si="3"/>
        <v>1457580.2005062345</v>
      </c>
      <c r="H32" s="561">
        <f t="shared" si="4"/>
        <v>3505437.5939251892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3505437.5939251892</v>
      </c>
      <c r="E33" s="561">
        <f t="shared" si="1"/>
        <v>1457580.2005062345</v>
      </c>
      <c r="F33" s="561">
        <f t="shared" si="2"/>
        <v>0</v>
      </c>
      <c r="G33" s="561">
        <f t="shared" si="3"/>
        <v>1457580.2005062345</v>
      </c>
      <c r="H33" s="561">
        <f t="shared" si="4"/>
        <v>2047857.3934189547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2047857.3934189547</v>
      </c>
      <c r="E34" s="561">
        <f t="shared" si="1"/>
        <v>1457580.2005062345</v>
      </c>
      <c r="F34" s="561">
        <f t="shared" si="2"/>
        <v>0</v>
      </c>
      <c r="G34" s="561">
        <f t="shared" si="3"/>
        <v>1457580.2005062345</v>
      </c>
      <c r="H34" s="561">
        <f t="shared" si="4"/>
        <v>590277.19291272014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590277.19291272014</v>
      </c>
      <c r="E35" s="561">
        <f t="shared" si="1"/>
        <v>1457580.2005062345</v>
      </c>
      <c r="F35" s="561">
        <f t="shared" si="2"/>
        <v>0</v>
      </c>
      <c r="G35" s="561">
        <f t="shared" si="3"/>
        <v>1457580.2005062345</v>
      </c>
      <c r="H35" s="561">
        <f t="shared" si="4"/>
        <v>-867303.0075935144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-867303.0075935144</v>
      </c>
      <c r="E36" s="561">
        <f t="shared" si="1"/>
        <v>1457580.2005062345</v>
      </c>
      <c r="F36" s="561">
        <f t="shared" si="2"/>
        <v>0</v>
      </c>
      <c r="G36" s="561">
        <f t="shared" si="3"/>
        <v>1457580.2005062345</v>
      </c>
      <c r="H36" s="561">
        <f t="shared" si="4"/>
        <v>-2324883.2080997489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-2324883.2080997489</v>
      </c>
      <c r="E37" s="561">
        <f t="shared" si="1"/>
        <v>1457580.2005062345</v>
      </c>
      <c r="F37" s="561">
        <f t="shared" si="2"/>
        <v>0</v>
      </c>
      <c r="G37" s="561">
        <f t="shared" si="3"/>
        <v>1457580.2005062345</v>
      </c>
      <c r="H37" s="561">
        <f t="shared" si="4"/>
        <v>-3782463.4086059835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-3782463.4086059835</v>
      </c>
      <c r="E38" s="561">
        <f t="shared" si="1"/>
        <v>1457580.2005062345</v>
      </c>
      <c r="F38" s="561">
        <f t="shared" si="2"/>
        <v>0</v>
      </c>
      <c r="G38" s="561">
        <f t="shared" si="3"/>
        <v>1457580.2005062345</v>
      </c>
      <c r="H38" s="561">
        <f>D38-E38</f>
        <v>-5240043.609112218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-5240043.609112218</v>
      </c>
      <c r="E39" s="561">
        <f t="shared" si="1"/>
        <v>1457580.2005062345</v>
      </c>
      <c r="F39" s="561">
        <f t="shared" si="2"/>
        <v>0</v>
      </c>
      <c r="G39" s="561">
        <f t="shared" si="3"/>
        <v>1457580.2005062345</v>
      </c>
      <c r="H39" s="561">
        <f t="shared" si="4"/>
        <v>-6697623.8096184526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-6697623.8096184526</v>
      </c>
      <c r="E40" s="561">
        <f t="shared" si="1"/>
        <v>1457580.2005062345</v>
      </c>
      <c r="F40" s="561">
        <f t="shared" si="2"/>
        <v>8155204.0101246871</v>
      </c>
      <c r="G40" s="561">
        <f t="shared" si="3"/>
        <v>-6697623.8096184526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1457580.2005062345</v>
      </c>
      <c r="F41" s="561">
        <f t="shared" si="2"/>
        <v>1457580.2005062345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1457580.2005062345</v>
      </c>
      <c r="F42" s="561">
        <f t="shared" si="2"/>
        <v>1457580.2005062345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1457580.2005062345</v>
      </c>
      <c r="F43" s="561">
        <f t="shared" si="2"/>
        <v>1457580.2005062345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1457580.2005062345</v>
      </c>
      <c r="F44" s="561">
        <f t="shared" si="2"/>
        <v>1457580.2005062345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1457580.2005062345</v>
      </c>
      <c r="F45" s="561">
        <f t="shared" si="2"/>
        <v>1457580.2005062345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1457580.2005062345</v>
      </c>
      <c r="F46" s="561">
        <f t="shared" si="2"/>
        <v>1457580.2005062345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1457580.2005062345</v>
      </c>
      <c r="F47" s="561">
        <f t="shared" si="2"/>
        <v>1457580.2005062345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1457580.2005062345</v>
      </c>
      <c r="F48" s="561">
        <f t="shared" si="2"/>
        <v>1457580.2005062345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1457580.2005062345</v>
      </c>
      <c r="F49" s="561">
        <f t="shared" si="2"/>
        <v>1457580.2005062345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1457580.2005062345</v>
      </c>
      <c r="F50" s="561">
        <f t="shared" si="2"/>
        <v>1457580.2005062345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1089</v>
      </c>
      <c r="H54" s="1659"/>
    </row>
    <row r="55" spans="2:28">
      <c r="D55" s="1655" t="s">
        <v>1064</v>
      </c>
      <c r="E55" s="1664">
        <f>'Cash Flow'!K15/0.05</f>
        <v>77547251.578510031</v>
      </c>
      <c r="F55" s="561"/>
      <c r="G55" s="1663" t="s">
        <v>1064</v>
      </c>
      <c r="H55" s="1667">
        <f>'Cash Flow'!N15/0.05</f>
        <v>83509908.219413877</v>
      </c>
    </row>
    <row r="56" spans="2:28">
      <c r="D56" s="1653" t="s">
        <v>1065</v>
      </c>
      <c r="E56" s="1665">
        <f>'Cash Flow'!K21/1.2</f>
        <v>1613223.5109575074</v>
      </c>
      <c r="F56" s="561"/>
      <c r="G56" s="1661" t="s">
        <v>1065</v>
      </c>
      <c r="H56" s="1668">
        <f>'Cash Flow'!N21/1.2</f>
        <v>1693048.851114789</v>
      </c>
    </row>
    <row r="57" spans="2:28">
      <c r="D57" s="1653" t="s">
        <v>1066</v>
      </c>
      <c r="E57" s="1665">
        <f>E55*0.6</f>
        <v>46528350.947106019</v>
      </c>
      <c r="F57" s="561"/>
      <c r="G57" s="1661" t="s">
        <v>1066</v>
      </c>
      <c r="H57" s="1668">
        <f>H55*0.6</f>
        <v>50105944.931648321</v>
      </c>
    </row>
    <row r="58" spans="2:28">
      <c r="D58" s="1653" t="s">
        <v>1067</v>
      </c>
      <c r="E58" s="1665">
        <f>-PV(6.5%,34,E56)</f>
        <v>21902104.708603293</v>
      </c>
      <c r="F58" s="561"/>
      <c r="G58" s="1661" t="s">
        <v>1067</v>
      </c>
      <c r="H58" s="1668">
        <f>-PV(6.5%,30,H56)</f>
        <v>22108976.239738546</v>
      </c>
    </row>
    <row r="59" spans="2:28">
      <c r="D59" s="1652" t="s">
        <v>1068</v>
      </c>
      <c r="E59" s="1665">
        <f>E58-H27</f>
        <v>11108766.112146931</v>
      </c>
      <c r="F59" s="561"/>
      <c r="G59" s="1660" t="s">
        <v>1068</v>
      </c>
      <c r="H59" s="1668">
        <f>H58-H30</f>
        <v>15688378.244800888</v>
      </c>
    </row>
    <row r="60" spans="2:28" ht="13.5" thickBot="1">
      <c r="D60" s="1654" t="s">
        <v>1069</v>
      </c>
      <c r="E60" s="1666">
        <f>E59*GapCalc!I33</f>
        <v>9442451.1953248903</v>
      </c>
      <c r="F60" s="561"/>
      <c r="G60" s="1662" t="s">
        <v>1069</v>
      </c>
      <c r="H60" s="1669">
        <f>H59*GapCalc!I33</f>
        <v>13335121.508080754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70793329.5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849093.77815640997</v>
      </c>
      <c r="D7" s="1409">
        <f>(1-'Rental Income'!O19)</f>
        <v>7.9365079365079083E-3</v>
      </c>
    </row>
    <row r="8" spans="1:5">
      <c r="A8" s="1410" t="s">
        <v>980</v>
      </c>
      <c r="B8" s="1417">
        <f>B7*D7</f>
        <v>0</v>
      </c>
      <c r="C8" s="1417">
        <f>C7*D7</f>
        <v>6738.839509177833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6738.839509177833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3513828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-175970.40000000002</v>
      </c>
      <c r="E18" s="50"/>
      <c r="F18" s="55">
        <v>0.05</v>
      </c>
    </row>
    <row r="19" spans="1:25">
      <c r="A19" s="40" t="s">
        <v>165</v>
      </c>
      <c r="D19" s="57">
        <f>SUM(D15:D18)</f>
        <v>3343437.6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131433</v>
      </c>
      <c r="E22" s="48">
        <v>1043</v>
      </c>
      <c r="F22" s="453" t="s">
        <v>172</v>
      </c>
      <c r="N22" s="428">
        <f>D22*0.8</f>
        <v>105146.40000000001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174</v>
      </c>
      <c r="D23" s="48">
        <f>(E23*$D$10-20)/2</f>
        <v>168074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23466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121351.36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183</v>
      </c>
      <c r="D26" s="51">
        <f>SUM(D22:D25)</f>
        <v>444324.36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46872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192</v>
      </c>
      <c r="D31" s="48">
        <f>E31*$D$10</f>
        <v>41328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194</v>
      </c>
      <c r="C32" s="43"/>
      <c r="D32" s="50">
        <f>E32*$D$10</f>
        <v>7560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202</v>
      </c>
      <c r="D37" s="48">
        <f>E37*$D$10</f>
        <v>199080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106092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438732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92988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66982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99792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34272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214200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391164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6738.839509177833</v>
      </c>
      <c r="Y56" s="1309">
        <f>X56/'Rental Income'!D15</f>
        <v>26.741426623721559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436.27870666666666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211680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158.73015873015873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79322.972842511168</v>
      </c>
    </row>
    <row r="65" spans="1:25">
      <c r="B65" t="s">
        <v>250</v>
      </c>
      <c r="D65" s="48">
        <f>E65*$D$10</f>
        <v>37800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301480</v>
      </c>
      <c r="E67" s="48">
        <f>SUM(E62:E66)</f>
        <v>1333.7301587301588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75600</v>
      </c>
      <c r="E69" s="426">
        <v>300</v>
      </c>
    </row>
    <row r="70" spans="1:25">
      <c r="V70" s="40" t="s">
        <v>256</v>
      </c>
      <c r="X70" s="1307">
        <f>SUM(X68,X64,X54,X39,X31)</f>
        <v>526565.95284251112</v>
      </c>
      <c r="Y70" s="1307">
        <f>X70/D10</f>
        <v>2089.5474319147265</v>
      </c>
    </row>
    <row r="71" spans="1:25">
      <c r="A71" s="40" t="s">
        <v>257</v>
      </c>
      <c r="D71" s="48">
        <f>E71*$D$10</f>
        <v>126000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-3910.4525680852735</v>
      </c>
    </row>
    <row r="75" spans="1:25">
      <c r="A75" s="44" t="s">
        <v>260</v>
      </c>
      <c r="B75" s="45"/>
      <c r="C75" s="45"/>
      <c r="D75" s="52">
        <f>D19-D73</f>
        <v>1175265.0059200004</v>
      </c>
      <c r="E75" s="52">
        <f>D75/D10</f>
        <v>4663.7500234920653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212112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88641661.874999985</v>
      </c>
      <c r="C7" s="465">
        <f>'Dev Summary_5-20'!B8</f>
        <v>3190331</v>
      </c>
      <c r="D7" s="465">
        <f t="shared" ref="D7:D14" si="0">B7-C7</f>
        <v>85451330.874999985</v>
      </c>
      <c r="E7" s="477">
        <f t="shared" ref="E7:E15" si="1">D7/B7</f>
        <v>0.96400867343282759</v>
      </c>
      <c r="F7" s="477"/>
      <c r="G7" s="472" t="e">
        <f t="shared" ref="G7:G14" si="2">B7/$B$15</f>
        <v>#REF!</v>
      </c>
      <c r="I7" s="147">
        <f>B7/$H$4</f>
        <v>805833.28977272718</v>
      </c>
      <c r="J7" s="53">
        <f>B7/$H$5</f>
        <v>417.9002690795428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190295.77363126486</v>
      </c>
      <c r="C9" s="446">
        <f>'Dev Summary_5-20'!B10</f>
        <v>50000</v>
      </c>
      <c r="D9" s="446">
        <f t="shared" si="0"/>
        <v>140295.77363126486</v>
      </c>
      <c r="E9" s="477">
        <f t="shared" si="1"/>
        <v>0.73725112730624942</v>
      </c>
      <c r="F9" s="477"/>
      <c r="G9" s="473" t="e">
        <f t="shared" si="2"/>
        <v>#REF!</v>
      </c>
      <c r="I9" s="53">
        <f t="shared" si="3"/>
        <v>1729.9615784660441</v>
      </c>
      <c r="J9" s="53">
        <f t="shared" si="4"/>
        <v>0.89714760895783763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0.15086369465188201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657075</v>
      </c>
      <c r="C14" s="467">
        <f>'Dev Summary_5-20'!B14</f>
        <v>282276.62941911275</v>
      </c>
      <c r="D14" s="467">
        <f t="shared" si="0"/>
        <v>374798.37058088725</v>
      </c>
      <c r="E14" s="478">
        <f t="shared" si="1"/>
        <v>0.57040424697467906</v>
      </c>
      <c r="F14" s="478"/>
      <c r="G14" s="474" t="e">
        <f t="shared" si="2"/>
        <v>#REF!</v>
      </c>
      <c r="I14" s="53">
        <f t="shared" si="3"/>
        <v>5973.409090909091</v>
      </c>
      <c r="J14" s="53">
        <f t="shared" si="4"/>
        <v>3.097773817605793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20996430.249037862</v>
      </c>
      <c r="C21" s="48">
        <v>18731659</v>
      </c>
      <c r="D21" s="48">
        <f>B21-C21</f>
        <v>2264771.2490378618</v>
      </c>
      <c r="E21" s="55">
        <f>D21/B21</f>
        <v>0.1078645856545849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8126681.7982998732</v>
      </c>
      <c r="C26" s="48">
        <v>12677529</v>
      </c>
      <c r="D26" s="48">
        <f t="shared" si="5"/>
        <v>-4550847.2017001268</v>
      </c>
      <c r="E26" s="55">
        <f t="shared" si="6"/>
        <v>-0.55998835867453034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97505828.062499985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88255.245256249997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79429.720730625006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706543.22743229161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97505828.062499985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22426.340454375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896654.53387354163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78004662.449999988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107062.23818749998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78004662.449999988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114149.73818749998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1061899.9424999999</v>
      </c>
      <c r="E10" s="748">
        <f>'PreDev Flow of Funds'!Y10+'PreDev Flow of Funds'!Y12</f>
        <v>1395966</v>
      </c>
      <c r="F10" s="748">
        <f>(D10-E10)/18</f>
        <v>-18559.225416666672</v>
      </c>
      <c r="G10" s="748">
        <f>$F$10</f>
        <v>-18559.225416666672</v>
      </c>
      <c r="H10" s="748">
        <f t="shared" ref="H10:W10" si="2">$F$10</f>
        <v>-18559.225416666672</v>
      </c>
      <c r="I10" s="748">
        <f t="shared" si="2"/>
        <v>-18559.225416666672</v>
      </c>
      <c r="J10" s="748">
        <f t="shared" si="2"/>
        <v>-18559.225416666672</v>
      </c>
      <c r="K10" s="748">
        <f t="shared" si="2"/>
        <v>-18559.225416666672</v>
      </c>
      <c r="L10" s="748">
        <f t="shared" si="2"/>
        <v>-18559.225416666672</v>
      </c>
      <c r="M10" s="748">
        <f t="shared" si="2"/>
        <v>-18559.225416666672</v>
      </c>
      <c r="N10" s="748">
        <f t="shared" si="2"/>
        <v>-18559.225416666672</v>
      </c>
      <c r="O10" s="748">
        <f t="shared" si="2"/>
        <v>-18559.225416666672</v>
      </c>
      <c r="P10" s="748">
        <f t="shared" si="2"/>
        <v>-18559.225416666672</v>
      </c>
      <c r="Q10" s="748">
        <f t="shared" si="2"/>
        <v>-18559.225416666672</v>
      </c>
      <c r="R10" s="748">
        <f t="shared" si="2"/>
        <v>-18559.225416666672</v>
      </c>
      <c r="S10" s="748">
        <f t="shared" si="2"/>
        <v>-18559.225416666672</v>
      </c>
      <c r="T10" s="748">
        <f t="shared" si="2"/>
        <v>-18559.225416666672</v>
      </c>
      <c r="U10" s="748">
        <f t="shared" si="2"/>
        <v>-18559.225416666672</v>
      </c>
      <c r="V10" s="748">
        <f t="shared" si="2"/>
        <v>-18559.225416666672</v>
      </c>
      <c r="W10" s="748">
        <f t="shared" si="2"/>
        <v>-18559.225416666672</v>
      </c>
      <c r="X10" s="748"/>
      <c r="Y10" s="748">
        <f>SUM(E10:W10)</f>
        <v>1061899.9425000013</v>
      </c>
    </row>
    <row r="11" spans="1:25" ht="15">
      <c r="A11" s="402"/>
      <c r="B11" s="403" t="s">
        <v>388</v>
      </c>
      <c r="C11" s="748"/>
      <c r="D11" s="748">
        <f>'Development Budget'!G41</f>
        <v>1061899.9424999999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88641661.874999985</v>
      </c>
      <c r="E13" s="748">
        <f>'PreDev Flow of Funds'!Y14</f>
        <v>69798.3</v>
      </c>
      <c r="F13" s="748">
        <f>(D13-E13)/18</f>
        <v>4920659.0874999994</v>
      </c>
      <c r="G13" s="748">
        <f>$F$13</f>
        <v>4920659.0874999994</v>
      </c>
      <c r="H13" s="748">
        <f t="shared" ref="H13:W13" si="5">$F$13</f>
        <v>4920659.0874999994</v>
      </c>
      <c r="I13" s="748">
        <f t="shared" si="5"/>
        <v>4920659.0874999994</v>
      </c>
      <c r="J13" s="748">
        <f t="shared" si="5"/>
        <v>4920659.0874999994</v>
      </c>
      <c r="K13" s="748">
        <f t="shared" si="5"/>
        <v>4920659.0874999994</v>
      </c>
      <c r="L13" s="748">
        <f t="shared" si="5"/>
        <v>4920659.0874999994</v>
      </c>
      <c r="M13" s="748">
        <f t="shared" si="5"/>
        <v>4920659.0874999994</v>
      </c>
      <c r="N13" s="748">
        <f t="shared" si="5"/>
        <v>4920659.0874999994</v>
      </c>
      <c r="O13" s="748">
        <f t="shared" si="5"/>
        <v>4920659.0874999994</v>
      </c>
      <c r="P13" s="748">
        <f t="shared" si="5"/>
        <v>4920659.0874999994</v>
      </c>
      <c r="Q13" s="748">
        <f t="shared" si="5"/>
        <v>4920659.0874999994</v>
      </c>
      <c r="R13" s="748">
        <f t="shared" si="5"/>
        <v>4920659.0874999994</v>
      </c>
      <c r="S13" s="748">
        <f t="shared" si="5"/>
        <v>4920659.0874999994</v>
      </c>
      <c r="T13" s="748">
        <f t="shared" si="5"/>
        <v>4920659.0874999994</v>
      </c>
      <c r="U13" s="748">
        <f t="shared" si="5"/>
        <v>4920659.0874999994</v>
      </c>
      <c r="V13" s="748">
        <f t="shared" si="5"/>
        <v>4920659.0874999994</v>
      </c>
      <c r="W13" s="748">
        <f t="shared" si="5"/>
        <v>4920659.0874999994</v>
      </c>
      <c r="X13" s="748"/>
      <c r="Y13" s="748">
        <f t="shared" si="3"/>
        <v>88641661.875000015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88641661.874999985</v>
      </c>
      <c r="E15" s="748">
        <f>'PreDev Flow of Funds'!Y16+'PreDev Flow of Funds'!Y17+'PreDev Flow of Funds'!Y19</f>
        <v>72500</v>
      </c>
      <c r="F15" s="748">
        <f>(D15-E15)/18</f>
        <v>4920508.993055555</v>
      </c>
      <c r="G15" s="748">
        <f>$F$15</f>
        <v>4920508.993055555</v>
      </c>
      <c r="H15" s="748">
        <f t="shared" ref="H15:W15" si="7">$F$15</f>
        <v>4920508.993055555</v>
      </c>
      <c r="I15" s="748">
        <f t="shared" si="7"/>
        <v>4920508.993055555</v>
      </c>
      <c r="J15" s="748">
        <f t="shared" si="7"/>
        <v>4920508.993055555</v>
      </c>
      <c r="K15" s="748">
        <f t="shared" si="7"/>
        <v>4920508.993055555</v>
      </c>
      <c r="L15" s="748">
        <f t="shared" si="7"/>
        <v>4920508.993055555</v>
      </c>
      <c r="M15" s="748">
        <f t="shared" si="7"/>
        <v>4920508.993055555</v>
      </c>
      <c r="N15" s="748">
        <f t="shared" si="7"/>
        <v>4920508.993055555</v>
      </c>
      <c r="O15" s="748">
        <f t="shared" si="7"/>
        <v>4920508.993055555</v>
      </c>
      <c r="P15" s="748">
        <f t="shared" si="7"/>
        <v>4920508.993055555</v>
      </c>
      <c r="Q15" s="748">
        <f t="shared" si="7"/>
        <v>4920508.993055555</v>
      </c>
      <c r="R15" s="748">
        <f t="shared" si="7"/>
        <v>4920508.993055555</v>
      </c>
      <c r="S15" s="748">
        <f t="shared" si="7"/>
        <v>4920508.993055555</v>
      </c>
      <c r="T15" s="748">
        <f t="shared" si="7"/>
        <v>4920508.993055555</v>
      </c>
      <c r="U15" s="748">
        <f t="shared" si="7"/>
        <v>4920508.993055555</v>
      </c>
      <c r="V15" s="748">
        <f t="shared" si="7"/>
        <v>4920508.993055555</v>
      </c>
      <c r="W15" s="748">
        <f t="shared" si="7"/>
        <v>4920508.993055555</v>
      </c>
      <c r="X15" s="748"/>
      <c r="Y15" s="748">
        <f t="shared" si="3"/>
        <v>88641661.87499997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70793329.5</v>
      </c>
      <c r="E33" s="748">
        <v>0</v>
      </c>
      <c r="F33" s="748">
        <f>D33</f>
        <v>70793329.5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70793329.5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221604.15468749998</v>
      </c>
      <c r="E43" s="748">
        <f>D43</f>
        <v>221604.15468749998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221604.15468749998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412604.15468749998</v>
      </c>
      <c r="E52" s="748">
        <f>D52</f>
        <v>412604.15468749998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412604.15468749998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657075</v>
      </c>
      <c r="E58" s="748">
        <f>'PreDev Flow of Funds'!Y46</f>
        <v>96238.814999999988</v>
      </c>
      <c r="F58" s="748">
        <f>(D58-E58)/18</f>
        <v>31157.565833333338</v>
      </c>
      <c r="G58" s="748">
        <f>$F$58</f>
        <v>31157.565833333338</v>
      </c>
      <c r="H58" s="748">
        <f t="shared" ref="H58:W58" si="18">$F$58</f>
        <v>31157.565833333338</v>
      </c>
      <c r="I58" s="748">
        <f t="shared" si="18"/>
        <v>31157.565833333338</v>
      </c>
      <c r="J58" s="748">
        <f t="shared" si="18"/>
        <v>31157.565833333338</v>
      </c>
      <c r="K58" s="748">
        <f t="shared" si="18"/>
        <v>31157.565833333338</v>
      </c>
      <c r="L58" s="748">
        <f t="shared" si="18"/>
        <v>31157.565833333338</v>
      </c>
      <c r="M58" s="748">
        <f t="shared" si="18"/>
        <v>31157.565833333338</v>
      </c>
      <c r="N58" s="748">
        <f t="shared" si="18"/>
        <v>31157.565833333338</v>
      </c>
      <c r="O58" s="748">
        <f t="shared" si="18"/>
        <v>31157.565833333338</v>
      </c>
      <c r="P58" s="748">
        <f t="shared" si="18"/>
        <v>31157.565833333338</v>
      </c>
      <c r="Q58" s="748">
        <f t="shared" si="18"/>
        <v>31157.565833333338</v>
      </c>
      <c r="R58" s="748">
        <f t="shared" si="18"/>
        <v>31157.565833333338</v>
      </c>
      <c r="S58" s="748">
        <f t="shared" si="18"/>
        <v>31157.565833333338</v>
      </c>
      <c r="T58" s="748">
        <f t="shared" si="18"/>
        <v>31157.565833333338</v>
      </c>
      <c r="U58" s="748">
        <f t="shared" si="18"/>
        <v>31157.565833333338</v>
      </c>
      <c r="V58" s="748">
        <f t="shared" si="18"/>
        <v>31157.565833333338</v>
      </c>
      <c r="W58" s="748">
        <f t="shared" si="18"/>
        <v>31157.565833333338</v>
      </c>
      <c r="X58" s="748"/>
      <c r="Y58" s="748">
        <f t="shared" si="3"/>
        <v>657075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190295.77363126486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15479361.384374997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75174308.904370353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-9792655.8511942495</v>
      </c>
      <c r="E87" s="749">
        <f>E80-E84-E85-E86-E88-E89-E90-E91</f>
        <v>638208.30937499553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15479361.384374997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-967710.44437499985</v>
      </c>
      <c r="K103" s="162">
        <f>J103+(C116*0.25)/2</f>
        <v>-1935420.8887499997</v>
      </c>
      <c r="L103" s="162">
        <f>K103+((C116-K103)/4)</f>
        <v>-3386986.5553124994</v>
      </c>
      <c r="M103" s="162">
        <f>L103+((C116-K103)/4)</f>
        <v>-4838552.2218749989</v>
      </c>
      <c r="N103" s="162">
        <f>M103+((C116-K103)/4)</f>
        <v>-6290117.8884374984</v>
      </c>
      <c r="O103" s="162">
        <f>N103+((C116-K103)/4)</f>
        <v>-7741683.5549999978</v>
      </c>
      <c r="P103" s="162">
        <f>O103</f>
        <v>-7741683.5549999978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9486304.5633333344</v>
      </c>
      <c r="K104" s="371">
        <f>((C117-1033493)/6)+J104</f>
        <v>18972609.126666669</v>
      </c>
      <c r="L104" s="371">
        <f>((C117-1033493)/6)+K104</f>
        <v>28458913.690000005</v>
      </c>
      <c r="M104" s="371">
        <f>((C117-1033493)/6)+L104</f>
        <v>37945218.253333338</v>
      </c>
      <c r="N104" s="371">
        <f>((C117-1033493)/6)+M104</f>
        <v>47431522.81666667</v>
      </c>
      <c r="O104" s="371">
        <f>((C117-1033493)/6)+N104</f>
        <v>56917827.380000003</v>
      </c>
      <c r="P104" s="371">
        <f>(286645+100000+646848)+O104</f>
        <v>57951320.380000003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8518594.1189583354</v>
      </c>
      <c r="K110" s="371">
        <f t="shared" ref="K110:P110" si="9">SUM(K103:K104)</f>
        <v>17037188.237916671</v>
      </c>
      <c r="L110" s="371">
        <f t="shared" si="9"/>
        <v>25071927.134687506</v>
      </c>
      <c r="M110" s="371">
        <f t="shared" si="9"/>
        <v>33106666.031458341</v>
      </c>
      <c r="N110" s="371">
        <f t="shared" si="9"/>
        <v>41141404.928229168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-7741683.5549999988</v>
      </c>
      <c r="D116" s="1773"/>
    </row>
    <row r="117" spans="2:19" ht="16.5" thickBot="1">
      <c r="B117" s="398" t="s">
        <v>602</v>
      </c>
      <c r="C117" s="1776">
        <f>C118-C114-C116-C115</f>
        <v>57951320.380000003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