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ADCD8250-1C59-40C6-8D1D-74C7620460C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<sst xmlns="http://schemas.openxmlformats.org/spreadsheetml/2006/main" count="1995" uniqueCount="1106">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</sst>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E19" sqref="E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0.10920784145395698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0.10920784145395694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1487793.5655679265</v>
      </c>
      <c r="E18" s="1755">
        <f ca="1">ABS(D18/D28)</f>
        <v>2.8306206434644911E-2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1732.6732673267327</v>
      </c>
    </row>
    <row r="22" spans="1:6">
      <c r="A22" s="64"/>
      <c r="B22" s="4" t="s">
        <v>16</v>
      </c>
      <c r="C22" s="4"/>
      <c r="D22" s="1531">
        <f>'Development Budget'!G44</f>
        <v>37135500</v>
      </c>
      <c r="E22" s="1531">
        <f t="shared" ref="E22:E28" si="0">D22/$D$10</f>
        <v>367678.21782178216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364475</v>
      </c>
      <c r="E24" s="1531">
        <f t="shared" si="0"/>
        <v>3608.6633663366338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3499445.1152675492</v>
      </c>
      <c r="E25" s="1531">
        <f t="shared" si="0"/>
        <v>34647.971438292567</v>
      </c>
    </row>
    <row r="26" spans="1:6">
      <c r="A26" s="64"/>
      <c r="B26" s="4" t="s">
        <v>20</v>
      </c>
      <c r="C26" s="4"/>
      <c r="D26" s="1531">
        <f>'Development Budget'!G181</f>
        <v>2834808.4331320794</v>
      </c>
      <c r="E26" s="1531">
        <f t="shared" si="0"/>
        <v>28067.410229030491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7113735.2367283627</v>
      </c>
      <c r="E27" s="1532">
        <f t="shared" si="0"/>
        <v>70433.02214582538</v>
      </c>
    </row>
    <row r="28" spans="1:6" ht="16.5" thickTop="1">
      <c r="A28" s="4"/>
      <c r="B28" s="4"/>
      <c r="C28" s="150" t="s">
        <v>14</v>
      </c>
      <c r="D28" s="1533">
        <f>SUM(D21:D27)</f>
        <v>52560683.785127997</v>
      </c>
      <c r="E28" s="1531">
        <f t="shared" si="0"/>
        <v>520402.80975374253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34524125.13954328</v>
      </c>
      <c r="E32" s="1586">
        <f t="shared" si="1"/>
        <v>341823.02118359681</v>
      </c>
    </row>
    <row r="33" spans="1:5">
      <c r="A33" s="64"/>
      <c r="B33" s="4" t="s">
        <v>1052</v>
      </c>
      <c r="C33" s="4"/>
      <c r="D33" s="1587">
        <f>GapCalc!D29</f>
        <v>2705483.796837708</v>
      </c>
      <c r="E33" s="1586">
        <f>D33/$D$10</f>
        <v>26786.96828552186</v>
      </c>
    </row>
    <row r="34" spans="1:5">
      <c r="A34" s="65"/>
      <c r="B34" s="4" t="s">
        <v>26</v>
      </c>
      <c r="C34" s="4"/>
      <c r="D34" s="1587">
        <f>GapCalc!D30</f>
        <v>15331074.848747011</v>
      </c>
      <c r="E34" s="1586">
        <f>D34/$D$10</f>
        <v>151792.82028462389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52560683.785127997</v>
      </c>
      <c r="E36" s="1586">
        <f>D36/$D$10</f>
        <v>520402.80975374253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38652979.208860449</v>
      </c>
      <c r="E40" s="1586">
        <f t="shared" ref="E40" si="2">D40/$D$10</f>
        <v>382702.76444416289</v>
      </c>
    </row>
    <row r="41" spans="1:5">
      <c r="A41" s="60"/>
      <c r="B41" s="4" t="s">
        <v>1052</v>
      </c>
      <c r="C41" s="4"/>
      <c r="D41" s="1591">
        <f>GapCalc!D29+GapCalc!D38</f>
        <v>2705483.796837708</v>
      </c>
      <c r="E41" s="1586">
        <f>D41/$D$10</f>
        <v>26786.96828552186</v>
      </c>
    </row>
    <row r="42" spans="1:5">
      <c r="A42" s="60"/>
      <c r="B42" s="1557" t="s">
        <v>26</v>
      </c>
      <c r="C42" s="4"/>
      <c r="D42" s="1592">
        <f>GapCalc!D30+GapCalc!D39</f>
        <v>15331074.848747011</v>
      </c>
      <c r="E42" s="1586">
        <f>D42/$D$10</f>
        <v>151792.82028462389</v>
      </c>
    </row>
    <row r="43" spans="1:5">
      <c r="A43" s="60"/>
      <c r="B43" s="1714" t="s">
        <v>1103</v>
      </c>
      <c r="C43" s="4"/>
      <c r="D43" s="1592">
        <f>IF(D32-D40&gt;0,0,D32-D40)</f>
        <v>-4128854.0693171695</v>
      </c>
      <c r="E43" s="1586">
        <f>D43/$D$10</f>
        <v>-40879.743260566036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52560683.785128005</v>
      </c>
      <c r="E45" s="1588">
        <f>D45/$D$10</f>
        <v>520402.80975374265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1732.6732673267327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37135500</v>
      </c>
      <c r="E18" s="1531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364475</v>
      </c>
      <c r="E20" s="1531">
        <f t="shared" si="0"/>
        <v>3608.6633663366338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3499445.1152675492</v>
      </c>
      <c r="E21" s="1531">
        <f t="shared" si="0"/>
        <v>34647.971438292567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2834808.4331320794</v>
      </c>
      <c r="E22" s="1531">
        <f t="shared" si="0"/>
        <v>28067.410229030491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7113735.2367283627</v>
      </c>
      <c r="E23" s="1532">
        <f t="shared" si="0"/>
        <v>70433.02214582538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52560683.785127997</v>
      </c>
      <c r="E24" s="1531">
        <f t="shared" si="0"/>
        <v>520402.80975374253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34524125.13954328</v>
      </c>
      <c r="E28" s="1586">
        <f t="shared" si="1"/>
        <v>341823.02118359681</v>
      </c>
      <c r="F28" s="62"/>
      <c r="G28" s="1419" t="s">
        <v>609</v>
      </c>
      <c r="H28" s="1608">
        <f>H32/D11</f>
        <v>26786.96828552186</v>
      </c>
      <c r="I28" s="703"/>
    </row>
    <row r="29" spans="1:10" ht="15.75">
      <c r="A29" s="64"/>
      <c r="B29" s="4" t="s">
        <v>1052</v>
      </c>
      <c r="C29" s="4"/>
      <c r="D29" s="1587">
        <v>2705483.796837708</v>
      </c>
      <c r="E29" s="1586">
        <f>D29/$D$11</f>
        <v>26786.96828552186</v>
      </c>
      <c r="F29" s="520"/>
      <c r="G29" s="1420" t="s">
        <v>972</v>
      </c>
      <c r="H29" s="1609">
        <f>H33/D11</f>
        <v>151792.82028462389</v>
      </c>
      <c r="I29" s="703"/>
    </row>
    <row r="30" spans="1:10" ht="16.5" thickBot="1">
      <c r="A30" s="65"/>
      <c r="B30" s="4" t="s">
        <v>26</v>
      </c>
      <c r="C30" s="4"/>
      <c r="D30" s="1587">
        <v>15331074.848747011</v>
      </c>
      <c r="E30" s="1586">
        <f>D30/$D$11</f>
        <v>151792.82028462389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2705483.796837708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52560683.785127997</v>
      </c>
      <c r="E33" s="1586">
        <f>D33/$D$11</f>
        <v>520402.80975374253</v>
      </c>
      <c r="F33" s="62"/>
      <c r="G33" s="1441" t="s">
        <v>972</v>
      </c>
      <c r="H33" s="1611">
        <f>D30+D39</f>
        <v>15331074.848747011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18036558.645584717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0.34315684931572649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38652979.208860449</v>
      </c>
      <c r="E37" s="1586">
        <f t="shared" ref="E37" si="2">D37/$D$11</f>
        <v>382702.76444416289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2705483.796837708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15331074.848747011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4128854.0693171695</v>
      </c>
      <c r="E41" s="1588">
        <f>D41/$D$11</f>
        <v>40879.743260566036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38652979.208860449</v>
      </c>
      <c r="E42" s="1586">
        <f>D42/$D$11</f>
        <v>382702.76444416289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-619328.11039757542</v>
      </c>
      <c r="I43" s="1596">
        <f>D38+H43</f>
        <v>-619328.11039757542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-3509525.9589195941</v>
      </c>
      <c r="I44" s="1596">
        <f>D39+H44</f>
        <v>-3509525.9589195941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16595699.379479749</v>
      </c>
      <c r="J46" s="1582" t="s">
        <v>1084</v>
      </c>
      <c r="K46" s="1583">
        <f>'Cash Flow'!C76</f>
        <v>0.10920784145395698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6263441.068400451</v>
      </c>
      <c r="J47" s="1584" t="s">
        <v>1099</v>
      </c>
      <c r="K47" s="1607">
        <f>'Cash Flow'!C70</f>
        <v>27050989.988551989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1264624.5307327379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2928652.8316728966</v>
      </c>
      <c r="J51" s="1585" t="s">
        <v>1084</v>
      </c>
      <c r="K51" s="1618">
        <f>'Cash Flow'!H76</f>
        <v>0.10920784145395694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2705483.796837708</v>
      </c>
      <c r="J52" s="1584" t="s">
        <v>1098</v>
      </c>
      <c r="K52" s="1607">
        <f>'Cash Flow'!H70</f>
        <v>4773704.1156268213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223169.03483518865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1487793.5655679265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23434478.224484354</v>
      </c>
      <c r="J58" s="1582" t="s">
        <v>1084</v>
      </c>
      <c r="K58" s="1583">
        <f>'Cash Flow'!C103</f>
        <v>0.1491553911435726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38198199.505909495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8103403.375737343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3265466.008365558</v>
      </c>
      <c r="J63" s="1585" t="s">
        <v>1084</v>
      </c>
      <c r="K63" s="1618">
        <f>'Cash Flow'!H103</f>
        <v>9.6737810806972233E-2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2705483.796837708</v>
      </c>
      <c r="J64" s="1584" t="s">
        <v>1098</v>
      </c>
      <c r="K64" s="1607">
        <f>'Cash Flow'!H97</f>
        <v>5322709.593635859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559982.21152785001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8663385.5872651935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" zoomScale="130" zoomScaleNormal="130" workbookViewId="0">
      <selection activeCell="Q19" sqref="Q1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9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4128854.0693171695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6565000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1732.6732673267327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29588400</v>
      </c>
      <c r="H32" s="1039"/>
      <c r="I32" s="950">
        <f t="shared" si="0"/>
        <v>292954.45544554456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32547240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2958840</v>
      </c>
      <c r="G36" s="854">
        <f>F36</f>
        <v>2958840</v>
      </c>
      <c r="H36" s="950"/>
      <c r="I36" s="950">
        <f t="shared" si="0"/>
        <v>29295.445544554455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2071188.0000000002</v>
      </c>
      <c r="H37" s="1072"/>
      <c r="I37" s="950">
        <f t="shared" si="0"/>
        <v>20506.811881188121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2071188.0000000002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1479420</v>
      </c>
      <c r="H38" s="1072"/>
      <c r="I38" s="950">
        <f t="shared" si="0"/>
        <v>14647.722772277228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1479420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443826</v>
      </c>
      <c r="H40" s="1072"/>
      <c r="I40" s="950">
        <f t="shared" si="0"/>
        <v>4394.3168316831679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443826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443826</v>
      </c>
      <c r="H41" s="1072"/>
      <c r="I41" s="950">
        <f t="shared" si="0"/>
        <v>4394.3168316831679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443826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37135500</v>
      </c>
      <c r="H44" s="1324"/>
      <c r="I44" s="1325">
        <f t="shared" si="0"/>
        <v>367678.21782178216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37135500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37135500</v>
      </c>
      <c r="H46" s="1333"/>
      <c r="I46" s="1325">
        <f t="shared" si="0"/>
        <v>367678.21782178216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37135500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3713550</v>
      </c>
      <c r="H47" s="1039"/>
      <c r="I47" s="950">
        <f t="shared" si="0"/>
        <v>36767.821782178216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3713550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1153881.25</v>
      </c>
      <c r="H59" s="1128"/>
      <c r="I59" s="950">
        <f t="shared" si="0"/>
        <v>11424.566831683169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92838.75</v>
      </c>
      <c r="H67" s="1039"/>
      <c r="I67" s="950">
        <f t="shared" si="0"/>
        <v>919.19554455445541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92838.75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283838.75</v>
      </c>
      <c r="H80" s="1101"/>
      <c r="I80" s="950">
        <f t="shared" si="0"/>
        <v>2810.2846534653463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283838.75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264475</v>
      </c>
      <c r="H90" s="1111"/>
      <c r="I90" s="950">
        <f t="shared" si="3"/>
        <v>2618.5643564356437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264475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364475</v>
      </c>
      <c r="H97" s="1101"/>
      <c r="I97" s="950">
        <f t="shared" si="3"/>
        <v>3608.6633663366338</v>
      </c>
      <c r="J97" s="1102"/>
      <c r="K97" s="1166">
        <f>I97/I250</f>
        <v>6.9343656465734168E-3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364475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112833.05251592293</v>
      </c>
      <c r="H102" s="1111"/>
      <c r="I102" s="950">
        <f t="shared" si="3"/>
        <v>1117.158935801217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112833.05251592293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97833.052515922929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1938215.8872820442</v>
      </c>
      <c r="N103" s="1172">
        <v>1956661.0503184586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112833.05251592293</v>
      </c>
      <c r="H114" s="1101"/>
      <c r="I114" s="950">
        <f t="shared" si="3"/>
        <v>1117.158935801217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112833.05251592293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2433950.8223378016</v>
      </c>
      <c r="H116" s="1177"/>
      <c r="I116" s="950">
        <f t="shared" si="3"/>
        <v>24098.522993443581</v>
      </c>
      <c r="J116" s="1178"/>
      <c r="K116" s="1179" t="s">
        <v>823</v>
      </c>
      <c r="L116" s="1073"/>
      <c r="M116" s="1180">
        <f>0.5*Data!C20*Data!C17/12*Data!C19</f>
        <v>2433950.8223378016</v>
      </c>
      <c r="N116" s="1181">
        <v>2433950.8223378016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2433950.8223378016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345241.2513954328</v>
      </c>
      <c r="H117" s="1094"/>
      <c r="I117" s="950">
        <f t="shared" si="3"/>
        <v>3418.2302118359685</v>
      </c>
      <c r="J117" s="1015"/>
      <c r="K117" s="1184" t="s">
        <v>825</v>
      </c>
      <c r="L117" s="1185"/>
      <c r="M117" s="1186">
        <f>0.01*Data!C20</f>
        <v>345241.2513954328</v>
      </c>
      <c r="N117" s="1172">
        <v>345241.2513954328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345241.2513954328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533066.853825</v>
      </c>
      <c r="H121" s="1117"/>
      <c r="I121" s="950">
        <f t="shared" si="3"/>
        <v>5277.8896418316835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533066.853825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533066.853825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61786.187709314923</v>
      </c>
      <c r="H125" s="1111"/>
      <c r="I125" s="950">
        <f t="shared" si="3"/>
        <v>611.74443276549425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61786.187709314923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51786.187709314923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51786.187709314923</v>
      </c>
      <c r="N126" s="1172">
        <v>51786.187709314923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3389445.1152675492</v>
      </c>
      <c r="H148" s="1128"/>
      <c r="I148" s="950">
        <f t="shared" si="6"/>
        <v>33558.862527401478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3389445.1152675492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386529.79208860447</v>
      </c>
      <c r="H151" s="1093"/>
      <c r="I151" s="950">
        <f t="shared" ref="I151:I158" si="7">G151/$F$9</f>
        <v>3827.0276444416286</v>
      </c>
      <c r="J151" s="1094"/>
      <c r="K151" s="1244" t="s">
        <v>863</v>
      </c>
      <c r="L151" s="1245"/>
      <c r="M151" s="1558">
        <f>Data!C31*Data!C30</f>
        <v>386529.79208860447</v>
      </c>
      <c r="N151" s="1345">
        <v>386529.79208860447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3107171.2625588952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2834808.4331320794</v>
      </c>
      <c r="H178" s="1093"/>
      <c r="I178" s="950">
        <f t="shared" si="6"/>
        <v>28067.410229030491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2834808.4331320794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2834808.4331320794</v>
      </c>
      <c r="H181" s="1128"/>
      <c r="I181" s="950">
        <f t="shared" si="6"/>
        <v>28067.410229030491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2834808.4331320794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377957.51754577761</v>
      </c>
      <c r="H233" s="1111"/>
      <c r="I233" s="950">
        <f t="shared" si="8"/>
        <v>3742.1536390671049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377957.51754577761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816707.51754577761</v>
      </c>
      <c r="H234" s="1282"/>
      <c r="I234" s="950">
        <f t="shared" si="8"/>
        <v>8086.2130450076993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816707.51754577761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52560683.785127997</v>
      </c>
      <c r="H250" s="1298"/>
      <c r="I250" s="1299">
        <f>G250/F9</f>
        <v>520402.80975374253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532.91847938849003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34524125.13954328</v>
      </c>
      <c r="D20" s="1375">
        <f>MIN(D22,GapCalc!D24)</f>
        <v>34164444.460333198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34164444.460333198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-2683308.4331320669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2683308.4331320794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38652979.208860449</v>
      </c>
      <c r="D30" s="1376">
        <f>-PV($C$24/12,$C$29*12,C27/12)</f>
        <v>38652979.208860449</v>
      </c>
      <c r="E30" s="1384"/>
      <c r="F30" t="s">
        <v>438</v>
      </c>
      <c r="G30" s="1381"/>
      <c r="H30" s="1376">
        <f>PV(G23,G29,-'Cash Flow'!E41*H28,)</f>
        <v>4325862.6481356146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2683308.4331320794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42048547.028102398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44131738.528432891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-284608.88024150499</v>
      </c>
      <c r="F19" s="89">
        <f>E19*(1+$D$19)</f>
        <v>-288166.49124452379</v>
      </c>
      <c r="G19" s="89">
        <f t="shared" ref="G19:AH19" si="6">F19*(1+$D$19)</f>
        <v>-291768.57238508033</v>
      </c>
      <c r="H19" s="89">
        <f t="shared" si="6"/>
        <v>-295415.67953989381</v>
      </c>
      <c r="I19" s="89">
        <f t="shared" si="6"/>
        <v>-299108.37553414248</v>
      </c>
      <c r="J19" s="89">
        <f t="shared" si="6"/>
        <v>-302847.23022831924</v>
      </c>
      <c r="K19" s="89">
        <f t="shared" si="6"/>
        <v>-306632.82060617319</v>
      </c>
      <c r="L19" s="89">
        <f t="shared" si="6"/>
        <v>-310465.73086375033</v>
      </c>
      <c r="M19" s="89">
        <f t="shared" si="6"/>
        <v>-314346.55249954719</v>
      </c>
      <c r="N19" s="89">
        <f t="shared" si="6"/>
        <v>-318275.88440579153</v>
      </c>
      <c r="O19" s="89">
        <f t="shared" si="6"/>
        <v>-322254.33296086389</v>
      </c>
      <c r="P19" s="89">
        <f t="shared" si="6"/>
        <v>-326282.51212287467</v>
      </c>
      <c r="Q19" s="89">
        <f t="shared" si="6"/>
        <v>-330361.04352441058</v>
      </c>
      <c r="R19" s="89">
        <f t="shared" si="6"/>
        <v>-334490.55656846572</v>
      </c>
      <c r="S19" s="90">
        <f t="shared" si="6"/>
        <v>-338671.68852557155</v>
      </c>
      <c r="T19" s="89">
        <f t="shared" si="6"/>
        <v>-342905.08463214117</v>
      </c>
      <c r="U19" s="89">
        <f t="shared" si="6"/>
        <v>-347191.39819004294</v>
      </c>
      <c r="V19" s="89">
        <f t="shared" si="6"/>
        <v>-351531.29066741845</v>
      </c>
      <c r="W19" s="89">
        <f t="shared" si="6"/>
        <v>-355925.43180076114</v>
      </c>
      <c r="X19" s="89">
        <f t="shared" si="6"/>
        <v>-360374.49969827064</v>
      </c>
      <c r="Y19" s="89">
        <f t="shared" si="6"/>
        <v>-364879.18094449898</v>
      </c>
      <c r="Z19" s="89">
        <f t="shared" si="6"/>
        <v>-369440.17070630519</v>
      </c>
      <c r="AA19" s="89">
        <f t="shared" si="6"/>
        <v>-374058.17284013401</v>
      </c>
      <c r="AB19" s="89">
        <f t="shared" si="6"/>
        <v>-378733.90000063565</v>
      </c>
      <c r="AC19" s="89">
        <f t="shared" si="6"/>
        <v>-383468.07375064358</v>
      </c>
      <c r="AD19" s="89">
        <f t="shared" si="6"/>
        <v>-388261.4246725266</v>
      </c>
      <c r="AE19" s="89">
        <f t="shared" si="6"/>
        <v>-393114.69248093315</v>
      </c>
      <c r="AF19" s="89">
        <f t="shared" si="6"/>
        <v>-398028.6261369448</v>
      </c>
      <c r="AG19" s="89">
        <f t="shared" si="6"/>
        <v>-403003.98396365659</v>
      </c>
      <c r="AH19" s="89">
        <f t="shared" si="6"/>
        <v>-408041.53376320226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3219970.1197584951</v>
      </c>
      <c r="F21" s="95">
        <f t="shared" si="8"/>
        <v>3298724.4837554758</v>
      </c>
      <c r="G21" s="95">
        <f t="shared" si="8"/>
        <v>3379280.0769899194</v>
      </c>
      <c r="H21" s="95">
        <f t="shared" si="8"/>
        <v>3461675.0625694804</v>
      </c>
      <c r="I21" s="95">
        <f t="shared" si="8"/>
        <v>3545948.3048054655</v>
      </c>
      <c r="J21" s="95">
        <f t="shared" si="8"/>
        <v>3632139.377735991</v>
      </c>
      <c r="K21" s="95">
        <f t="shared" si="8"/>
        <v>3720288.5735450257</v>
      </c>
      <c r="L21" s="95">
        <f t="shared" si="8"/>
        <v>3810436.9108635793</v>
      </c>
      <c r="M21" s="95">
        <f t="shared" si="8"/>
        <v>3902626.1429386004</v>
      </c>
      <c r="N21" s="95">
        <f t="shared" si="8"/>
        <v>3996898.7656543097</v>
      </c>
      <c r="O21" s="95">
        <f t="shared" si="8"/>
        <v>4093298.0253900015</v>
      </c>
      <c r="P21" s="95">
        <f t="shared" si="8"/>
        <v>4191867.9266973976</v>
      </c>
      <c r="Q21" s="95">
        <f t="shared" si="8"/>
        <v>4292653.2397798775</v>
      </c>
      <c r="R21" s="95">
        <f t="shared" si="8"/>
        <v>4395699.5077549089</v>
      </c>
      <c r="S21" s="96">
        <f t="shared" si="8"/>
        <v>4501053.053680147</v>
      </c>
      <c r="T21" s="95">
        <f t="shared" si="8"/>
        <v>4608760.9873225763</v>
      </c>
      <c r="U21" s="95">
        <f t="shared" si="8"/>
        <v>4718871.2116491832</v>
      </c>
      <c r="V21" s="95">
        <f t="shared" si="8"/>
        <v>4831432.4290164271</v>
      </c>
      <c r="W21" s="95">
        <f t="shared" si="8"/>
        <v>4946494.1470347727</v>
      </c>
      <c r="X21" s="95">
        <f t="shared" si="8"/>
        <v>5064106.6840833286</v>
      </c>
      <c r="Y21" s="95">
        <f t="shared" si="8"/>
        <v>5184321.1744484492</v>
      </c>
      <c r="Z21" s="95">
        <f t="shared" si="8"/>
        <v>5307189.5730588622</v>
      </c>
      <c r="AA21" s="95">
        <f t="shared" si="8"/>
        <v>5432764.6597886179</v>
      </c>
      <c r="AB21" s="95">
        <f t="shared" si="8"/>
        <v>5561100.0432977229</v>
      </c>
      <c r="AC21" s="95">
        <f t="shared" si="8"/>
        <v>5692250.1643789457</v>
      </c>
      <c r="AD21" s="95">
        <f t="shared" si="8"/>
        <v>5826270.2987777824</v>
      </c>
      <c r="AE21" s="95">
        <f t="shared" si="8"/>
        <v>5963216.5594509738</v>
      </c>
      <c r="AF21" s="95">
        <f t="shared" si="8"/>
        <v>6103145.8982274393</v>
      </c>
      <c r="AG21" s="95">
        <f t="shared" si="8"/>
        <v>6246116.1068337131</v>
      </c>
      <c r="AH21" s="95">
        <f t="shared" si="8"/>
        <v>6392185.8172443118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-2683308.4331320794</v>
      </c>
      <c r="F22" s="95">
        <f t="shared" ref="F22:AH22" si="9">$E$22</f>
        <v>-2683308.4331320794</v>
      </c>
      <c r="G22" s="95">
        <f t="shared" si="9"/>
        <v>-2683308.4331320794</v>
      </c>
      <c r="H22" s="95">
        <f t="shared" si="9"/>
        <v>-2683308.4331320794</v>
      </c>
      <c r="I22" s="95">
        <f t="shared" si="9"/>
        <v>-2683308.4331320794</v>
      </c>
      <c r="J22" s="95">
        <f t="shared" si="9"/>
        <v>-2683308.4331320794</v>
      </c>
      <c r="K22" s="95">
        <f t="shared" si="9"/>
        <v>-2683308.4331320794</v>
      </c>
      <c r="L22" s="95">
        <f t="shared" si="9"/>
        <v>-2683308.4331320794</v>
      </c>
      <c r="M22" s="95">
        <f t="shared" si="9"/>
        <v>-2683308.4331320794</v>
      </c>
      <c r="N22" s="95">
        <f t="shared" si="9"/>
        <v>-2683308.4331320794</v>
      </c>
      <c r="O22" s="95">
        <f t="shared" si="9"/>
        <v>-2683308.4331320794</v>
      </c>
      <c r="P22" s="95">
        <f t="shared" si="9"/>
        <v>-2683308.4331320794</v>
      </c>
      <c r="Q22" s="95">
        <f t="shared" si="9"/>
        <v>-2683308.4331320794</v>
      </c>
      <c r="R22" s="95">
        <f t="shared" si="9"/>
        <v>-2683308.4331320794</v>
      </c>
      <c r="S22" s="96">
        <f t="shared" si="9"/>
        <v>-2683308.4331320794</v>
      </c>
      <c r="T22" s="95">
        <f t="shared" si="9"/>
        <v>-2683308.4331320794</v>
      </c>
      <c r="U22" s="95">
        <f t="shared" si="9"/>
        <v>-2683308.4331320794</v>
      </c>
      <c r="V22" s="95">
        <f t="shared" si="9"/>
        <v>-2683308.4331320794</v>
      </c>
      <c r="W22" s="95">
        <f t="shared" si="9"/>
        <v>-2683308.4331320794</v>
      </c>
      <c r="X22" s="95">
        <f t="shared" si="9"/>
        <v>-2683308.4331320794</v>
      </c>
      <c r="Y22" s="95">
        <f t="shared" si="9"/>
        <v>-2683308.4331320794</v>
      </c>
      <c r="Z22" s="95">
        <f t="shared" si="9"/>
        <v>-2683308.4331320794</v>
      </c>
      <c r="AA22" s="95">
        <f t="shared" si="9"/>
        <v>-2683308.4331320794</v>
      </c>
      <c r="AB22" s="95">
        <f t="shared" si="9"/>
        <v>-2683308.4331320794</v>
      </c>
      <c r="AC22" s="95">
        <f t="shared" si="9"/>
        <v>-2683308.4331320794</v>
      </c>
      <c r="AD22" s="95">
        <f t="shared" si="9"/>
        <v>-2683308.4331320794</v>
      </c>
      <c r="AE22" s="95">
        <f t="shared" si="9"/>
        <v>-2683308.4331320794</v>
      </c>
      <c r="AF22" s="95">
        <f t="shared" si="9"/>
        <v>-2683308.4331320794</v>
      </c>
      <c r="AG22" s="95">
        <f t="shared" si="9"/>
        <v>-2683308.4331320794</v>
      </c>
      <c r="AH22" s="95">
        <f t="shared" si="9"/>
        <v>-2683308.4331320794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536661.6866264157</v>
      </c>
      <c r="F25" s="119">
        <f t="shared" ref="F25:AH25" si="11">+F21+F22+F23</f>
        <v>615416.05062339641</v>
      </c>
      <c r="G25" s="119">
        <f t="shared" si="11"/>
        <v>695971.64385783998</v>
      </c>
      <c r="H25" s="119">
        <f t="shared" si="11"/>
        <v>778366.62943740096</v>
      </c>
      <c r="I25" s="119">
        <f t="shared" si="11"/>
        <v>862639.87167338608</v>
      </c>
      <c r="J25" s="119">
        <f t="shared" si="11"/>
        <v>948830.9446039116</v>
      </c>
      <c r="K25" s="119">
        <f t="shared" si="11"/>
        <v>1036980.1404129462</v>
      </c>
      <c r="L25" s="119">
        <f t="shared" si="11"/>
        <v>1127128.4777314998</v>
      </c>
      <c r="M25" s="119">
        <f t="shared" si="11"/>
        <v>1219317.709806521</v>
      </c>
      <c r="N25" s="119">
        <f t="shared" si="11"/>
        <v>1313590.3325222302</v>
      </c>
      <c r="O25" s="119">
        <f t="shared" si="11"/>
        <v>1409989.592257922</v>
      </c>
      <c r="P25" s="119">
        <f t="shared" si="11"/>
        <v>1508559.4935653182</v>
      </c>
      <c r="Q25" s="119">
        <f t="shared" si="11"/>
        <v>1609344.806647798</v>
      </c>
      <c r="R25" s="119">
        <f t="shared" si="11"/>
        <v>1712391.0746228294</v>
      </c>
      <c r="S25" s="160">
        <f t="shared" si="11"/>
        <v>1817744.6205480676</v>
      </c>
      <c r="T25" s="119">
        <f t="shared" si="11"/>
        <v>1925452.5541904969</v>
      </c>
      <c r="U25" s="119">
        <f t="shared" si="11"/>
        <v>2035562.7785171038</v>
      </c>
      <c r="V25" s="119">
        <f t="shared" si="11"/>
        <v>2148123.9958843477</v>
      </c>
      <c r="W25" s="119">
        <f t="shared" si="11"/>
        <v>2263185.7139026932</v>
      </c>
      <c r="X25" s="119">
        <f t="shared" si="11"/>
        <v>2380798.2509512492</v>
      </c>
      <c r="Y25" s="119">
        <f t="shared" si="11"/>
        <v>2501012.7413163697</v>
      </c>
      <c r="Z25" s="119">
        <f t="shared" si="11"/>
        <v>2623881.1399267828</v>
      </c>
      <c r="AA25" s="119">
        <f t="shared" si="11"/>
        <v>2749456.2266565384</v>
      </c>
      <c r="AB25" s="119">
        <f t="shared" si="11"/>
        <v>2877791.6101656435</v>
      </c>
      <c r="AC25" s="119">
        <f t="shared" si="11"/>
        <v>3008941.7312468663</v>
      </c>
      <c r="AD25" s="119">
        <f t="shared" si="11"/>
        <v>3142961.8656457029</v>
      </c>
      <c r="AE25" s="119">
        <f t="shared" si="11"/>
        <v>3279908.1263188943</v>
      </c>
      <c r="AF25" s="119">
        <f t="shared" si="11"/>
        <v>3419837.4650953598</v>
      </c>
      <c r="AG25" s="119">
        <f t="shared" si="11"/>
        <v>3562807.6737016337</v>
      </c>
      <c r="AH25" s="119">
        <f t="shared" si="11"/>
        <v>3708877.3841122324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1.2293497247742984</v>
      </c>
      <c r="G27" s="122">
        <f t="shared" si="12"/>
        <v>1.25937072133205</v>
      </c>
      <c r="H27" s="122">
        <f t="shared" si="12"/>
        <v>1.2900772120813768</v>
      </c>
      <c r="I27" s="122">
        <f t="shared" si="12"/>
        <v>1.3214836807509578</v>
      </c>
      <c r="J27" s="122">
        <f t="shared" si="12"/>
        <v>1.3536048755663892</v>
      </c>
      <c r="K27" s="122">
        <f t="shared" si="12"/>
        <v>1.3864558123877455</v>
      </c>
      <c r="L27" s="122">
        <f t="shared" si="12"/>
        <v>1.4200517778032189</v>
      </c>
      <c r="M27" s="122">
        <f t="shared" si="12"/>
        <v>1.4544083321734571</v>
      </c>
      <c r="N27" s="122">
        <f t="shared" si="12"/>
        <v>1.4895413126209081</v>
      </c>
      <c r="O27" s="122">
        <f t="shared" si="12"/>
        <v>1.5254668359582197</v>
      </c>
      <c r="P27" s="122">
        <f t="shared" si="12"/>
        <v>1.5622013015493932</v>
      </c>
      <c r="Q27" s="122">
        <f t="shared" si="12"/>
        <v>1.5997613940970989</v>
      </c>
      <c r="R27" s="122">
        <f t="shared" si="12"/>
        <v>1.6381640863491973</v>
      </c>
      <c r="S27" s="161">
        <f t="shared" si="12"/>
        <v>1.6774266417171855</v>
      </c>
      <c r="T27" s="122">
        <f t="shared" si="12"/>
        <v>1.7175666167988826</v>
      </c>
      <c r="U27" s="122">
        <f t="shared" si="12"/>
        <v>1.7586018637973355</v>
      </c>
      <c r="V27" s="122">
        <f t="shared" si="12"/>
        <v>1.8005505328274767</v>
      </c>
      <c r="W27" s="122">
        <f t="shared" si="12"/>
        <v>1.8434310741016828</v>
      </c>
      <c r="X27" s="122">
        <f t="shared" si="12"/>
        <v>1.8872622399849404</v>
      </c>
      <c r="Y27" s="122">
        <f t="shared" si="12"/>
        <v>1.9320630869098689</v>
      </c>
      <c r="Z27" s="122">
        <f t="shared" si="12"/>
        <v>1.9778529771413826</v>
      </c>
      <c r="AA27" s="122">
        <f t="shared" si="12"/>
        <v>2.0246515803802878</v>
      </c>
      <c r="AB27" s="122">
        <f t="shared" si="12"/>
        <v>2.0724788751945873</v>
      </c>
      <c r="AC27" s="122">
        <f t="shared" si="12"/>
        <v>2.1213551502667523</v>
      </c>
      <c r="AD27" s="122">
        <f t="shared" si="12"/>
        <v>2.1713010054446462</v>
      </c>
      <c r="AE27" s="122">
        <f t="shared" si="12"/>
        <v>2.22233735258322</v>
      </c>
      <c r="AF27" s="122">
        <f t="shared" si="12"/>
        <v>2.2744854161634973</v>
      </c>
      <c r="AG27" s="122">
        <f t="shared" si="12"/>
        <v>2.3277667336747281</v>
      </c>
      <c r="AH27" s="122">
        <f t="shared" si="12"/>
        <v>2.3822031557449632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536661.6866264157</v>
      </c>
      <c r="F41" s="129">
        <f t="shared" ref="F41:S41" si="20">F25+F37</f>
        <v>615416.05062339641</v>
      </c>
      <c r="G41" s="129">
        <f t="shared" si="20"/>
        <v>695971.64385783998</v>
      </c>
      <c r="H41" s="129">
        <f t="shared" si="20"/>
        <v>778366.62943740096</v>
      </c>
      <c r="I41" s="129">
        <f t="shared" si="20"/>
        <v>862639.87167338608</v>
      </c>
      <c r="J41" s="129">
        <f t="shared" si="20"/>
        <v>948830.9446039116</v>
      </c>
      <c r="K41" s="129">
        <f t="shared" si="20"/>
        <v>1036980.1404129462</v>
      </c>
      <c r="L41" s="129">
        <f t="shared" si="20"/>
        <v>1127128.4777314998</v>
      </c>
      <c r="M41" s="129">
        <f t="shared" si="20"/>
        <v>1219317.709806521</v>
      </c>
      <c r="N41" s="129">
        <f t="shared" si="20"/>
        <v>1313590.3325222302</v>
      </c>
      <c r="O41" s="129">
        <f t="shared" si="20"/>
        <v>1409989.592257922</v>
      </c>
      <c r="P41" s="129">
        <f t="shared" si="20"/>
        <v>1508559.4935653182</v>
      </c>
      <c r="Q41" s="129">
        <f t="shared" si="20"/>
        <v>1609344.806647798</v>
      </c>
      <c r="R41" s="129">
        <f t="shared" si="20"/>
        <v>1712391.0746228294</v>
      </c>
      <c r="S41" s="130">
        <f t="shared" si="20"/>
        <v>1817744.6205480676</v>
      </c>
      <c r="T41" s="130">
        <f t="shared" ref="T41:AH41" si="21">T25+T37</f>
        <v>1925452.5541904969</v>
      </c>
      <c r="U41" s="130">
        <f t="shared" si="21"/>
        <v>2035562.7785171038</v>
      </c>
      <c r="V41" s="130">
        <f t="shared" si="21"/>
        <v>2148123.9958843477</v>
      </c>
      <c r="W41" s="130">
        <f t="shared" si="21"/>
        <v>2263185.7139026932</v>
      </c>
      <c r="X41" s="130">
        <f t="shared" si="21"/>
        <v>2380798.2509512492</v>
      </c>
      <c r="Y41" s="130">
        <f t="shared" si="21"/>
        <v>2501012.7413163697</v>
      </c>
      <c r="Z41" s="130">
        <f t="shared" si="21"/>
        <v>2623881.1399267828</v>
      </c>
      <c r="AA41" s="130">
        <f t="shared" si="21"/>
        <v>2749456.2266565384</v>
      </c>
      <c r="AB41" s="130">
        <f t="shared" si="21"/>
        <v>2877791.6101656435</v>
      </c>
      <c r="AC41" s="130">
        <f t="shared" si="21"/>
        <v>3008941.7312468663</v>
      </c>
      <c r="AD41" s="130">
        <f t="shared" si="21"/>
        <v>3142961.8656457029</v>
      </c>
      <c r="AE41" s="130">
        <f t="shared" si="21"/>
        <v>3279908.1263188943</v>
      </c>
      <c r="AF41" s="130">
        <f t="shared" si="21"/>
        <v>3419837.4650953598</v>
      </c>
      <c r="AG41" s="130">
        <f t="shared" si="21"/>
        <v>3562807.6737016337</v>
      </c>
      <c r="AH41" s="130">
        <f t="shared" si="21"/>
        <v>3708877.3841122324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456162.43363245338</v>
      </c>
      <c r="F42" s="129">
        <f t="shared" ref="F42:S42" si="22">((F41*$C$42))</f>
        <v>523103.643029887</v>
      </c>
      <c r="G42" s="129">
        <f t="shared" si="22"/>
        <v>591575.89727916406</v>
      </c>
      <c r="H42" s="129">
        <f t="shared" si="22"/>
        <v>661611.63502179086</v>
      </c>
      <c r="I42" s="129">
        <f t="shared" si="22"/>
        <v>733243.89092237828</v>
      </c>
      <c r="J42" s="129">
        <f t="shared" si="22"/>
        <v>806506.30291332491</v>
      </c>
      <c r="K42" s="129">
        <f t="shared" si="22"/>
        <v>881433.11935100437</v>
      </c>
      <c r="L42" s="129">
        <f t="shared" si="22"/>
        <v>958059.20607177494</v>
      </c>
      <c r="M42" s="129">
        <f t="shared" si="22"/>
        <v>1036420.0533355429</v>
      </c>
      <c r="N42" s="129">
        <f t="shared" si="22"/>
        <v>1116551.7826438958</v>
      </c>
      <c r="O42" s="129">
        <f t="shared" si="22"/>
        <v>1198491.1534192339</v>
      </c>
      <c r="P42" s="129">
        <f t="shared" si="22"/>
        <v>1282275.5695305206</v>
      </c>
      <c r="Q42" s="129">
        <f t="shared" si="22"/>
        <v>1367943.0856506284</v>
      </c>
      <c r="R42" s="129">
        <f t="shared" si="22"/>
        <v>1455532.4134294051</v>
      </c>
      <c r="S42" s="129">
        <f t="shared" si="22"/>
        <v>1545082.9274658577</v>
      </c>
      <c r="T42" s="129">
        <f t="shared" ref="T42:AH42" si="23">((T41*$C$42))</f>
        <v>1636634.6710619226</v>
      </c>
      <c r="U42" s="129">
        <f t="shared" si="23"/>
        <v>1730228.3617395384</v>
      </c>
      <c r="V42" s="129">
        <f t="shared" si="23"/>
        <v>1825905.3965016957</v>
      </c>
      <c r="W42" s="129">
        <f t="shared" si="23"/>
        <v>1923707.8568172895</v>
      </c>
      <c r="X42" s="129">
        <f t="shared" si="23"/>
        <v>2023678.5133085621</v>
      </c>
      <c r="Y42" s="129">
        <f t="shared" si="23"/>
        <v>2125860.8301189146</v>
      </c>
      <c r="Z42" s="129">
        <f t="shared" si="23"/>
        <v>2230298.9689377658</v>
      </c>
      <c r="AA42" s="129">
        <f t="shared" si="23"/>
        <v>2337037.792658058</v>
      </c>
      <c r="AB42" s="129">
        <f t="shared" si="23"/>
        <v>2446122.8686407972</v>
      </c>
      <c r="AC42" s="129">
        <f t="shared" si="23"/>
        <v>2557600.4715598365</v>
      </c>
      <c r="AD42" s="129">
        <f t="shared" si="23"/>
        <v>2671517.585798848</v>
      </c>
      <c r="AE42" s="129">
        <f t="shared" si="23"/>
        <v>2787921.9073710605</v>
      </c>
      <c r="AF42" s="129">
        <f t="shared" si="23"/>
        <v>2906861.845331056</v>
      </c>
      <c r="AG42" s="129">
        <f t="shared" si="23"/>
        <v>3028386.522646389</v>
      </c>
      <c r="AH42" s="129">
        <f t="shared" si="23"/>
        <v>3152545.776495398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80499.252993962364</v>
      </c>
      <c r="F43" s="108">
        <f t="shared" ref="F43:S43" si="24">$C$43*(F41)</f>
        <v>92312.407593509473</v>
      </c>
      <c r="G43" s="108">
        <f t="shared" si="24"/>
        <v>104395.74657867601</v>
      </c>
      <c r="H43" s="108">
        <f t="shared" si="24"/>
        <v>116754.99441561016</v>
      </c>
      <c r="I43" s="108">
        <f t="shared" si="24"/>
        <v>129395.98075100793</v>
      </c>
      <c r="J43" s="108">
        <f t="shared" si="24"/>
        <v>142324.64169058675</v>
      </c>
      <c r="K43" s="108">
        <f t="shared" si="24"/>
        <v>155547.02106194195</v>
      </c>
      <c r="L43" s="108">
        <f t="shared" si="24"/>
        <v>169069.271659725</v>
      </c>
      <c r="M43" s="108">
        <f t="shared" si="24"/>
        <v>182897.65647097817</v>
      </c>
      <c r="N43" s="108">
        <f t="shared" si="24"/>
        <v>197038.54987833457</v>
      </c>
      <c r="O43" s="108">
        <f t="shared" si="24"/>
        <v>211498.43883868834</v>
      </c>
      <c r="P43" s="108">
        <f t="shared" si="24"/>
        <v>226283.92403479776</v>
      </c>
      <c r="Q43" s="108">
        <f t="shared" si="24"/>
        <v>241401.72099716973</v>
      </c>
      <c r="R43" s="108">
        <f t="shared" si="24"/>
        <v>256858.66119342446</v>
      </c>
      <c r="S43" s="108">
        <f t="shared" si="24"/>
        <v>272661.6930822102</v>
      </c>
      <c r="T43" s="108">
        <f t="shared" ref="T43:AH43" si="25">$C$43*(T41)</f>
        <v>288817.88312857458</v>
      </c>
      <c r="U43" s="108">
        <f t="shared" si="25"/>
        <v>305334.41677756561</v>
      </c>
      <c r="V43" s="108">
        <f t="shared" si="25"/>
        <v>322218.5993826522</v>
      </c>
      <c r="W43" s="108">
        <f t="shared" si="25"/>
        <v>339477.85708540404</v>
      </c>
      <c r="X43" s="108">
        <f t="shared" si="25"/>
        <v>357119.73764268745</v>
      </c>
      <c r="Y43" s="108">
        <f t="shared" si="25"/>
        <v>375151.91119745554</v>
      </c>
      <c r="Z43" s="108">
        <f t="shared" si="25"/>
        <v>393582.17098901747</v>
      </c>
      <c r="AA43" s="108">
        <f t="shared" si="25"/>
        <v>412418.43399848085</v>
      </c>
      <c r="AB43" s="108">
        <f t="shared" si="25"/>
        <v>431668.74152484658</v>
      </c>
      <c r="AC43" s="108">
        <f t="shared" si="25"/>
        <v>451341.25968702999</v>
      </c>
      <c r="AD43" s="108">
        <f t="shared" si="25"/>
        <v>471444.2798468555</v>
      </c>
      <c r="AE43" s="108">
        <f t="shared" si="25"/>
        <v>491986.21894783422</v>
      </c>
      <c r="AF43" s="108">
        <f t="shared" si="25"/>
        <v>512975.61976430408</v>
      </c>
      <c r="AG43" s="108">
        <f t="shared" si="25"/>
        <v>534421.15105524508</v>
      </c>
      <c r="AH43" s="108">
        <f t="shared" si="25"/>
        <v>556331.60761683492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3.500483116291591E-2</v>
      </c>
      <c r="F47" s="142">
        <f>F41/GapCalc!$H$33</f>
        <v>4.0141741964927757E-2</v>
      </c>
      <c r="G47" s="142">
        <f>G41/GapCalc!$H$33</f>
        <v>4.5396141544160606E-2</v>
      </c>
      <c r="H47" s="142">
        <f>H41/GapCalc!$H$33</f>
        <v>5.0770519165589743E-2</v>
      </c>
      <c r="I47" s="142">
        <f>I41/GapCalc!$H$33</f>
        <v>5.6267409831600196E-2</v>
      </c>
      <c r="J47" s="142">
        <f>J41/GapCalc!$H$33</f>
        <v>6.1889394837926728E-2</v>
      </c>
      <c r="K47" s="142">
        <f>K41/GapCalc!$H$33</f>
        <v>6.7639102322802708E-2</v>
      </c>
      <c r="L47" s="142">
        <f>L41/GapCalc!$H$33</f>
        <v>7.3519207808421763E-2</v>
      </c>
      <c r="M47" s="142">
        <f>M41/GapCalc!$H$33</f>
        <v>7.9532434733770419E-2</v>
      </c>
      <c r="N47" s="142">
        <f>N41/GapCalc!$H$33</f>
        <v>8.5681554977835639E-2</v>
      </c>
      <c r="O47" s="142">
        <f>O41/GapCalc!$H$33</f>
        <v>9.1969389372145591E-2</v>
      </c>
      <c r="P47" s="142">
        <f>P41/GapCalc!$H$33</f>
        <v>9.8398808201540469E-2</v>
      </c>
      <c r="Q47" s="142">
        <f>Q41/GapCalc!$H$33</f>
        <v>0.10497273169202012</v>
      </c>
      <c r="R47" s="142">
        <f>R41/GapCalc!$H$33</f>
        <v>0.11169413048445073</v>
      </c>
      <c r="S47" s="142">
        <f>S41/GapCalc!$H$33</f>
        <v>0.11856602609285607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2.9754106488478524E-2</v>
      </c>
      <c r="F48" s="142">
        <f>F43/GapCalc!$H$32</f>
        <v>3.4120480670188601E-2</v>
      </c>
      <c r="G48" s="142">
        <f>G43/GapCalc!$H$32</f>
        <v>3.8586720312536522E-2</v>
      </c>
      <c r="H48" s="142">
        <f>H43/GapCalc!$H$32</f>
        <v>4.3154941290751279E-2</v>
      </c>
      <c r="I48" s="142">
        <f>I43/GapCalc!$H$32</f>
        <v>4.7827298356860171E-2</v>
      </c>
      <c r="J48" s="142">
        <f>J43/GapCalc!$H$32</f>
        <v>5.260598561223772E-2</v>
      </c>
      <c r="K48" s="142">
        <f>K43/GapCalc!$H$32</f>
        <v>5.7493236974382314E-2</v>
      </c>
      <c r="L48" s="142">
        <f>L43/GapCalc!$H$32</f>
        <v>6.2491326637158506E-2</v>
      </c>
      <c r="M48" s="142">
        <f>M43/GapCalc!$H$32</f>
        <v>6.7602569523704872E-2</v>
      </c>
      <c r="N48" s="142">
        <f>N43/GapCalc!$H$32</f>
        <v>7.2829321731160301E-2</v>
      </c>
      <c r="O48" s="142">
        <f>O43/GapCalc!$H$32</f>
        <v>7.8173980966323761E-2</v>
      </c>
      <c r="P48" s="142">
        <f>P43/GapCalc!$H$32</f>
        <v>8.3638986971309406E-2</v>
      </c>
      <c r="Q48" s="142">
        <f>Q43/GapCalc!$H$32</f>
        <v>8.9226821938217113E-2</v>
      </c>
      <c r="R48" s="142">
        <f>R43/GapCalc!$H$32</f>
        <v>9.4940010911783126E-2</v>
      </c>
      <c r="S48" s="142">
        <f>S43/GapCalc!$H$32</f>
        <v>0.10078112217892768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16595699.379479749</v>
      </c>
      <c r="D66" s="1544"/>
      <c r="E66" s="1564" t="s">
        <v>285</v>
      </c>
      <c r="G66" s="1520" t="s">
        <v>1073</v>
      </c>
      <c r="H66" s="1565">
        <f>H70/1.63</f>
        <v>2928652.8316728966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4653636.9221500028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821230.04508529464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3509525.9589195945</v>
      </c>
      <c r="D68" s="1545" t="s">
        <v>68</v>
      </c>
      <c r="G68" s="1521" t="s">
        <v>1079</v>
      </c>
      <c r="H68" s="1568">
        <f>IF(GapCalc!D41*C43&lt; 0,0,GapCalc!D41*C43)</f>
        <v>619328.11039757554</v>
      </c>
      <c r="I68" s="1545" t="s">
        <v>68</v>
      </c>
    </row>
    <row r="69" spans="2:10">
      <c r="B69" s="1521" t="s">
        <v>1059</v>
      </c>
      <c r="C69" s="1568">
        <f>'Debt Calc'!E60</f>
        <v>18887827.107482392</v>
      </c>
      <c r="D69" s="1546">
        <v>0.9</v>
      </c>
      <c r="G69" s="1521" t="s">
        <v>1075</v>
      </c>
      <c r="H69" s="1568">
        <f>'Debt Calc'!E59*C43</f>
        <v>3333145.9601439517</v>
      </c>
      <c r="I69" s="1546">
        <v>0.9</v>
      </c>
    </row>
    <row r="70" spans="2:10">
      <c r="B70" s="1523" t="s">
        <v>1042</v>
      </c>
      <c r="C70" s="1577">
        <f>C67+C68+C69</f>
        <v>27050989.988551989</v>
      </c>
      <c r="D70" s="1545" t="s">
        <v>68</v>
      </c>
      <c r="G70" s="1523" t="s">
        <v>1042</v>
      </c>
      <c r="H70" s="1577">
        <f>H67+H68+H69</f>
        <v>4773704.1156268213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15331074.848747011</v>
      </c>
      <c r="D74" s="1549"/>
      <c r="F74" s="1559"/>
      <c r="G74" s="1578" t="s">
        <v>1082</v>
      </c>
      <c r="H74" s="1581">
        <f>GapCalc!H32</f>
        <v>2705483.796837708</v>
      </c>
      <c r="I74" s="1549"/>
    </row>
    <row r="75" spans="2:10">
      <c r="B75" s="70" t="s">
        <v>1081</v>
      </c>
      <c r="C75" s="1579">
        <f>(C70-C74)/C74</f>
        <v>0.76445489017769885</v>
      </c>
      <c r="G75" s="70" t="s">
        <v>1081</v>
      </c>
      <c r="H75" s="1579">
        <f>(H70-H74)/H74</f>
        <v>0.76445489017769863</v>
      </c>
    </row>
    <row r="76" spans="2:10">
      <c r="B76" s="70" t="s">
        <v>1045</v>
      </c>
      <c r="C76" s="1579">
        <f>C75/7</f>
        <v>0.10920784145395698</v>
      </c>
      <c r="G76" s="70" t="s">
        <v>1045</v>
      </c>
      <c r="H76" s="1579">
        <f>H75/7</f>
        <v>0.10920784145395694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6263441.068400451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7764667.9642012166</v>
      </c>
      <c r="D81" s="1545" t="s">
        <v>68</v>
      </c>
    </row>
    <row r="82" spans="2:10">
      <c r="B82" s="1521" t="s">
        <v>1059</v>
      </c>
      <c r="C82" s="1568">
        <f>C68</f>
        <v>3509525.9589195945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11274193.923120812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23434478.224484354</v>
      </c>
      <c r="D93" s="1544"/>
      <c r="E93" s="1564" t="s">
        <v>288</v>
      </c>
      <c r="G93" s="1520" t="s">
        <v>1073</v>
      </c>
      <c r="H93" s="1565">
        <f>H97/1.63</f>
        <v>3265466.008365558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7764667.9642012166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1370235.5230943323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3509525.9589195945</v>
      </c>
      <c r="D95" s="1545" t="s">
        <v>68</v>
      </c>
      <c r="G95" s="1521" t="s">
        <v>1079</v>
      </c>
      <c r="H95" s="1568">
        <f>IF(GapCalc!D41*C43&lt; 0,0,GapCalc!D41*C43)</f>
        <v>619328.11039757554</v>
      </c>
      <c r="I95" s="1545" t="s">
        <v>68</v>
      </c>
    </row>
    <row r="96" spans="2:10">
      <c r="B96" s="1521" t="s">
        <v>1059</v>
      </c>
      <c r="C96" s="1568">
        <f>'Debt Calc'!H60</f>
        <v>26924005.582788683</v>
      </c>
      <c r="D96" s="1546">
        <v>0.9</v>
      </c>
      <c r="G96" s="1521" t="s">
        <v>1075</v>
      </c>
      <c r="H96" s="1568">
        <f>'Debt Calc'!E59*C43</f>
        <v>3333145.9601439517</v>
      </c>
      <c r="I96" s="1546">
        <v>0.9</v>
      </c>
    </row>
    <row r="97" spans="2:9">
      <c r="B97" s="1523" t="s">
        <v>1042</v>
      </c>
      <c r="C97" s="1577">
        <f>C94+C95+C96</f>
        <v>38198199.505909495</v>
      </c>
      <c r="D97" s="1545" t="s">
        <v>68</v>
      </c>
      <c r="G97" s="1523" t="s">
        <v>1042</v>
      </c>
      <c r="H97" s="1577">
        <f>H94+H95+H96</f>
        <v>5322709.593635859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0.62999999999999978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8.9999999999999969E-2</v>
      </c>
      <c r="I100" s="1548"/>
    </row>
    <row r="101" spans="2:9" ht="13.5" thickBot="1">
      <c r="B101" s="1578" t="s">
        <v>1080</v>
      </c>
      <c r="C101" s="1581">
        <f>GapCalc!H33</f>
        <v>15331074.848747011</v>
      </c>
      <c r="D101" s="1549"/>
      <c r="G101" s="1578" t="s">
        <v>1082</v>
      </c>
      <c r="H101" s="1581">
        <f>GapCalc!H32</f>
        <v>2705483.796837708</v>
      </c>
      <c r="I101" s="1549"/>
    </row>
    <row r="102" spans="2:9">
      <c r="B102" s="70" t="s">
        <v>1081</v>
      </c>
      <c r="C102" s="1579">
        <f>(C97-C101)/C101</f>
        <v>1.4915539114357259</v>
      </c>
      <c r="G102" s="70" t="s">
        <v>1081</v>
      </c>
      <c r="H102" s="1579">
        <f>(H97-H101)/H101</f>
        <v>0.96737810806972235</v>
      </c>
    </row>
    <row r="103" spans="2:9">
      <c r="B103" s="70" t="s">
        <v>1045</v>
      </c>
      <c r="C103" s="1579">
        <f>C102/10</f>
        <v>0.1491553911435726</v>
      </c>
      <c r="G103" s="70" t="s">
        <v>1045</v>
      </c>
      <c r="H103" s="1579">
        <f>H102/10</f>
        <v>9.6737810806972233E-2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2683308.4331320794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38652979.208860449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38652900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11819870.655851737</v>
      </c>
    </row>
    <row r="15" spans="2:36">
      <c r="B15" s="556"/>
      <c r="C15" s="560" t="s">
        <v>634</v>
      </c>
      <c r="H15" s="561">
        <f>12*PMT(Data!C24/12,Data!C29*12,-'Debt Calc'!H14)</f>
        <v>2683302.9344148254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5752048.8776262514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5752048.8776262514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38652900</v>
      </c>
      <c r="E21" s="561">
        <f>$H$15</f>
        <v>2683302.9344148254</v>
      </c>
      <c r="F21" s="561">
        <f>E21-G21</f>
        <v>0</v>
      </c>
      <c r="G21" s="561">
        <f>D21-H21</f>
        <v>2683302.9344148263</v>
      </c>
      <c r="H21" s="561">
        <f>D21-E21</f>
        <v>35969597.065585174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35969597.065585174</v>
      </c>
      <c r="E22" s="561">
        <f t="shared" ref="E22:E50" si="1">$H$15</f>
        <v>2683302.9344148254</v>
      </c>
      <c r="F22" s="561">
        <f t="shared" ref="F22:F50" si="2">E22-G22</f>
        <v>0</v>
      </c>
      <c r="G22" s="561">
        <f t="shared" ref="G22:G50" si="3">D22-H22</f>
        <v>2683302.9344148263</v>
      </c>
      <c r="H22" s="561">
        <f t="shared" ref="H22:H39" si="4">D22-E22</f>
        <v>33286294.131170347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33286294.131170347</v>
      </c>
      <c r="E23" s="561">
        <f t="shared" si="1"/>
        <v>2683302.9344148254</v>
      </c>
      <c r="F23" s="561">
        <f t="shared" si="2"/>
        <v>0</v>
      </c>
      <c r="G23" s="561">
        <f t="shared" si="3"/>
        <v>2683302.9344148263</v>
      </c>
      <c r="H23" s="561">
        <f t="shared" si="4"/>
        <v>30602991.196755521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30602991.196755521</v>
      </c>
      <c r="E24" s="561">
        <f t="shared" si="1"/>
        <v>2683302.9344148254</v>
      </c>
      <c r="F24" s="561">
        <f t="shared" si="2"/>
        <v>0</v>
      </c>
      <c r="G24" s="561">
        <f t="shared" si="3"/>
        <v>2683302.9344148263</v>
      </c>
      <c r="H24" s="561">
        <f t="shared" si="4"/>
        <v>27919688.262340695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27919688.262340695</v>
      </c>
      <c r="E25" s="561">
        <f t="shared" si="1"/>
        <v>2683302.9344148254</v>
      </c>
      <c r="F25" s="561">
        <f t="shared" si="2"/>
        <v>0</v>
      </c>
      <c r="G25" s="561">
        <f t="shared" si="3"/>
        <v>2683302.9344148263</v>
      </c>
      <c r="H25" s="561">
        <f t="shared" si="4"/>
        <v>25236385.327925868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25236385.327925868</v>
      </c>
      <c r="E26" s="561">
        <f t="shared" si="1"/>
        <v>2683302.9344148254</v>
      </c>
      <c r="F26" s="561">
        <f t="shared" si="2"/>
        <v>0</v>
      </c>
      <c r="G26" s="561">
        <f t="shared" si="3"/>
        <v>2683302.9344148263</v>
      </c>
      <c r="H26" s="561">
        <f t="shared" si="4"/>
        <v>22553082.393511042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22553082.393511042</v>
      </c>
      <c r="E27" s="561">
        <f t="shared" si="1"/>
        <v>2683302.9344148254</v>
      </c>
      <c r="F27" s="561">
        <f t="shared" si="2"/>
        <v>0</v>
      </c>
      <c r="G27" s="561">
        <f t="shared" si="3"/>
        <v>2683302.9344148263</v>
      </c>
      <c r="H27" s="561">
        <f t="shared" si="4"/>
        <v>19869779.459096216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19869779.459096216</v>
      </c>
      <c r="E28" s="561">
        <f t="shared" si="1"/>
        <v>2683302.9344148254</v>
      </c>
      <c r="F28" s="561">
        <f t="shared" si="2"/>
        <v>0</v>
      </c>
      <c r="G28" s="561">
        <f t="shared" si="3"/>
        <v>2683302.9344148263</v>
      </c>
      <c r="H28" s="561">
        <f t="shared" si="4"/>
        <v>17186476.524681389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17186476.524681389</v>
      </c>
      <c r="E29" s="561">
        <f t="shared" si="1"/>
        <v>2683302.9344148254</v>
      </c>
      <c r="F29" s="561">
        <f t="shared" si="2"/>
        <v>0</v>
      </c>
      <c r="G29" s="561">
        <f t="shared" si="3"/>
        <v>2683302.9344148263</v>
      </c>
      <c r="H29" s="561">
        <f t="shared" si="4"/>
        <v>14503173.590266563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14503173.590266563</v>
      </c>
      <c r="E30" s="561">
        <f t="shared" si="1"/>
        <v>2683302.9344148254</v>
      </c>
      <c r="F30" s="561">
        <f t="shared" si="2"/>
        <v>0</v>
      </c>
      <c r="G30" s="561">
        <f t="shared" si="3"/>
        <v>2683302.9344148263</v>
      </c>
      <c r="H30" s="561">
        <f>D30-E30</f>
        <v>11819870.655851737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11819870.655851737</v>
      </c>
      <c r="E31" s="561">
        <f t="shared" si="1"/>
        <v>2683302.9344148254</v>
      </c>
      <c r="F31" s="561">
        <f t="shared" si="2"/>
        <v>0</v>
      </c>
      <c r="G31" s="561">
        <f t="shared" si="3"/>
        <v>2683302.9344148263</v>
      </c>
      <c r="H31" s="561">
        <f t="shared" si="4"/>
        <v>9136567.7214369103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9136567.7214369103</v>
      </c>
      <c r="E32" s="561">
        <f t="shared" si="1"/>
        <v>2683302.9344148254</v>
      </c>
      <c r="F32" s="561">
        <f t="shared" si="2"/>
        <v>0</v>
      </c>
      <c r="G32" s="561">
        <f t="shared" si="3"/>
        <v>2683302.9344148254</v>
      </c>
      <c r="H32" s="561">
        <f t="shared" si="4"/>
        <v>6453264.7870220849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6453264.7870220849</v>
      </c>
      <c r="E33" s="561">
        <f t="shared" si="1"/>
        <v>2683302.9344148254</v>
      </c>
      <c r="F33" s="561">
        <f t="shared" si="2"/>
        <v>0</v>
      </c>
      <c r="G33" s="561">
        <f t="shared" si="3"/>
        <v>2683302.9344148254</v>
      </c>
      <c r="H33" s="561">
        <f t="shared" si="4"/>
        <v>3769961.8526072595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3769961.8526072595</v>
      </c>
      <c r="E34" s="561">
        <f t="shared" si="1"/>
        <v>2683302.9344148254</v>
      </c>
      <c r="F34" s="561">
        <f t="shared" si="2"/>
        <v>0</v>
      </c>
      <c r="G34" s="561">
        <f t="shared" si="3"/>
        <v>2683302.9344148254</v>
      </c>
      <c r="H34" s="561">
        <f t="shared" si="4"/>
        <v>1086658.9181924341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1086658.9181924341</v>
      </c>
      <c r="E35" s="561">
        <f t="shared" si="1"/>
        <v>2683302.9344148254</v>
      </c>
      <c r="F35" s="561">
        <f t="shared" si="2"/>
        <v>0</v>
      </c>
      <c r="G35" s="561">
        <f t="shared" si="3"/>
        <v>2683302.9344148254</v>
      </c>
      <c r="H35" s="561">
        <f t="shared" si="4"/>
        <v>-1596644.0162223913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-1596644.0162223913</v>
      </c>
      <c r="E36" s="561">
        <f t="shared" si="1"/>
        <v>2683302.9344148254</v>
      </c>
      <c r="F36" s="561">
        <f t="shared" si="2"/>
        <v>0</v>
      </c>
      <c r="G36" s="561">
        <f t="shared" si="3"/>
        <v>2683302.9344148254</v>
      </c>
      <c r="H36" s="561">
        <f t="shared" si="4"/>
        <v>-4279946.9506372167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-4279946.9506372167</v>
      </c>
      <c r="E37" s="561">
        <f t="shared" si="1"/>
        <v>2683302.9344148254</v>
      </c>
      <c r="F37" s="561">
        <f t="shared" si="2"/>
        <v>0</v>
      </c>
      <c r="G37" s="561">
        <f t="shared" si="3"/>
        <v>2683302.9344148254</v>
      </c>
      <c r="H37" s="561">
        <f t="shared" si="4"/>
        <v>-6963249.8850520421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-6963249.8850520421</v>
      </c>
      <c r="E38" s="561">
        <f t="shared" si="1"/>
        <v>2683302.9344148254</v>
      </c>
      <c r="F38" s="561">
        <f t="shared" si="2"/>
        <v>0</v>
      </c>
      <c r="G38" s="561">
        <f t="shared" si="3"/>
        <v>2683302.9344148245</v>
      </c>
      <c r="H38" s="561">
        <f>D38-E38</f>
        <v>-9646552.8194668666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-9646552.8194668666</v>
      </c>
      <c r="E39" s="561">
        <f t="shared" si="1"/>
        <v>2683302.9344148254</v>
      </c>
      <c r="F39" s="561">
        <f t="shared" si="2"/>
        <v>0</v>
      </c>
      <c r="G39" s="561">
        <f t="shared" si="3"/>
        <v>2683302.9344148263</v>
      </c>
      <c r="H39" s="561">
        <f t="shared" si="4"/>
        <v>-12329855.753881693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-12329855.753881693</v>
      </c>
      <c r="E40" s="561">
        <f t="shared" si="1"/>
        <v>2683302.9344148254</v>
      </c>
      <c r="F40" s="561">
        <f t="shared" si="2"/>
        <v>15013158.688296519</v>
      </c>
      <c r="G40" s="561">
        <f t="shared" si="3"/>
        <v>-12329855.753881693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2683302.9344148254</v>
      </c>
      <c r="F41" s="561">
        <f t="shared" si="2"/>
        <v>2683302.9344148254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2683302.9344148254</v>
      </c>
      <c r="F42" s="561">
        <f t="shared" si="2"/>
        <v>2683302.9344148254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2683302.9344148254</v>
      </c>
      <c r="F43" s="561">
        <f t="shared" si="2"/>
        <v>2683302.9344148254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2683302.9344148254</v>
      </c>
      <c r="F44" s="561">
        <f t="shared" si="2"/>
        <v>2683302.9344148254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2683302.9344148254</v>
      </c>
      <c r="F45" s="561">
        <f t="shared" si="2"/>
        <v>2683302.9344148254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2683302.9344148254</v>
      </c>
      <c r="F46" s="561">
        <f t="shared" si="2"/>
        <v>2683302.9344148254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2683302.9344148254</v>
      </c>
      <c r="F47" s="561">
        <f t="shared" si="2"/>
        <v>2683302.9344148254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2683302.9344148254</v>
      </c>
      <c r="F48" s="561">
        <f t="shared" si="2"/>
        <v>2683302.9344148254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2683302.9344148254</v>
      </c>
      <c r="F49" s="561">
        <f t="shared" si="2"/>
        <v>2683302.9344148254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2683302.9344148254</v>
      </c>
      <c r="F50" s="561">
        <f t="shared" si="2"/>
        <v>2683302.9344148254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3100240.4779541884</v>
      </c>
      <c r="F56" s="561"/>
      <c r="G56" s="1661" t="s">
        <v>1065</v>
      </c>
      <c r="H56" s="1668">
        <f>'Cash Flow'!N21/1.2</f>
        <v>3330748.9713785914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42090752.526722558</v>
      </c>
      <c r="F58" s="561"/>
      <c r="G58" s="1661" t="s">
        <v>1067</v>
      </c>
      <c r="H58" s="1668">
        <f>-PV(6.5%,30,H56)</f>
        <v>43495171.341485478</v>
      </c>
    </row>
    <row r="59" spans="2:28">
      <c r="D59" s="1652" t="s">
        <v>1068</v>
      </c>
      <c r="E59" s="1665">
        <f>E58-H27</f>
        <v>22220973.067626342</v>
      </c>
      <c r="F59" s="561"/>
      <c r="G59" s="1660" t="s">
        <v>1068</v>
      </c>
      <c r="H59" s="1668">
        <f>H58-H30</f>
        <v>31675300.685633741</v>
      </c>
    </row>
    <row r="60" spans="2:28" ht="13.5" thickBot="1">
      <c r="D60" s="1654" t="s">
        <v>1069</v>
      </c>
      <c r="E60" s="1666">
        <f>E59*GapCalc!I33</f>
        <v>18887827.107482392</v>
      </c>
      <c r="F60" s="561"/>
      <c r="G60" s="1662" t="s">
        <v>1069</v>
      </c>
      <c r="H60" s="1669">
        <f>H59*GapCalc!I33</f>
        <v>26924005.582788683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29588400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354882.67783200002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0</v>
      </c>
      <c r="C8" s="1417">
        <f>C7*D7</f>
        <v>284608.88024150499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284608.88024150499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284608.88024150499</v>
      </c>
      <c r="Y56" s="1309">
        <f>X56/'Rental Income'!D15</f>
        <v>2817.9097053614355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357193.01357483829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668595.3869081717</v>
      </c>
      <c r="Y70" s="1307">
        <f>X70/D10</f>
        <v>6619.7563060215016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619.75630602150159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112833.05251592293</v>
      </c>
      <c r="C9" s="446">
        <f>'Dev Summary_5-20'!B10</f>
        <v>50000</v>
      </c>
      <c r="D9" s="446">
        <f t="shared" si="0"/>
        <v>62833.052515922929</v>
      </c>
      <c r="E9" s="477">
        <f t="shared" si="1"/>
        <v>0.55686743480644529</v>
      </c>
      <c r="F9" s="477"/>
      <c r="G9" s="473" t="e">
        <f t="shared" si="2"/>
        <v>#REF!</v>
      </c>
      <c r="I9" s="53">
        <f t="shared" si="3"/>
        <v>1025.7550228720265</v>
      </c>
      <c r="J9" s="53">
        <f t="shared" si="4"/>
        <v>1.1440265696954508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264475</v>
      </c>
      <c r="C14" s="467">
        <f>'Dev Summary_5-20'!B14</f>
        <v>282276.62941911275</v>
      </c>
      <c r="D14" s="467">
        <f t="shared" si="0"/>
        <v>-17801.629419112753</v>
      </c>
      <c r="E14" s="478">
        <f t="shared" si="1"/>
        <v>-6.7309308702572082E-2</v>
      </c>
      <c r="F14" s="478"/>
      <c r="G14" s="474" t="e">
        <f t="shared" si="2"/>
        <v>#REF!</v>
      </c>
      <c r="I14" s="53">
        <f t="shared" si="3"/>
        <v>2404.318181818182</v>
      </c>
      <c r="J14" s="53">
        <f t="shared" si="4"/>
        <v>2.6815407389382324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38652979.208860449</v>
      </c>
      <c r="C21" s="48">
        <v>18731659</v>
      </c>
      <c r="D21" s="48">
        <f>B21-C21</f>
        <v>19921320.208860449</v>
      </c>
      <c r="E21" s="55">
        <f>D21/B21</f>
        <v>0.51538899760393819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4128854.0693171695</v>
      </c>
      <c r="C28" s="50"/>
      <c r="D28" s="50">
        <f t="shared" si="5"/>
        <v>4128854.0693171695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40849050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37264.145000000004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33537.730500000005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314667.17916666664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40849050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9395.281500000001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394864.33616666665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32679240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45872.917880000001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32679240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52960.417880000001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264475</v>
      </c>
      <c r="E58" s="748">
        <f>'PreDev Flow of Funds'!Y46</f>
        <v>96238.814999999988</v>
      </c>
      <c r="F58" s="748">
        <f>(D58-E58)/18</f>
        <v>9346.4547222222227</v>
      </c>
      <c r="G58" s="748">
        <f>$F$58</f>
        <v>9346.4547222222227</v>
      </c>
      <c r="H58" s="748">
        <f t="shared" ref="H58:W58" si="18">$F$58</f>
        <v>9346.4547222222227</v>
      </c>
      <c r="I58" s="748">
        <f t="shared" si="18"/>
        <v>9346.4547222222227</v>
      </c>
      <c r="J58" s="748">
        <f t="shared" si="18"/>
        <v>9346.4547222222227</v>
      </c>
      <c r="K58" s="748">
        <f t="shared" si="18"/>
        <v>9346.4547222222227</v>
      </c>
      <c r="L58" s="748">
        <f t="shared" si="18"/>
        <v>9346.4547222222227</v>
      </c>
      <c r="M58" s="748">
        <f t="shared" si="18"/>
        <v>9346.4547222222227</v>
      </c>
      <c r="N58" s="748">
        <f t="shared" si="18"/>
        <v>9346.4547222222227</v>
      </c>
      <c r="O58" s="748">
        <f t="shared" si="18"/>
        <v>9346.4547222222227</v>
      </c>
      <c r="P58" s="748">
        <f t="shared" si="18"/>
        <v>9346.4547222222227</v>
      </c>
      <c r="Q58" s="748">
        <f t="shared" si="18"/>
        <v>9346.4547222222227</v>
      </c>
      <c r="R58" s="748">
        <f t="shared" si="18"/>
        <v>9346.4547222222227</v>
      </c>
      <c r="S58" s="748">
        <f t="shared" si="18"/>
        <v>9346.4547222222227</v>
      </c>
      <c r="T58" s="748">
        <f t="shared" si="18"/>
        <v>9346.4547222222227</v>
      </c>
      <c r="U58" s="748">
        <f t="shared" si="18"/>
        <v>9346.4547222222227</v>
      </c>
      <c r="V58" s="748">
        <f t="shared" si="18"/>
        <v>9346.4547222222227</v>
      </c>
      <c r="W58" s="748">
        <f t="shared" si="18"/>
        <v>9346.4547222222227</v>
      </c>
      <c r="X58" s="748"/>
      <c r="Y58" s="748">
        <f t="shared" si="3"/>
        <v>264475.00000000012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112833.05251592293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34524125.13954328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-12951858.713162292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7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7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76" t="s">
        <v>583</v>
      </c>
      <c r="K74" s="1777"/>
      <c r="L74" s="1777"/>
      <c r="M74" s="1777"/>
      <c r="N74" s="1777"/>
      <c r="O74" s="1778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1">
        <f>'PreDev Flow of Funds'!D47</f>
        <v>14824249.954999998</v>
      </c>
      <c r="D114" s="1770"/>
    </row>
    <row r="115" spans="2:19">
      <c r="B115" s="397" t="s">
        <v>601</v>
      </c>
      <c r="C115" s="1772">
        <f>M102</f>
        <v>1323400.22</v>
      </c>
      <c r="D115" s="1770"/>
    </row>
    <row r="116" spans="2:19">
      <c r="B116" s="397" t="s">
        <v>583</v>
      </c>
      <c r="C116" s="1772">
        <f>'Development Budget'!G37-Predevelopment!D27-Predevelopment!D28-Predevelopment!D29-Timeline!M102-Predevelopment!D17</f>
        <v>-10626028.619999999</v>
      </c>
      <c r="D116" s="1770"/>
    </row>
    <row r="117" spans="2:19" ht="16.5" thickBot="1">
      <c r="B117" s="398" t="s">
        <v>602</v>
      </c>
      <c r="C117" s="1773">
        <f>C118-C114-C116-C115</f>
        <v>60835665.445</v>
      </c>
      <c r="D117" s="1774"/>
    </row>
    <row r="118" spans="2:19" ht="16.5" thickTop="1">
      <c r="B118" s="368" t="s">
        <v>586</v>
      </c>
      <c r="C118" s="1769">
        <v>66357287</v>
      </c>
      <c r="D118" s="1770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