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02B79A00-5260-4CF1-A538-9DAB19D0AA2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<sst xmlns="http://schemas.openxmlformats.org/spreadsheetml/2006/main" count="1995" uniqueCount="1106">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</sst>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6.4976122445498927E-2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6.4976122445498954E-2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-2106684.9887046916</v>
      </c>
      <c r="E18" s="1755">
        <f ca="1">-D18/D28</f>
        <v>3.7030791602342995E-2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1732.6732673267327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364475</v>
      </c>
      <c r="E24" s="1531">
        <f t="shared" si="0"/>
        <v>3608.6633663366338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3773607.003783416</v>
      </c>
      <c r="E25" s="1531">
        <f t="shared" si="0"/>
        <v>37362.445582014021</v>
      </c>
    </row>
    <row r="26" spans="1:6">
      <c r="A26" s="64"/>
      <c r="B26" s="4" t="s">
        <v>20</v>
      </c>
      <c r="C26" s="4"/>
      <c r="D26" s="1531">
        <f>'Development Budget'!G181</f>
        <v>2811578.820647025</v>
      </c>
      <c r="E26" s="1531">
        <f t="shared" si="0"/>
        <v>27837.414065812129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7569724.8729690686</v>
      </c>
      <c r="E27" s="1532">
        <f t="shared" si="0"/>
        <v>74947.771019495733</v>
      </c>
    </row>
    <row r="28" spans="1:6" ht="16.5" thickTop="1">
      <c r="A28" s="4"/>
      <c r="B28" s="4"/>
      <c r="C28" s="150" t="s">
        <v>14</v>
      </c>
      <c r="D28" s="1533">
        <f>SUM(D21:D27)</f>
        <v>56890087.884899512</v>
      </c>
      <c r="E28" s="1531">
        <f t="shared" si="0"/>
        <v>563268.19688019319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37286545.376293756</v>
      </c>
      <c r="E32" s="1586">
        <f t="shared" si="1"/>
        <v>369173.71659696789</v>
      </c>
    </row>
    <row r="33" spans="1:5">
      <c r="A33" s="64"/>
      <c r="B33" s="4" t="s">
        <v>1052</v>
      </c>
      <c r="C33" s="4"/>
      <c r="D33" s="1587">
        <f>GapCalc!D29</f>
        <v>2940531.3762908624</v>
      </c>
      <c r="E33" s="1586">
        <f>D33/$D$10</f>
        <v>29114.172042483788</v>
      </c>
    </row>
    <row r="34" spans="1:5">
      <c r="A34" s="65"/>
      <c r="B34" s="4" t="s">
        <v>26</v>
      </c>
      <c r="C34" s="4"/>
      <c r="D34" s="1587">
        <f>GapCalc!D30</f>
        <v>16663011.132314891</v>
      </c>
      <c r="E34" s="1586">
        <f>D34/$D$10</f>
        <v>164980.30824074149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56890087.884899512</v>
      </c>
      <c r="E36" s="1586">
        <f>D36/$D$10</f>
        <v>563268.19688019319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38318357.322934859</v>
      </c>
      <c r="E40" s="1586">
        <f t="shared" ref="E40" si="2">D40/$D$10</f>
        <v>379389.6764647016</v>
      </c>
    </row>
    <row r="41" spans="1:5">
      <c r="A41" s="60"/>
      <c r="B41" s="4" t="s">
        <v>1052</v>
      </c>
      <c r="C41" s="4"/>
      <c r="D41" s="1591">
        <f>GapCalc!D29+GapCalc!D38</f>
        <v>2940531.3762908624</v>
      </c>
      <c r="E41" s="1586">
        <f>D41/$D$10</f>
        <v>29114.172042483788</v>
      </c>
    </row>
    <row r="42" spans="1:5">
      <c r="A42" s="60"/>
      <c r="B42" s="1557" t="s">
        <v>26</v>
      </c>
      <c r="C42" s="4"/>
      <c r="D42" s="1592">
        <f>GapCalc!D30+GapCalc!D39</f>
        <v>16663011.132314891</v>
      </c>
      <c r="E42" s="1586">
        <f>D42/$D$10</f>
        <v>164980.30824074149</v>
      </c>
    </row>
    <row r="43" spans="1:5">
      <c r="A43" s="60"/>
      <c r="B43" s="1714" t="s">
        <v>1103</v>
      </c>
      <c r="C43" s="4"/>
      <c r="D43" s="1592">
        <f>IF(D32-D40&gt;0,0,D32-D40)</f>
        <v>-1031811.9466411024</v>
      </c>
      <c r="E43" s="1586">
        <f>D43/$D$10</f>
        <v>-10215.959867733687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56890087.884899512</v>
      </c>
      <c r="E45" s="1588">
        <f>D45/$D$10</f>
        <v>563268.19688019319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1732.6732673267327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364475</v>
      </c>
      <c r="E20" s="1531">
        <f t="shared" si="0"/>
        <v>3608.6633663366338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3773607.003783416</v>
      </c>
      <c r="E21" s="1531">
        <f t="shared" si="0"/>
        <v>37362.445582014021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2811578.820647025</v>
      </c>
      <c r="E22" s="1531">
        <f t="shared" si="0"/>
        <v>27837.414065812129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7569724.8729690686</v>
      </c>
      <c r="E23" s="1532">
        <f t="shared" si="0"/>
        <v>74947.771019495733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56890087.884899512</v>
      </c>
      <c r="E24" s="1531">
        <f t="shared" si="0"/>
        <v>563268.19688019319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37286545.376293756</v>
      </c>
      <c r="E28" s="1586">
        <f t="shared" si="1"/>
        <v>369173.71659696789</v>
      </c>
      <c r="F28" s="62"/>
      <c r="G28" s="1419" t="s">
        <v>609</v>
      </c>
      <c r="H28" s="1608">
        <f>H32/D11</f>
        <v>29114.172042483788</v>
      </c>
      <c r="I28" s="703"/>
    </row>
    <row r="29" spans="1:10" ht="15.75">
      <c r="A29" s="64"/>
      <c r="B29" s="4" t="s">
        <v>1052</v>
      </c>
      <c r="C29" s="4"/>
      <c r="D29" s="1587">
        <v>2940531.3762908624</v>
      </c>
      <c r="E29" s="1586">
        <f>D29/$D$11</f>
        <v>29114.172042483788</v>
      </c>
      <c r="F29" s="520"/>
      <c r="G29" s="1420" t="s">
        <v>972</v>
      </c>
      <c r="H29" s="1609">
        <f>H33/D11</f>
        <v>164980.30824074149</v>
      </c>
      <c r="I29" s="703"/>
    </row>
    <row r="30" spans="1:10" ht="16.5" thickBot="1">
      <c r="A30" s="65"/>
      <c r="B30" s="4" t="s">
        <v>26</v>
      </c>
      <c r="C30" s="4"/>
      <c r="D30" s="1587">
        <v>16663011.132314891</v>
      </c>
      <c r="E30" s="1586">
        <f>D30/$D$11</f>
        <v>164980.30824074149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2940531.3762908624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56890087.884899512</v>
      </c>
      <c r="E33" s="1586">
        <f>D33/$D$11</f>
        <v>563268.19688019319</v>
      </c>
      <c r="F33" s="62"/>
      <c r="G33" s="1441" t="s">
        <v>972</v>
      </c>
      <c r="H33" s="1611">
        <f>D30+D39</f>
        <v>16663011.132314891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19603542.508605752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0.34458625812404786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38318357.322934859</v>
      </c>
      <c r="E37" s="1586">
        <f t="shared" ref="E37" si="2">D37/$D$11</f>
        <v>379389.6764647016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2940531.3762908624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16663011.132314891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1031811.9466411024</v>
      </c>
      <c r="E41" s="1588">
        <f>D41/$D$11</f>
        <v>10215.959867733687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38318357.322934859</v>
      </c>
      <c r="E42" s="1586">
        <f>D42/$D$11</f>
        <v>379389.6764647016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-154771.79199616535</v>
      </c>
      <c r="I43" s="1596">
        <f>D38+H43</f>
        <v>-154771.79199616535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-877040.15464493702</v>
      </c>
      <c r="I44" s="1596">
        <f>D39+H44</f>
        <v>-877040.15464493702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14872328.891915902</v>
      </c>
      <c r="J46" s="1582" t="s">
        <v>1084</v>
      </c>
      <c r="K46" s="1583">
        <f>'Cash Flow'!C76</f>
        <v>6.4976122445498927E-2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4771353.1419383585</v>
      </c>
      <c r="J47" s="1584" t="s">
        <v>1099</v>
      </c>
      <c r="K47" s="1607">
        <f>'Cash Flow'!C70</f>
        <v>24241896.093822919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-1790682.2403989881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2624528.6279851589</v>
      </c>
      <c r="J51" s="1585" t="s">
        <v>1084</v>
      </c>
      <c r="K51" s="1618">
        <f>'Cash Flow'!H76</f>
        <v>6.4976122445498954E-2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2940531.3762908624</v>
      </c>
      <c r="J52" s="1584" t="s">
        <v>1098</v>
      </c>
      <c r="K52" s="1607">
        <f>'Cash Flow'!H70</f>
        <v>4277981.6636158088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-316002.74830570351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-2106684.9887046916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21663230.382536493</v>
      </c>
      <c r="J58" s="1582" t="s">
        <v>1084</v>
      </c>
      <c r="K58" s="1583">
        <f>'Cash Flow'!C103</f>
        <v>0.11191287242829162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35311065.523534484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5000219.2502216026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2959254.6571330456</v>
      </c>
      <c r="J63" s="1585" t="s">
        <v>1084</v>
      </c>
      <c r="K63" s="1618">
        <f>'Cash Flow'!H103</f>
        <v>6.4037871862848622E-2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2940531.3762908624</v>
      </c>
      <c r="J64" s="1584" t="s">
        <v>1098</v>
      </c>
      <c r="K64" s="1607">
        <f>'Cash Flow'!H97</f>
        <v>4823585.0911268638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18723.280842183158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5018942.5310637858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P24" sqref="P2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9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6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1031811.9466411024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6565000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1732.6732673267327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264475</v>
      </c>
      <c r="H90" s="1111"/>
      <c r="I90" s="950">
        <f t="shared" si="3"/>
        <v>2618.5643564356437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264475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364475</v>
      </c>
      <c r="H97" s="1101"/>
      <c r="I97" s="950">
        <f t="shared" si="3"/>
        <v>3608.6633663366338</v>
      </c>
      <c r="J97" s="1102"/>
      <c r="K97" s="1166">
        <f>I97/I250</f>
        <v>6.4066520821238456E-3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364475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189730.18910232466</v>
      </c>
      <c r="H102" s="1111"/>
      <c r="I102" s="950">
        <f t="shared" si="3"/>
        <v>1878.5167237853927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189730.18910232466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174730.18910232466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1941856.2989931779</v>
      </c>
      <c r="N103" s="1172">
        <v>3494603.7820464927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189730.18910232466</v>
      </c>
      <c r="H114" s="1101"/>
      <c r="I114" s="950">
        <f t="shared" si="3"/>
        <v>1878.5167237853927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189730.18910232466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2628701.4490287099</v>
      </c>
      <c r="H116" s="1177"/>
      <c r="I116" s="950">
        <f t="shared" si="3"/>
        <v>26026.747020086237</v>
      </c>
      <c r="J116" s="1178"/>
      <c r="K116" s="1179" t="s">
        <v>823</v>
      </c>
      <c r="L116" s="1073"/>
      <c r="M116" s="1180">
        <f>0.5*Data!C20*Data!C17/12*Data!C19</f>
        <v>2628701.4490287099</v>
      </c>
      <c r="N116" s="1181">
        <v>2628701.4490287099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2628701.4490287099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372865.45376293757</v>
      </c>
      <c r="H117" s="1094"/>
      <c r="I117" s="950">
        <f t="shared" si="3"/>
        <v>3691.7371659696787</v>
      </c>
      <c r="J117" s="1015"/>
      <c r="K117" s="1184" t="s">
        <v>825</v>
      </c>
      <c r="L117" s="1185"/>
      <c r="M117" s="1186">
        <f>0.01*Data!C20</f>
        <v>372865.45376293757</v>
      </c>
      <c r="N117" s="1172">
        <v>372865.45376293757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372865.45376293757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65929.818064440638</v>
      </c>
      <c r="H125" s="1111"/>
      <c r="I125" s="950">
        <f t="shared" si="3"/>
        <v>652.77047588555092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65929.818064440638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55929.818064440638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55929.818064440638</v>
      </c>
      <c r="N126" s="1172">
        <v>55929.818064440638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3663607.003783416</v>
      </c>
      <c r="H148" s="1128"/>
      <c r="I148" s="950">
        <f t="shared" si="6"/>
        <v>36273.336671122932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3663607.003783416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383183.57322934858</v>
      </c>
      <c r="H151" s="1093"/>
      <c r="I151" s="950">
        <f t="shared" ref="I151:I158" si="7">G151/$F$9</f>
        <v>3793.8967646470155</v>
      </c>
      <c r="J151" s="1094"/>
      <c r="K151" s="1244" t="s">
        <v>863</v>
      </c>
      <c r="L151" s="1245"/>
      <c r="M151" s="1558">
        <f>Data!C31*Data!C30</f>
        <v>383183.57322934858</v>
      </c>
      <c r="N151" s="1345">
        <v>383183.57322934858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3355789.0838664384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2811578.820647025</v>
      </c>
      <c r="H178" s="1093"/>
      <c r="I178" s="950">
        <f t="shared" si="6"/>
        <v>27837.414065812129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2811578.820647025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2811578.820647025</v>
      </c>
      <c r="H181" s="1128"/>
      <c r="I181" s="950">
        <f t="shared" si="6"/>
        <v>27837.414065812129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2811578.820647025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394801.79845007579</v>
      </c>
      <c r="H233" s="1111"/>
      <c r="I233" s="950">
        <f t="shared" si="8"/>
        <v>3908.9286975255027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394801.79845007579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833551.79845007579</v>
      </c>
      <c r="H234" s="1282"/>
      <c r="I234" s="950">
        <f t="shared" si="8"/>
        <v>8252.9881034660975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833551.79845007579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56890087.884899512</v>
      </c>
      <c r="H250" s="1298"/>
      <c r="I250" s="1299">
        <f>G250/F9</f>
        <v>563268.19688019319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576.8147775976347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37286545.376293756</v>
      </c>
      <c r="D20" s="1375">
        <f>MIN(D22,GapCalc!D24)</f>
        <v>36978557.125184685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36978557.125184685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-2660078.8206470124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2660078.820647025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38318357.322934859</v>
      </c>
      <c r="D30" s="1376">
        <f>-PV($C$24/12,$C$29*12,C27/12)</f>
        <v>38318357.322934859</v>
      </c>
      <c r="E30" s="1384"/>
      <c r="F30" t="s">
        <v>438</v>
      </c>
      <c r="G30" s="1381"/>
      <c r="H30" s="1376">
        <f>PV(G23,G29,-'Cash Flow'!E41*H28,)</f>
        <v>4288413.3144179601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2660078.820647025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45512070.307919614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43749686.591484815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-312484.41522357019</v>
      </c>
      <c r="F19" s="89">
        <f>E19*(1+$D$19)</f>
        <v>-316390.47041386482</v>
      </c>
      <c r="G19" s="89">
        <f t="shared" ref="G19:AH19" si="6">F19*(1+$D$19)</f>
        <v>-320345.35129403812</v>
      </c>
      <c r="H19" s="89">
        <f t="shared" si="6"/>
        <v>-324349.66818521358</v>
      </c>
      <c r="I19" s="89">
        <f t="shared" si="6"/>
        <v>-328404.03903752874</v>
      </c>
      <c r="J19" s="89">
        <f t="shared" si="6"/>
        <v>-332509.08952549781</v>
      </c>
      <c r="K19" s="89">
        <f t="shared" si="6"/>
        <v>-336665.45314456651</v>
      </c>
      <c r="L19" s="89">
        <f t="shared" si="6"/>
        <v>-340873.77130887355</v>
      </c>
      <c r="M19" s="89">
        <f t="shared" si="6"/>
        <v>-345134.69345023442</v>
      </c>
      <c r="N19" s="89">
        <f t="shared" si="6"/>
        <v>-349448.87711836235</v>
      </c>
      <c r="O19" s="89">
        <f t="shared" si="6"/>
        <v>-353816.98808234185</v>
      </c>
      <c r="P19" s="89">
        <f t="shared" si="6"/>
        <v>-358239.70043337112</v>
      </c>
      <c r="Q19" s="89">
        <f t="shared" si="6"/>
        <v>-362717.69668878824</v>
      </c>
      <c r="R19" s="89">
        <f t="shared" si="6"/>
        <v>-367251.66789739806</v>
      </c>
      <c r="S19" s="90">
        <f t="shared" si="6"/>
        <v>-371842.31374611554</v>
      </c>
      <c r="T19" s="89">
        <f t="shared" si="6"/>
        <v>-376490.34266794199</v>
      </c>
      <c r="U19" s="89">
        <f t="shared" si="6"/>
        <v>-381196.47195129126</v>
      </c>
      <c r="V19" s="89">
        <f t="shared" si="6"/>
        <v>-385961.4278506824</v>
      </c>
      <c r="W19" s="89">
        <f t="shared" si="6"/>
        <v>-390785.94569881592</v>
      </c>
      <c r="X19" s="89">
        <f t="shared" si="6"/>
        <v>-395670.7700200511</v>
      </c>
      <c r="Y19" s="89">
        <f t="shared" si="6"/>
        <v>-400616.65464530175</v>
      </c>
      <c r="Z19" s="89">
        <f t="shared" si="6"/>
        <v>-405624.36282836803</v>
      </c>
      <c r="AA19" s="89">
        <f t="shared" si="6"/>
        <v>-410694.66736372263</v>
      </c>
      <c r="AB19" s="89">
        <f t="shared" si="6"/>
        <v>-415828.35070576915</v>
      </c>
      <c r="AC19" s="89">
        <f t="shared" si="6"/>
        <v>-421026.20508959127</v>
      </c>
      <c r="AD19" s="89">
        <f t="shared" si="6"/>
        <v>-426289.03265321115</v>
      </c>
      <c r="AE19" s="89">
        <f t="shared" si="6"/>
        <v>-431617.6455613763</v>
      </c>
      <c r="AF19" s="89">
        <f t="shared" si="6"/>
        <v>-437012.86613089347</v>
      </c>
      <c r="AG19" s="89">
        <f t="shared" si="6"/>
        <v>-442475.5269575296</v>
      </c>
      <c r="AH19" s="89">
        <f t="shared" si="6"/>
        <v>-448006.47104449867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3192094.5847764299</v>
      </c>
      <c r="F21" s="95">
        <f t="shared" si="8"/>
        <v>3270500.504586135</v>
      </c>
      <c r="G21" s="95">
        <f t="shared" si="8"/>
        <v>3350703.2980809612</v>
      </c>
      <c r="H21" s="95">
        <f t="shared" si="8"/>
        <v>3432741.0739241606</v>
      </c>
      <c r="I21" s="95">
        <f t="shared" si="8"/>
        <v>3516652.641302079</v>
      </c>
      <c r="J21" s="95">
        <f t="shared" si="8"/>
        <v>3602477.5184388123</v>
      </c>
      <c r="K21" s="95">
        <f t="shared" si="8"/>
        <v>3690255.9410066321</v>
      </c>
      <c r="L21" s="95">
        <f t="shared" si="8"/>
        <v>3780028.8704184564</v>
      </c>
      <c r="M21" s="95">
        <f t="shared" si="8"/>
        <v>3871838.0019879132</v>
      </c>
      <c r="N21" s="95">
        <f t="shared" si="8"/>
        <v>3965725.7729417393</v>
      </c>
      <c r="O21" s="95">
        <f t="shared" si="8"/>
        <v>4061735.3702685237</v>
      </c>
      <c r="P21" s="95">
        <f t="shared" si="8"/>
        <v>4159910.7383869016</v>
      </c>
      <c r="Q21" s="95">
        <f t="shared" si="8"/>
        <v>4260296.5866155</v>
      </c>
      <c r="R21" s="95">
        <f t="shared" si="8"/>
        <v>4362938.3964259773</v>
      </c>
      <c r="S21" s="96">
        <f t="shared" si="8"/>
        <v>4467882.4284596033</v>
      </c>
      <c r="T21" s="95">
        <f t="shared" si="8"/>
        <v>4575175.7292867759</v>
      </c>
      <c r="U21" s="95">
        <f t="shared" si="8"/>
        <v>4684866.1378879352</v>
      </c>
      <c r="V21" s="95">
        <f t="shared" si="8"/>
        <v>4797002.2918331632</v>
      </c>
      <c r="W21" s="95">
        <f t="shared" si="8"/>
        <v>4911633.6331367176</v>
      </c>
      <c r="X21" s="95">
        <f t="shared" si="8"/>
        <v>5028810.4137615487</v>
      </c>
      <c r="Y21" s="95">
        <f t="shared" si="8"/>
        <v>5148583.7007476464</v>
      </c>
      <c r="Z21" s="95">
        <f t="shared" si="8"/>
        <v>5271005.3809367996</v>
      </c>
      <c r="AA21" s="95">
        <f t="shared" si="8"/>
        <v>5396128.1652650293</v>
      </c>
      <c r="AB21" s="95">
        <f t="shared" si="8"/>
        <v>5524005.5925925896</v>
      </c>
      <c r="AC21" s="95">
        <f t="shared" si="8"/>
        <v>5654692.0330399983</v>
      </c>
      <c r="AD21" s="95">
        <f t="shared" si="8"/>
        <v>5788242.690797098</v>
      </c>
      <c r="AE21" s="95">
        <f t="shared" si="8"/>
        <v>5924713.6063705301</v>
      </c>
      <c r="AF21" s="95">
        <f t="shared" si="8"/>
        <v>6064161.6582334908</v>
      </c>
      <c r="AG21" s="95">
        <f t="shared" si="8"/>
        <v>6206644.5638398398</v>
      </c>
      <c r="AH21" s="95">
        <f t="shared" si="8"/>
        <v>6352220.8799630152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-2660078.820647025</v>
      </c>
      <c r="F22" s="95">
        <f t="shared" ref="F22:AH22" si="9">$E$22</f>
        <v>-2660078.820647025</v>
      </c>
      <c r="G22" s="95">
        <f t="shared" si="9"/>
        <v>-2660078.820647025</v>
      </c>
      <c r="H22" s="95">
        <f t="shared" si="9"/>
        <v>-2660078.820647025</v>
      </c>
      <c r="I22" s="95">
        <f t="shared" si="9"/>
        <v>-2660078.820647025</v>
      </c>
      <c r="J22" s="95">
        <f t="shared" si="9"/>
        <v>-2660078.820647025</v>
      </c>
      <c r="K22" s="95">
        <f t="shared" si="9"/>
        <v>-2660078.820647025</v>
      </c>
      <c r="L22" s="95">
        <f t="shared" si="9"/>
        <v>-2660078.820647025</v>
      </c>
      <c r="M22" s="95">
        <f t="shared" si="9"/>
        <v>-2660078.820647025</v>
      </c>
      <c r="N22" s="95">
        <f t="shared" si="9"/>
        <v>-2660078.820647025</v>
      </c>
      <c r="O22" s="95">
        <f t="shared" si="9"/>
        <v>-2660078.820647025</v>
      </c>
      <c r="P22" s="95">
        <f t="shared" si="9"/>
        <v>-2660078.820647025</v>
      </c>
      <c r="Q22" s="95">
        <f t="shared" si="9"/>
        <v>-2660078.820647025</v>
      </c>
      <c r="R22" s="95">
        <f t="shared" si="9"/>
        <v>-2660078.820647025</v>
      </c>
      <c r="S22" s="96">
        <f t="shared" si="9"/>
        <v>-2660078.820647025</v>
      </c>
      <c r="T22" s="95">
        <f t="shared" si="9"/>
        <v>-2660078.820647025</v>
      </c>
      <c r="U22" s="95">
        <f t="shared" si="9"/>
        <v>-2660078.820647025</v>
      </c>
      <c r="V22" s="95">
        <f t="shared" si="9"/>
        <v>-2660078.820647025</v>
      </c>
      <c r="W22" s="95">
        <f t="shared" si="9"/>
        <v>-2660078.820647025</v>
      </c>
      <c r="X22" s="95">
        <f t="shared" si="9"/>
        <v>-2660078.820647025</v>
      </c>
      <c r="Y22" s="95">
        <f t="shared" si="9"/>
        <v>-2660078.820647025</v>
      </c>
      <c r="Z22" s="95">
        <f t="shared" si="9"/>
        <v>-2660078.820647025</v>
      </c>
      <c r="AA22" s="95">
        <f t="shared" si="9"/>
        <v>-2660078.820647025</v>
      </c>
      <c r="AB22" s="95">
        <f t="shared" si="9"/>
        <v>-2660078.820647025</v>
      </c>
      <c r="AC22" s="95">
        <f t="shared" si="9"/>
        <v>-2660078.820647025</v>
      </c>
      <c r="AD22" s="95">
        <f t="shared" si="9"/>
        <v>-2660078.820647025</v>
      </c>
      <c r="AE22" s="95">
        <f t="shared" si="9"/>
        <v>-2660078.820647025</v>
      </c>
      <c r="AF22" s="95">
        <f t="shared" si="9"/>
        <v>-2660078.820647025</v>
      </c>
      <c r="AG22" s="95">
        <f t="shared" si="9"/>
        <v>-2660078.820647025</v>
      </c>
      <c r="AH22" s="95">
        <f t="shared" si="9"/>
        <v>-2660078.820647025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532015.76412940491</v>
      </c>
      <c r="F25" s="119">
        <f t="shared" ref="F25:AH25" si="11">+F21+F22+F23</f>
        <v>610421.68393911002</v>
      </c>
      <c r="G25" s="119">
        <f t="shared" si="11"/>
        <v>690624.4774339362</v>
      </c>
      <c r="H25" s="119">
        <f t="shared" si="11"/>
        <v>772662.25327713555</v>
      </c>
      <c r="I25" s="119">
        <f t="shared" si="11"/>
        <v>856573.82065505395</v>
      </c>
      <c r="J25" s="119">
        <f t="shared" si="11"/>
        <v>942398.69779178733</v>
      </c>
      <c r="K25" s="119">
        <f t="shared" si="11"/>
        <v>1030177.120359607</v>
      </c>
      <c r="L25" s="119">
        <f t="shared" si="11"/>
        <v>1119950.0497714314</v>
      </c>
      <c r="M25" s="119">
        <f t="shared" si="11"/>
        <v>1211759.1813408881</v>
      </c>
      <c r="N25" s="119">
        <f t="shared" si="11"/>
        <v>1305646.9522947143</v>
      </c>
      <c r="O25" s="119">
        <f t="shared" si="11"/>
        <v>1401656.5496214987</v>
      </c>
      <c r="P25" s="119">
        <f t="shared" si="11"/>
        <v>1499831.9177398765</v>
      </c>
      <c r="Q25" s="119">
        <f t="shared" si="11"/>
        <v>1600217.765968475</v>
      </c>
      <c r="R25" s="119">
        <f t="shared" si="11"/>
        <v>1702859.5757789523</v>
      </c>
      <c r="S25" s="160">
        <f t="shared" si="11"/>
        <v>1807803.6078125783</v>
      </c>
      <c r="T25" s="119">
        <f t="shared" si="11"/>
        <v>1915096.9086397509</v>
      </c>
      <c r="U25" s="119">
        <f t="shared" si="11"/>
        <v>2024787.3172409101</v>
      </c>
      <c r="V25" s="119">
        <f t="shared" si="11"/>
        <v>2136923.4711861382</v>
      </c>
      <c r="W25" s="119">
        <f t="shared" si="11"/>
        <v>2251554.8124896926</v>
      </c>
      <c r="X25" s="119">
        <f t="shared" si="11"/>
        <v>2368731.5931145237</v>
      </c>
      <c r="Y25" s="119">
        <f t="shared" si="11"/>
        <v>2488504.8801006214</v>
      </c>
      <c r="Z25" s="119">
        <f t="shared" si="11"/>
        <v>2610926.5602897746</v>
      </c>
      <c r="AA25" s="119">
        <f t="shared" si="11"/>
        <v>2736049.3446180043</v>
      </c>
      <c r="AB25" s="119">
        <f t="shared" si="11"/>
        <v>2863926.7719455645</v>
      </c>
      <c r="AC25" s="119">
        <f t="shared" si="11"/>
        <v>2994613.2123929732</v>
      </c>
      <c r="AD25" s="119">
        <f t="shared" si="11"/>
        <v>3128163.870150073</v>
      </c>
      <c r="AE25" s="119">
        <f t="shared" si="11"/>
        <v>3264634.7857235051</v>
      </c>
      <c r="AF25" s="119">
        <f t="shared" si="11"/>
        <v>3404082.8375864658</v>
      </c>
      <c r="AG25" s="119">
        <f t="shared" si="11"/>
        <v>3546565.7431928148</v>
      </c>
      <c r="AH25" s="119">
        <f t="shared" si="11"/>
        <v>3692142.0593159902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1.2294750363038618</v>
      </c>
      <c r="G27" s="122">
        <f t="shared" si="12"/>
        <v>1.2596255690145122</v>
      </c>
      <c r="H27" s="122">
        <f t="shared" si="12"/>
        <v>1.2904659242725736</v>
      </c>
      <c r="I27" s="122">
        <f t="shared" si="12"/>
        <v>1.322010691565412</v>
      </c>
      <c r="J27" s="122">
        <f t="shared" si="12"/>
        <v>1.35427472692804</v>
      </c>
      <c r="K27" s="122">
        <f t="shared" si="12"/>
        <v>1.3872731561048375</v>
      </c>
      <c r="L27" s="122">
        <f t="shared" si="12"/>
        <v>1.4210213776669294</v>
      </c>
      <c r="M27" s="122">
        <f t="shared" si="12"/>
        <v>1.4555350660797883</v>
      </c>
      <c r="N27" s="122">
        <f t="shared" si="12"/>
        <v>1.4908301747153248</v>
      </c>
      <c r="O27" s="122">
        <f t="shared" si="12"/>
        <v>1.5269229388024548</v>
      </c>
      <c r="P27" s="122">
        <f t="shared" si="12"/>
        <v>1.5638298783097955</v>
      </c>
      <c r="Q27" s="122">
        <f t="shared" si="12"/>
        <v>1.601567800753831</v>
      </c>
      <c r="R27" s="122">
        <f t="shared" si="12"/>
        <v>1.6401538039255381</v>
      </c>
      <c r="S27" s="161">
        <f t="shared" si="12"/>
        <v>1.6796052785281215</v>
      </c>
      <c r="T27" s="122">
        <f t="shared" si="12"/>
        <v>1.7199399107181086</v>
      </c>
      <c r="U27" s="122">
        <f t="shared" si="12"/>
        <v>1.7611756845417124</v>
      </c>
      <c r="V27" s="122">
        <f t="shared" si="12"/>
        <v>1.8033308842579194</v>
      </c>
      <c r="W27" s="122">
        <f t="shared" si="12"/>
        <v>1.8464240965393781</v>
      </c>
      <c r="X27" s="122">
        <f t="shared" si="12"/>
        <v>1.8904742125417038</v>
      </c>
      <c r="Y27" s="122">
        <f t="shared" si="12"/>
        <v>1.935500429831372</v>
      </c>
      <c r="Z27" s="122">
        <f t="shared" si="12"/>
        <v>1.9815222541618918</v>
      </c>
      <c r="AA27" s="122">
        <f t="shared" si="12"/>
        <v>2.0285595010874529</v>
      </c>
      <c r="AB27" s="122">
        <f t="shared" si="12"/>
        <v>2.0766322974027349</v>
      </c>
      <c r="AC27" s="122">
        <f t="shared" si="12"/>
        <v>2.1257610823970161</v>
      </c>
      <c r="AD27" s="122">
        <f t="shared" si="12"/>
        <v>2.1759666089101799</v>
      </c>
      <c r="AE27" s="122">
        <f t="shared" si="12"/>
        <v>2.2272699441776056</v>
      </c>
      <c r="AF27" s="122">
        <f t="shared" si="12"/>
        <v>2.2796924704503576</v>
      </c>
      <c r="AG27" s="122">
        <f t="shared" si="12"/>
        <v>2.3332558853764209</v>
      </c>
      <c r="AH27" s="122">
        <f t="shared" si="12"/>
        <v>2.387982202128105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532015.76412940491</v>
      </c>
      <c r="F41" s="129">
        <f t="shared" ref="F41:S41" si="20">F25+F37</f>
        <v>610421.68393911002</v>
      </c>
      <c r="G41" s="129">
        <f t="shared" si="20"/>
        <v>690624.4774339362</v>
      </c>
      <c r="H41" s="129">
        <f t="shared" si="20"/>
        <v>772662.25327713555</v>
      </c>
      <c r="I41" s="129">
        <f t="shared" si="20"/>
        <v>856573.82065505395</v>
      </c>
      <c r="J41" s="129">
        <f t="shared" si="20"/>
        <v>942398.69779178733</v>
      </c>
      <c r="K41" s="129">
        <f t="shared" si="20"/>
        <v>1030177.120359607</v>
      </c>
      <c r="L41" s="129">
        <f t="shared" si="20"/>
        <v>1119950.0497714314</v>
      </c>
      <c r="M41" s="129">
        <f t="shared" si="20"/>
        <v>1211759.1813408881</v>
      </c>
      <c r="N41" s="129">
        <f t="shared" si="20"/>
        <v>1305646.9522947143</v>
      </c>
      <c r="O41" s="129">
        <f t="shared" si="20"/>
        <v>1401656.5496214987</v>
      </c>
      <c r="P41" s="129">
        <f t="shared" si="20"/>
        <v>1499831.9177398765</v>
      </c>
      <c r="Q41" s="129">
        <f t="shared" si="20"/>
        <v>1600217.765968475</v>
      </c>
      <c r="R41" s="129">
        <f t="shared" si="20"/>
        <v>1702859.5757789523</v>
      </c>
      <c r="S41" s="130">
        <f t="shared" si="20"/>
        <v>1807803.6078125783</v>
      </c>
      <c r="T41" s="130">
        <f t="shared" ref="T41:AH41" si="21">T25+T37</f>
        <v>1915096.9086397509</v>
      </c>
      <c r="U41" s="130">
        <f t="shared" si="21"/>
        <v>2024787.3172409101</v>
      </c>
      <c r="V41" s="130">
        <f t="shared" si="21"/>
        <v>2136923.4711861382</v>
      </c>
      <c r="W41" s="130">
        <f t="shared" si="21"/>
        <v>2251554.8124896926</v>
      </c>
      <c r="X41" s="130">
        <f t="shared" si="21"/>
        <v>2368731.5931145237</v>
      </c>
      <c r="Y41" s="130">
        <f t="shared" si="21"/>
        <v>2488504.8801006214</v>
      </c>
      <c r="Z41" s="130">
        <f t="shared" si="21"/>
        <v>2610926.5602897746</v>
      </c>
      <c r="AA41" s="130">
        <f t="shared" si="21"/>
        <v>2736049.3446180043</v>
      </c>
      <c r="AB41" s="130">
        <f t="shared" si="21"/>
        <v>2863926.7719455645</v>
      </c>
      <c r="AC41" s="130">
        <f t="shared" si="21"/>
        <v>2994613.2123929732</v>
      </c>
      <c r="AD41" s="130">
        <f t="shared" si="21"/>
        <v>3128163.870150073</v>
      </c>
      <c r="AE41" s="130">
        <f t="shared" si="21"/>
        <v>3264634.7857235051</v>
      </c>
      <c r="AF41" s="130">
        <f t="shared" si="21"/>
        <v>3404082.8375864658</v>
      </c>
      <c r="AG41" s="130">
        <f t="shared" si="21"/>
        <v>3546565.7431928148</v>
      </c>
      <c r="AH41" s="130">
        <f t="shared" si="21"/>
        <v>3692142.0593159902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452213.3995099942</v>
      </c>
      <c r="F42" s="129">
        <f t="shared" ref="F42:S42" si="22">((F41*$C$42))</f>
        <v>518858.43134824355</v>
      </c>
      <c r="G42" s="129">
        <f t="shared" si="22"/>
        <v>587030.80581884587</v>
      </c>
      <c r="H42" s="129">
        <f t="shared" si="22"/>
        <v>656762.91528556531</v>
      </c>
      <c r="I42" s="129">
        <f t="shared" si="22"/>
        <v>728087.74755679595</v>
      </c>
      <c r="J42" s="129">
        <f t="shared" si="22"/>
        <v>801038.89312301937</v>
      </c>
      <c r="K42" s="129">
        <f t="shared" si="22"/>
        <v>875650.55230566603</v>
      </c>
      <c r="L42" s="129">
        <f t="shared" si="22"/>
        <v>951957.54230571678</v>
      </c>
      <c r="M42" s="129">
        <f t="shared" si="22"/>
        <v>1029995.3041397551</v>
      </c>
      <c r="N42" s="129">
        <f t="shared" si="22"/>
        <v>1109799.9094505073</v>
      </c>
      <c r="O42" s="129">
        <f t="shared" si="22"/>
        <v>1191408.067178274</v>
      </c>
      <c r="P42" s="129">
        <f t="shared" si="22"/>
        <v>1274857.1300788953</v>
      </c>
      <c r="Q42" s="129">
        <f t="shared" si="22"/>
        <v>1360185.1010732038</v>
      </c>
      <c r="R42" s="129">
        <f t="shared" si="22"/>
        <v>1447430.6394121097</v>
      </c>
      <c r="S42" s="129">
        <f t="shared" si="22"/>
        <v>1536633.0666406918</v>
      </c>
      <c r="T42" s="129">
        <f t="shared" ref="T42:AH42" si="23">((T41*$C$42))</f>
        <v>1627832.3723437884</v>
      </c>
      <c r="U42" s="129">
        <f t="shared" si="23"/>
        <v>1721069.2196547738</v>
      </c>
      <c r="V42" s="129">
        <f t="shared" si="23"/>
        <v>1816384.9505082178</v>
      </c>
      <c r="W42" s="129">
        <f t="shared" si="23"/>
        <v>1913821.590616239</v>
      </c>
      <c r="X42" s="129">
        <f t="shared" si="23"/>
        <v>2013421.8541473453</v>
      </c>
      <c r="Y42" s="129">
        <f t="shared" si="23"/>
        <v>2115229.1480855285</v>
      </c>
      <c r="Z42" s="129">
        <f t="shared" si="23"/>
        <v>2219287.5762463086</v>
      </c>
      <c r="AA42" s="129">
        <f t="shared" si="23"/>
        <v>2325641.9429253037</v>
      </c>
      <c r="AB42" s="129">
        <f t="shared" si="23"/>
        <v>2434337.7561537302</v>
      </c>
      <c r="AC42" s="129">
        <f t="shared" si="23"/>
        <v>2545421.2305340273</v>
      </c>
      <c r="AD42" s="129">
        <f t="shared" si="23"/>
        <v>2658939.2896275623</v>
      </c>
      <c r="AE42" s="129">
        <f t="shared" si="23"/>
        <v>2774939.5678649796</v>
      </c>
      <c r="AF42" s="129">
        <f t="shared" si="23"/>
        <v>2893470.411948496</v>
      </c>
      <c r="AG42" s="129">
        <f t="shared" si="23"/>
        <v>3014580.8817138928</v>
      </c>
      <c r="AH42" s="129">
        <f t="shared" si="23"/>
        <v>3138320.7504185918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79802.364619410728</v>
      </c>
      <c r="F43" s="108">
        <f t="shared" ref="F43:S43" si="24">$C$43*(F41)</f>
        <v>91563.252590866497</v>
      </c>
      <c r="G43" s="108">
        <f t="shared" si="24"/>
        <v>103593.67161509042</v>
      </c>
      <c r="H43" s="108">
        <f t="shared" si="24"/>
        <v>115899.33799157033</v>
      </c>
      <c r="I43" s="108">
        <f t="shared" si="24"/>
        <v>128486.07309825809</v>
      </c>
      <c r="J43" s="108">
        <f t="shared" si="24"/>
        <v>141359.80466876811</v>
      </c>
      <c r="K43" s="108">
        <f t="shared" si="24"/>
        <v>154526.56805394104</v>
      </c>
      <c r="L43" s="108">
        <f t="shared" si="24"/>
        <v>167992.50746571471</v>
      </c>
      <c r="M43" s="108">
        <f t="shared" si="24"/>
        <v>181763.8772011332</v>
      </c>
      <c r="N43" s="108">
        <f t="shared" si="24"/>
        <v>195847.04284420714</v>
      </c>
      <c r="O43" s="108">
        <f t="shared" si="24"/>
        <v>210248.48244322478</v>
      </c>
      <c r="P43" s="108">
        <f t="shared" si="24"/>
        <v>224974.78766098147</v>
      </c>
      <c r="Q43" s="108">
        <f t="shared" si="24"/>
        <v>240032.66489527124</v>
      </c>
      <c r="R43" s="108">
        <f t="shared" si="24"/>
        <v>255428.93636684283</v>
      </c>
      <c r="S43" s="108">
        <f t="shared" si="24"/>
        <v>271170.54117188673</v>
      </c>
      <c r="T43" s="108">
        <f t="shared" ref="T43:AH43" si="25">$C$43*(T41)</f>
        <v>287264.53629596264</v>
      </c>
      <c r="U43" s="108">
        <f t="shared" si="25"/>
        <v>303718.09758613649</v>
      </c>
      <c r="V43" s="108">
        <f t="shared" si="25"/>
        <v>320538.52067792072</v>
      </c>
      <c r="W43" s="108">
        <f t="shared" si="25"/>
        <v>337733.22187345388</v>
      </c>
      <c r="X43" s="108">
        <f t="shared" si="25"/>
        <v>355309.73896717856</v>
      </c>
      <c r="Y43" s="108">
        <f t="shared" si="25"/>
        <v>373275.73201509321</v>
      </c>
      <c r="Z43" s="108">
        <f t="shared" si="25"/>
        <v>391638.98404346616</v>
      </c>
      <c r="AA43" s="108">
        <f t="shared" si="25"/>
        <v>410407.40169270063</v>
      </c>
      <c r="AB43" s="108">
        <f t="shared" si="25"/>
        <v>429589.01579183468</v>
      </c>
      <c r="AC43" s="108">
        <f t="shared" si="25"/>
        <v>449191.98185894598</v>
      </c>
      <c r="AD43" s="108">
        <f t="shared" si="25"/>
        <v>469224.58052251092</v>
      </c>
      <c r="AE43" s="108">
        <f t="shared" si="25"/>
        <v>489695.21785852575</v>
      </c>
      <c r="AF43" s="108">
        <f t="shared" si="25"/>
        <v>510612.42563796986</v>
      </c>
      <c r="AG43" s="108">
        <f t="shared" si="25"/>
        <v>531984.86147892219</v>
      </c>
      <c r="AH43" s="108">
        <f t="shared" si="25"/>
        <v>553821.30889739853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3.1927948670553111E-2</v>
      </c>
      <c r="F47" s="142">
        <f>F41/GapCalc!$H$33</f>
        <v>3.6633335901415071E-2</v>
      </c>
      <c r="G47" s="142">
        <f>G41/GapCalc!$H$33</f>
        <v>4.1446559205292444E-2</v>
      </c>
      <c r="H47" s="142">
        <f>H41/GapCalc!$H$33</f>
        <v>4.6369905603597487E-2</v>
      </c>
      <c r="I47" s="142">
        <f>I41/GapCalc!$H$33</f>
        <v>5.1405704158348921E-2</v>
      </c>
      <c r="J47" s="142">
        <f>J41/GapCalc!$H$33</f>
        <v>5.6556326483163409E-2</v>
      </c>
      <c r="K47" s="142">
        <f>K41/GapCalc!$H$33</f>
        <v>6.1824187247991762E-2</v>
      </c>
      <c r="L47" s="142">
        <f>L41/GapCalc!$H$33</f>
        <v>6.7211744676776403E-2</v>
      </c>
      <c r="M47" s="142">
        <f>M41/GapCalc!$H$33</f>
        <v>7.2721501037162531E-2</v>
      </c>
      <c r="N47" s="142">
        <f>N41/GapCalc!$H$33</f>
        <v>7.8356003121347537E-2</v>
      </c>
      <c r="O47" s="142">
        <f>O41/GapCalc!$H$33</f>
        <v>8.4117842717108898E-2</v>
      </c>
      <c r="P47" s="142">
        <f>P41/GapCalc!$H$33</f>
        <v>9.0009657067996809E-2</v>
      </c>
      <c r="Q47" s="142">
        <f>Q41/GapCalc!$H$33</f>
        <v>9.6034129321629191E-2</v>
      </c>
      <c r="R47" s="142">
        <f>R41/GapCalc!$H$33</f>
        <v>0.10219398896496953</v>
      </c>
      <c r="S47" s="142">
        <f>S41/GapCalc!$H$33</f>
        <v>0.10849201224541409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2.7138756369970148E-2</v>
      </c>
      <c r="F48" s="142">
        <f>F43/GapCalc!$H$32</f>
        <v>3.1138335516202813E-2</v>
      </c>
      <c r="G48" s="142">
        <f>G43/GapCalc!$H$32</f>
        <v>3.522957532449858E-2</v>
      </c>
      <c r="H48" s="142">
        <f>H43/GapCalc!$H$32</f>
        <v>3.9414419763057873E-2</v>
      </c>
      <c r="I48" s="142">
        <f>I43/GapCalc!$H$32</f>
        <v>4.3694848534596591E-2</v>
      </c>
      <c r="J48" s="142">
        <f>J43/GapCalc!$H$32</f>
        <v>4.8072877510688908E-2</v>
      </c>
      <c r="K48" s="142">
        <f>K43/GapCalc!$H$32</f>
        <v>5.2550559160793001E-2</v>
      </c>
      <c r="L48" s="142">
        <f>L43/GapCalc!$H$32</f>
        <v>5.7129982975259959E-2</v>
      </c>
      <c r="M48" s="142">
        <f>M43/GapCalc!$H$32</f>
        <v>6.1813275881588158E-2</v>
      </c>
      <c r="N48" s="142">
        <f>N43/GapCalc!$H$32</f>
        <v>6.6602602653145423E-2</v>
      </c>
      <c r="O48" s="142">
        <f>O43/GapCalc!$H$32</f>
        <v>7.1500166309542576E-2</v>
      </c>
      <c r="P48" s="142">
        <f>P43/GapCalc!$H$32</f>
        <v>7.6508208507797298E-2</v>
      </c>
      <c r="Q48" s="142">
        <f>Q43/GapCalc!$H$32</f>
        <v>8.1629009923384829E-2</v>
      </c>
      <c r="R48" s="142">
        <f>R43/GapCalc!$H$32</f>
        <v>8.6864890620224108E-2</v>
      </c>
      <c r="S48" s="142">
        <f>S43/GapCalc!$H$32</f>
        <v>9.221821040860198E-2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14872328.891915902</v>
      </c>
      <c r="D66" s="1544"/>
      <c r="E66" s="1564" t="s">
        <v>285</v>
      </c>
      <c r="G66" s="1520" t="s">
        <v>1073</v>
      </c>
      <c r="H66" s="1565">
        <f>H70/1.63</f>
        <v>2624528.6279851589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4619642.7449481301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815231.07263790525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877040.15464493714</v>
      </c>
      <c r="D68" s="1545" t="s">
        <v>68</v>
      </c>
      <c r="G68" s="1521" t="s">
        <v>1079</v>
      </c>
      <c r="H68" s="1568">
        <f>IF(GapCalc!D41*C43&lt; 0,0,GapCalc!D41*C43)</f>
        <v>154771.79199616535</v>
      </c>
      <c r="I68" s="1545" t="s">
        <v>68</v>
      </c>
    </row>
    <row r="69" spans="2:10">
      <c r="B69" s="1521" t="s">
        <v>1059</v>
      </c>
      <c r="C69" s="1568">
        <f>'Debt Calc'!E60</f>
        <v>18745213.194229852</v>
      </c>
      <c r="D69" s="1546">
        <v>0.9</v>
      </c>
      <c r="G69" s="1521" t="s">
        <v>1075</v>
      </c>
      <c r="H69" s="1568">
        <f>'Debt Calc'!E59*C43</f>
        <v>3307978.7989817383</v>
      </c>
      <c r="I69" s="1546">
        <v>0.9</v>
      </c>
    </row>
    <row r="70" spans="2:10">
      <c r="B70" s="1523" t="s">
        <v>1042</v>
      </c>
      <c r="C70" s="1577">
        <f>C67+C68+C69</f>
        <v>24241896.093822919</v>
      </c>
      <c r="D70" s="1545" t="s">
        <v>68</v>
      </c>
      <c r="G70" s="1523" t="s">
        <v>1042</v>
      </c>
      <c r="H70" s="1577">
        <f>H67+H68+H69</f>
        <v>4277981.6636158088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16663011.132314891</v>
      </c>
      <c r="D74" s="1549"/>
      <c r="F74" s="1559"/>
      <c r="G74" s="1578" t="s">
        <v>1082</v>
      </c>
      <c r="H74" s="1581">
        <f>GapCalc!H32</f>
        <v>2940531.3762908624</v>
      </c>
      <c r="I74" s="1549"/>
    </row>
    <row r="75" spans="2:10">
      <c r="B75" s="70" t="s">
        <v>1081</v>
      </c>
      <c r="C75" s="1579">
        <f>(C70-C74)/C74</f>
        <v>0.45483285711849247</v>
      </c>
      <c r="G75" s="70" t="s">
        <v>1081</v>
      </c>
      <c r="H75" s="1579">
        <f>(H70-H74)/H74</f>
        <v>0.45483285711849264</v>
      </c>
    </row>
    <row r="76" spans="2:10">
      <c r="B76" s="70" t="s">
        <v>1045</v>
      </c>
      <c r="C76" s="1579">
        <f>C75/7</f>
        <v>6.4976122445498927E-2</v>
      </c>
      <c r="G76" s="70" t="s">
        <v>1045</v>
      </c>
      <c r="H76" s="1579">
        <f>H75/7</f>
        <v>6.4976122445498954E-2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4771353.1419383585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7711395.5008441098</v>
      </c>
      <c r="D81" s="1545" t="s">
        <v>68</v>
      </c>
    </row>
    <row r="82" spans="2:10">
      <c r="B82" s="1521" t="s">
        <v>1059</v>
      </c>
      <c r="C82" s="1568">
        <f>C68</f>
        <v>877040.15464493714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8588435.6554890461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0.80000000000000016</v>
      </c>
      <c r="D86" s="1548"/>
    </row>
    <row r="87" spans="2:10">
      <c r="B87" s="1523" t="s">
        <v>1045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21663230.382536493</v>
      </c>
      <c r="D93" s="1544"/>
      <c r="E93" s="1564" t="s">
        <v>288</v>
      </c>
      <c r="G93" s="1520" t="s">
        <v>1073</v>
      </c>
      <c r="H93" s="1565">
        <f>H97/1.63</f>
        <v>2959254.6571330456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7711395.5008441098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1360834.5001489604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877040.15464493714</v>
      </c>
      <c r="D95" s="1545" t="s">
        <v>68</v>
      </c>
      <c r="G95" s="1521" t="s">
        <v>1079</v>
      </c>
      <c r="H95" s="1568">
        <f>IF(GapCalc!D41*C43&lt; 0,0,GapCalc!D41*C43)</f>
        <v>154771.79199616535</v>
      </c>
      <c r="I95" s="1545" t="s">
        <v>68</v>
      </c>
    </row>
    <row r="96" spans="2:10">
      <c r="B96" s="1521" t="s">
        <v>1059</v>
      </c>
      <c r="C96" s="1568">
        <f>'Debt Calc'!H60</f>
        <v>26722629.868045438</v>
      </c>
      <c r="D96" s="1546">
        <v>0.9</v>
      </c>
      <c r="G96" s="1521" t="s">
        <v>1075</v>
      </c>
      <c r="H96" s="1568">
        <f>'Debt Calc'!E59*C43</f>
        <v>3307978.7989817383</v>
      </c>
      <c r="I96" s="1546">
        <v>0.9</v>
      </c>
    </row>
    <row r="97" spans="2:9">
      <c r="B97" s="1523" t="s">
        <v>1042</v>
      </c>
      <c r="C97" s="1577">
        <f>C94+C95+C96</f>
        <v>35311065.523534484</v>
      </c>
      <c r="D97" s="1545" t="s">
        <v>68</v>
      </c>
      <c r="G97" s="1523" t="s">
        <v>1042</v>
      </c>
      <c r="H97" s="1577">
        <f>H94+H95+H96</f>
        <v>4823585.0911268638</v>
      </c>
      <c r="I97" s="1545" t="s">
        <v>68</v>
      </c>
    </row>
    <row r="98" spans="2:9">
      <c r="B98" s="1523" t="s">
        <v>1043</v>
      </c>
      <c r="C98" s="1571">
        <f>C97/C93</f>
        <v>1.6300000000000001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0.62999999999999978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8.9999999999999969E-2</v>
      </c>
      <c r="I100" s="1548"/>
    </row>
    <row r="101" spans="2:9" ht="13.5" thickBot="1">
      <c r="B101" s="1578" t="s">
        <v>1080</v>
      </c>
      <c r="C101" s="1581">
        <f>GapCalc!H33</f>
        <v>16663011.132314891</v>
      </c>
      <c r="D101" s="1549"/>
      <c r="G101" s="1578" t="s">
        <v>1082</v>
      </c>
      <c r="H101" s="1581">
        <f>GapCalc!H32</f>
        <v>2940531.3762908624</v>
      </c>
      <c r="I101" s="1549"/>
    </row>
    <row r="102" spans="2:9">
      <c r="B102" s="70" t="s">
        <v>1081</v>
      </c>
      <c r="C102" s="1579">
        <f>(C97-C101)/C101</f>
        <v>1.1191287242829162</v>
      </c>
      <c r="G102" s="70" t="s">
        <v>1081</v>
      </c>
      <c r="H102" s="1579">
        <f>(H97-H101)/H101</f>
        <v>0.64037871862848617</v>
      </c>
    </row>
    <row r="103" spans="2:9">
      <c r="B103" s="70" t="s">
        <v>1045</v>
      </c>
      <c r="C103" s="1579">
        <f>C102/10</f>
        <v>0.11191287242829162</v>
      </c>
      <c r="G103" s="70" t="s">
        <v>1045</v>
      </c>
      <c r="H103" s="1579">
        <f>H102/10</f>
        <v>6.4037871862848622E-2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51</v>
      </c>
      <c r="D55" s="855"/>
      <c r="E55" s="855"/>
      <c r="F55" s="937"/>
      <c r="G55" s="855"/>
      <c r="H55" s="872" t="s">
        <v>685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2660078.820647025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38318357.322934859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38318300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11717551.587387327</v>
      </c>
    </row>
    <row r="15" spans="2:36">
      <c r="B15" s="556"/>
      <c r="C15" s="560" t="s">
        <v>634</v>
      </c>
      <c r="H15" s="561">
        <f>12*PMT(Data!C24/12,Data!C29*12,-'Debt Calc'!H14)</f>
        <v>2660074.8412612658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5854367.946090661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5854367.946090661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38318300</v>
      </c>
      <c r="E21" s="561">
        <f>$H$15</f>
        <v>2660074.8412612658</v>
      </c>
      <c r="F21" s="561">
        <f>E21-G21</f>
        <v>0</v>
      </c>
      <c r="G21" s="561">
        <f>D21-H21</f>
        <v>2660074.8412612677</v>
      </c>
      <c r="H21" s="561">
        <f>D21-E21</f>
        <v>35658225.158738732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35658225.158738732</v>
      </c>
      <c r="E22" s="561">
        <f t="shared" ref="E22:E50" si="1">$H$15</f>
        <v>2660074.8412612658</v>
      </c>
      <c r="F22" s="561">
        <f t="shared" ref="F22:F50" si="2">E22-G22</f>
        <v>0</v>
      </c>
      <c r="G22" s="561">
        <f t="shared" ref="G22:G50" si="3">D22-H22</f>
        <v>2660074.8412612677</v>
      </c>
      <c r="H22" s="561">
        <f t="shared" ref="H22:H39" si="4">D22-E22</f>
        <v>32998150.317477465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32998150.317477465</v>
      </c>
      <c r="E23" s="561">
        <f t="shared" si="1"/>
        <v>2660074.8412612658</v>
      </c>
      <c r="F23" s="561">
        <f t="shared" si="2"/>
        <v>0</v>
      </c>
      <c r="G23" s="561">
        <f t="shared" si="3"/>
        <v>2660074.8412612677</v>
      </c>
      <c r="H23" s="561">
        <f t="shared" si="4"/>
        <v>30338075.476216197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30338075.476216197</v>
      </c>
      <c r="E24" s="561">
        <f t="shared" si="1"/>
        <v>2660074.8412612658</v>
      </c>
      <c r="F24" s="561">
        <f t="shared" si="2"/>
        <v>0</v>
      </c>
      <c r="G24" s="561">
        <f t="shared" si="3"/>
        <v>2660074.8412612677</v>
      </c>
      <c r="H24" s="561">
        <f t="shared" si="4"/>
        <v>27678000.634954929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27678000.634954929</v>
      </c>
      <c r="E25" s="561">
        <f t="shared" si="1"/>
        <v>2660074.8412612658</v>
      </c>
      <c r="F25" s="561">
        <f t="shared" si="2"/>
        <v>0</v>
      </c>
      <c r="G25" s="561">
        <f t="shared" si="3"/>
        <v>2660074.8412612677</v>
      </c>
      <c r="H25" s="561">
        <f t="shared" si="4"/>
        <v>25017925.793693662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25017925.793693662</v>
      </c>
      <c r="E26" s="561">
        <f t="shared" si="1"/>
        <v>2660074.8412612658</v>
      </c>
      <c r="F26" s="561">
        <f t="shared" si="2"/>
        <v>0</v>
      </c>
      <c r="G26" s="561">
        <f t="shared" si="3"/>
        <v>2660074.8412612677</v>
      </c>
      <c r="H26" s="561">
        <f t="shared" si="4"/>
        <v>22357850.952432394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22357850.952432394</v>
      </c>
      <c r="E27" s="561">
        <f t="shared" si="1"/>
        <v>2660074.8412612658</v>
      </c>
      <c r="F27" s="561">
        <f t="shared" si="2"/>
        <v>0</v>
      </c>
      <c r="G27" s="561">
        <f t="shared" si="3"/>
        <v>2660074.8412612677</v>
      </c>
      <c r="H27" s="561">
        <f t="shared" si="4"/>
        <v>19697776.111171126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19697776.111171126</v>
      </c>
      <c r="E28" s="561">
        <f t="shared" si="1"/>
        <v>2660074.8412612658</v>
      </c>
      <c r="F28" s="561">
        <f t="shared" si="2"/>
        <v>0</v>
      </c>
      <c r="G28" s="561">
        <f t="shared" si="3"/>
        <v>2660074.8412612677</v>
      </c>
      <c r="H28" s="561">
        <f t="shared" si="4"/>
        <v>17037701.269909859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17037701.269909859</v>
      </c>
      <c r="E29" s="561">
        <f t="shared" si="1"/>
        <v>2660074.8412612658</v>
      </c>
      <c r="F29" s="561">
        <f t="shared" si="2"/>
        <v>0</v>
      </c>
      <c r="G29" s="561">
        <f t="shared" si="3"/>
        <v>2660074.8412612658</v>
      </c>
      <c r="H29" s="561">
        <f t="shared" si="4"/>
        <v>14377626.428648593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14377626.428648593</v>
      </c>
      <c r="E30" s="561">
        <f t="shared" si="1"/>
        <v>2660074.8412612658</v>
      </c>
      <c r="F30" s="561">
        <f t="shared" si="2"/>
        <v>0</v>
      </c>
      <c r="G30" s="561">
        <f t="shared" si="3"/>
        <v>2660074.8412612658</v>
      </c>
      <c r="H30" s="561">
        <f>D30-E30</f>
        <v>11717551.587387327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11717551.587387327</v>
      </c>
      <c r="E31" s="561">
        <f t="shared" si="1"/>
        <v>2660074.8412612658</v>
      </c>
      <c r="F31" s="561">
        <f t="shared" si="2"/>
        <v>0</v>
      </c>
      <c r="G31" s="561">
        <f t="shared" si="3"/>
        <v>2660074.8412612658</v>
      </c>
      <c r="H31" s="561">
        <f t="shared" si="4"/>
        <v>9057476.7461260613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9057476.7461260613</v>
      </c>
      <c r="E32" s="561">
        <f t="shared" si="1"/>
        <v>2660074.8412612658</v>
      </c>
      <c r="F32" s="561">
        <f t="shared" si="2"/>
        <v>0</v>
      </c>
      <c r="G32" s="561">
        <f t="shared" si="3"/>
        <v>2660074.8412612658</v>
      </c>
      <c r="H32" s="561">
        <f t="shared" si="4"/>
        <v>6397401.9048647955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6397401.9048647955</v>
      </c>
      <c r="E33" s="561">
        <f t="shared" si="1"/>
        <v>2660074.8412612658</v>
      </c>
      <c r="F33" s="561">
        <f t="shared" si="2"/>
        <v>0</v>
      </c>
      <c r="G33" s="561">
        <f t="shared" si="3"/>
        <v>2660074.8412612658</v>
      </c>
      <c r="H33" s="561">
        <f t="shared" si="4"/>
        <v>3737327.0636035297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3737327.0636035297</v>
      </c>
      <c r="E34" s="561">
        <f t="shared" si="1"/>
        <v>2660074.8412612658</v>
      </c>
      <c r="F34" s="561">
        <f t="shared" si="2"/>
        <v>0</v>
      </c>
      <c r="G34" s="561">
        <f t="shared" si="3"/>
        <v>2660074.8412612658</v>
      </c>
      <c r="H34" s="561">
        <f t="shared" si="4"/>
        <v>1077252.2223422639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1077252.2223422639</v>
      </c>
      <c r="E35" s="561">
        <f t="shared" si="1"/>
        <v>2660074.8412612658</v>
      </c>
      <c r="F35" s="561">
        <f t="shared" si="2"/>
        <v>0</v>
      </c>
      <c r="G35" s="561">
        <f t="shared" si="3"/>
        <v>2660074.8412612658</v>
      </c>
      <c r="H35" s="561">
        <f t="shared" si="4"/>
        <v>-1582822.6189190019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-1582822.6189190019</v>
      </c>
      <c r="E36" s="561">
        <f t="shared" si="1"/>
        <v>2660074.8412612658</v>
      </c>
      <c r="F36" s="561">
        <f t="shared" si="2"/>
        <v>0</v>
      </c>
      <c r="G36" s="561">
        <f t="shared" si="3"/>
        <v>2660074.8412612658</v>
      </c>
      <c r="H36" s="561">
        <f t="shared" si="4"/>
        <v>-4242897.4601802677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-4242897.4601802677</v>
      </c>
      <c r="E37" s="561">
        <f t="shared" si="1"/>
        <v>2660074.8412612658</v>
      </c>
      <c r="F37" s="561">
        <f t="shared" si="2"/>
        <v>0</v>
      </c>
      <c r="G37" s="561">
        <f t="shared" si="3"/>
        <v>2660074.8412612658</v>
      </c>
      <c r="H37" s="561">
        <f t="shared" si="4"/>
        <v>-6902972.3014415335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-6902972.3014415335</v>
      </c>
      <c r="E38" s="561">
        <f t="shared" si="1"/>
        <v>2660074.8412612658</v>
      </c>
      <c r="F38" s="561">
        <f t="shared" si="2"/>
        <v>0</v>
      </c>
      <c r="G38" s="561">
        <f t="shared" si="3"/>
        <v>2660074.8412612658</v>
      </c>
      <c r="H38" s="561">
        <f>D38-E38</f>
        <v>-9563047.1427027993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-9563047.1427027993</v>
      </c>
      <c r="E39" s="561">
        <f t="shared" si="1"/>
        <v>2660074.8412612658</v>
      </c>
      <c r="F39" s="561">
        <f t="shared" si="2"/>
        <v>0</v>
      </c>
      <c r="G39" s="561">
        <f t="shared" si="3"/>
        <v>2660074.8412612658</v>
      </c>
      <c r="H39" s="561">
        <f t="shared" si="4"/>
        <v>-12223121.983964065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-12223121.983964065</v>
      </c>
      <c r="E40" s="561">
        <f t="shared" si="1"/>
        <v>2660074.8412612658</v>
      </c>
      <c r="F40" s="561">
        <f t="shared" si="2"/>
        <v>14883196.825225331</v>
      </c>
      <c r="G40" s="561">
        <f t="shared" si="3"/>
        <v>-12223121.983964065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2660074.8412612658</v>
      </c>
      <c r="F41" s="561">
        <f t="shared" si="2"/>
        <v>2660074.8412612658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2660074.8412612658</v>
      </c>
      <c r="F42" s="561">
        <f t="shared" si="2"/>
        <v>2660074.8412612658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2660074.8412612658</v>
      </c>
      <c r="F43" s="561">
        <f t="shared" si="2"/>
        <v>2660074.8412612658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2660074.8412612658</v>
      </c>
      <c r="F44" s="561">
        <f t="shared" si="2"/>
        <v>2660074.8412612658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2660074.8412612658</v>
      </c>
      <c r="F45" s="561">
        <f t="shared" si="2"/>
        <v>2660074.8412612658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2660074.8412612658</v>
      </c>
      <c r="F46" s="561">
        <f t="shared" si="2"/>
        <v>2660074.8412612658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2660074.8412612658</v>
      </c>
      <c r="F47" s="561">
        <f t="shared" si="2"/>
        <v>2660074.8412612658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2660074.8412612658</v>
      </c>
      <c r="F48" s="561">
        <f t="shared" si="2"/>
        <v>2660074.8412612658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2660074.8412612658</v>
      </c>
      <c r="F49" s="561">
        <f t="shared" si="2"/>
        <v>2660074.8412612658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2660074.8412612658</v>
      </c>
      <c r="F50" s="561">
        <f t="shared" si="2"/>
        <v>2660074.8412612658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3075213.2841721936</v>
      </c>
      <c r="F56" s="561"/>
      <c r="G56" s="1661" t="s">
        <v>1065</v>
      </c>
      <c r="H56" s="1668">
        <f>'Cash Flow'!N21/1.2</f>
        <v>3304771.4774514497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41750968.104382716</v>
      </c>
      <c r="F58" s="561"/>
      <c r="G58" s="1661" t="s">
        <v>1067</v>
      </c>
      <c r="H58" s="1668">
        <f>-PV(6.5%,30,H56)</f>
        <v>43155939.66744078</v>
      </c>
    </row>
    <row r="59" spans="2:28">
      <c r="D59" s="1652" t="s">
        <v>1068</v>
      </c>
      <c r="E59" s="1665">
        <f>E58-H27</f>
        <v>22053191.99321159</v>
      </c>
      <c r="F59" s="561"/>
      <c r="G59" s="1660" t="s">
        <v>1068</v>
      </c>
      <c r="H59" s="1668">
        <f>H58-H30</f>
        <v>31438388.080053452</v>
      </c>
    </row>
    <row r="60" spans="2:28" ht="13.5" thickBot="1">
      <c r="D60" s="1654" t="s">
        <v>1069</v>
      </c>
      <c r="E60" s="1666">
        <f>E59*GapCalc!I33</f>
        <v>18745213.194229852</v>
      </c>
      <c r="F60" s="561"/>
      <c r="G60" s="1662" t="s">
        <v>1069</v>
      </c>
      <c r="H60" s="1669">
        <f>H59*GapCalc!I33</f>
        <v>26722629.868045438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32486385.75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0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312484.41522357019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312484.41522357019</v>
      </c>
      <c r="Y56" s="1309">
        <f>X56/'Rental Income'!D15</f>
        <v>3093.9051012234672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385068.54855690349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696470.9218902369</v>
      </c>
      <c r="Y70" s="1307">
        <f>X70/D10</f>
        <v>6895.7517018835333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895.75170188353331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189730.18910232466</v>
      </c>
      <c r="C9" s="446">
        <f>'Dev Summary_5-20'!B10</f>
        <v>50000</v>
      </c>
      <c r="D9" s="446">
        <f t="shared" si="0"/>
        <v>139730.18910232466</v>
      </c>
      <c r="E9" s="477">
        <f t="shared" si="1"/>
        <v>0.73646787452979257</v>
      </c>
      <c r="F9" s="477"/>
      <c r="G9" s="473" t="e">
        <f t="shared" si="2"/>
        <v>#REF!</v>
      </c>
      <c r="I9" s="53">
        <f t="shared" si="3"/>
        <v>1724.8199009302241</v>
      </c>
      <c r="J9" s="53">
        <f t="shared" si="4"/>
        <v>1.9236949862343824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264475</v>
      </c>
      <c r="C14" s="467">
        <f>'Dev Summary_5-20'!B14</f>
        <v>282276.62941911275</v>
      </c>
      <c r="D14" s="467">
        <f t="shared" si="0"/>
        <v>-17801.629419112753</v>
      </c>
      <c r="E14" s="478">
        <f t="shared" si="1"/>
        <v>-6.7309308702572082E-2</v>
      </c>
      <c r="F14" s="478"/>
      <c r="G14" s="474" t="e">
        <f t="shared" si="2"/>
        <v>#REF!</v>
      </c>
      <c r="I14" s="53">
        <f t="shared" si="3"/>
        <v>2404.318181818182</v>
      </c>
      <c r="J14" s="53">
        <f t="shared" si="4"/>
        <v>2.6815407389382324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38318357.322934859</v>
      </c>
      <c r="C21" s="48">
        <v>18731659</v>
      </c>
      <c r="D21" s="48">
        <f>B21-C21</f>
        <v>19586698.322934859</v>
      </c>
      <c r="E21" s="55">
        <f>D21/B21</f>
        <v>0.51115704563910269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1031811.9466411024</v>
      </c>
      <c r="C28" s="50"/>
      <c r="D28" s="50">
        <f t="shared" si="5"/>
        <v>1031811.9466411024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430155.76513135422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50176.426718750008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264475</v>
      </c>
      <c r="E58" s="748">
        <f>'PreDev Flow of Funds'!Y46</f>
        <v>96238.814999999988</v>
      </c>
      <c r="F58" s="748">
        <f>(D58-E58)/18</f>
        <v>9346.4547222222227</v>
      </c>
      <c r="G58" s="748">
        <f>$F$58</f>
        <v>9346.4547222222227</v>
      </c>
      <c r="H58" s="748">
        <f t="shared" ref="H58:W58" si="18">$F$58</f>
        <v>9346.4547222222227</v>
      </c>
      <c r="I58" s="748">
        <f t="shared" si="18"/>
        <v>9346.4547222222227</v>
      </c>
      <c r="J58" s="748">
        <f t="shared" si="18"/>
        <v>9346.4547222222227</v>
      </c>
      <c r="K58" s="748">
        <f t="shared" si="18"/>
        <v>9346.4547222222227</v>
      </c>
      <c r="L58" s="748">
        <f t="shared" si="18"/>
        <v>9346.4547222222227</v>
      </c>
      <c r="M58" s="748">
        <f t="shared" si="18"/>
        <v>9346.4547222222227</v>
      </c>
      <c r="N58" s="748">
        <f t="shared" si="18"/>
        <v>9346.4547222222227</v>
      </c>
      <c r="O58" s="748">
        <f t="shared" si="18"/>
        <v>9346.4547222222227</v>
      </c>
      <c r="P58" s="748">
        <f t="shared" si="18"/>
        <v>9346.4547222222227</v>
      </c>
      <c r="Q58" s="748">
        <f t="shared" si="18"/>
        <v>9346.4547222222227</v>
      </c>
      <c r="R58" s="748">
        <f t="shared" si="18"/>
        <v>9346.4547222222227</v>
      </c>
      <c r="S58" s="748">
        <f t="shared" si="18"/>
        <v>9346.4547222222227</v>
      </c>
      <c r="T58" s="748">
        <f t="shared" si="18"/>
        <v>9346.4547222222227</v>
      </c>
      <c r="U58" s="748">
        <f t="shared" si="18"/>
        <v>9346.4547222222227</v>
      </c>
      <c r="V58" s="748">
        <f t="shared" si="18"/>
        <v>9346.4547222222227</v>
      </c>
      <c r="W58" s="748">
        <f t="shared" si="18"/>
        <v>9346.4547222222227</v>
      </c>
      <c r="X58" s="748"/>
      <c r="Y58" s="748">
        <f t="shared" si="3"/>
        <v>264475.00000000012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189730.18910232466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37286545.376293756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-12716811.133709138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-10423169.6175</v>
      </c>
      <c r="D116" s="1774"/>
    </row>
    <row r="117" spans="2:19" ht="16.5" thickBot="1">
      <c r="B117" s="398" t="s">
        <v>602</v>
      </c>
      <c r="C117" s="1777">
        <f>C118-C114-C116-C115</f>
        <v>60632806.442500003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