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8839E6BB-40CF-4A2B-8DF2-435F767201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<sst xmlns="http://schemas.openxmlformats.org/spreadsheetml/2006/main" count="1995" uniqueCount="1106">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</sst>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34" workbookViewId="0">
      <selection activeCell="H12" sqref="H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7.6917860620156708E-2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7.6917860620156694E-2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-1602166.865112782</v>
      </c>
      <c r="E18" s="1754">
        <f ca="1">D18/-D28</f>
        <v>1.9266413718290132E-2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1151.3157894736842</v>
      </c>
    </row>
    <row r="22" spans="1:6">
      <c r="A22" s="64"/>
      <c r="B22" s="4" t="s">
        <v>16</v>
      </c>
      <c r="C22" s="4"/>
      <c r="D22" s="1531">
        <f>'Development Budget'!G44</f>
        <v>61177208.750000007</v>
      </c>
      <c r="E22" s="1531">
        <f t="shared" ref="E22:E28" si="0">D22/$D$10</f>
        <v>402481.63651315792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1872240</v>
      </c>
      <c r="E23" s="1531">
        <f t="shared" si="0"/>
        <v>12317.368421052632</v>
      </c>
    </row>
    <row r="24" spans="1:6">
      <c r="A24" s="64"/>
      <c r="B24" s="4" t="s">
        <v>18</v>
      </c>
      <c r="C24" s="4"/>
      <c r="D24" s="1531">
        <f>'Development Budget'!G97</f>
        <v>497075</v>
      </c>
      <c r="E24" s="1531">
        <f t="shared" si="0"/>
        <v>3270.2302631578946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5465194.2528153658</v>
      </c>
      <c r="E25" s="1531">
        <f t="shared" si="0"/>
        <v>35955.22534746951</v>
      </c>
    </row>
    <row r="26" spans="1:6">
      <c r="A26" s="64"/>
      <c r="B26" s="4" t="s">
        <v>20</v>
      </c>
      <c r="C26" s="4"/>
      <c r="D26" s="1531">
        <f>'Development Budget'!G181</f>
        <v>4210251.6632157657</v>
      </c>
      <c r="E26" s="1531">
        <f t="shared" si="0"/>
        <v>27699.024100103721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9761571.8528713286</v>
      </c>
      <c r="E27" s="1532">
        <f t="shared" si="0"/>
        <v>64220.867453100844</v>
      </c>
    </row>
    <row r="28" spans="1:6" ht="16.5" thickTop="1">
      <c r="A28" s="4"/>
      <c r="B28" s="4"/>
      <c r="C28" s="150" t="s">
        <v>14</v>
      </c>
      <c r="D28" s="1533">
        <f>SUM(D21:D27)</f>
        <v>83158541.518902466</v>
      </c>
      <c r="E28" s="1531">
        <f t="shared" si="0"/>
        <v>547095.6678875162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54640576.088464044</v>
      </c>
      <c r="E32" s="1586">
        <f t="shared" si="1"/>
        <v>359477.4742662108</v>
      </c>
    </row>
    <row r="33" spans="1:5">
      <c r="A33" s="64"/>
      <c r="B33" s="4" t="s">
        <v>1052</v>
      </c>
      <c r="C33" s="4"/>
      <c r="D33" s="1587">
        <f>GapCalc!D29</f>
        <v>4277694.8145657647</v>
      </c>
      <c r="E33" s="1586">
        <f>D33/$D$10</f>
        <v>28142.729043195821</v>
      </c>
    </row>
    <row r="34" spans="1:5">
      <c r="A34" s="65"/>
      <c r="B34" s="4" t="s">
        <v>26</v>
      </c>
      <c r="C34" s="4"/>
      <c r="D34" s="1587">
        <f>GapCalc!D30</f>
        <v>24240270.615872666</v>
      </c>
      <c r="E34" s="1586">
        <f>D34/$D$10</f>
        <v>159475.46457810965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83158541.518902481</v>
      </c>
      <c r="E36" s="1586">
        <f>D36/$D$10</f>
        <v>547095.66788751632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57364218.306823425</v>
      </c>
      <c r="E40" s="1586">
        <f t="shared" ref="E40" si="2">D40/$D$10</f>
        <v>377396.17307120672</v>
      </c>
    </row>
    <row r="41" spans="1:5">
      <c r="A41" s="60"/>
      <c r="B41" s="4" t="s">
        <v>1052</v>
      </c>
      <c r="C41" s="4"/>
      <c r="D41" s="1591">
        <f>GapCalc!D29+GapCalc!D38</f>
        <v>4277694.8145657647</v>
      </c>
      <c r="E41" s="1586">
        <f>D41/$D$10</f>
        <v>28142.729043195821</v>
      </c>
    </row>
    <row r="42" spans="1:5">
      <c r="A42" s="60"/>
      <c r="B42" s="1557" t="s">
        <v>26</v>
      </c>
      <c r="C42" s="4"/>
      <c r="D42" s="1592">
        <f>GapCalc!D30+GapCalc!D39</f>
        <v>24240270.615872666</v>
      </c>
      <c r="E42" s="1586">
        <f>D42/$D$10</f>
        <v>159475.46457810965</v>
      </c>
    </row>
    <row r="43" spans="1:5">
      <c r="A43" s="60"/>
      <c r="B43" s="1714" t="s">
        <v>1103</v>
      </c>
      <c r="C43" s="4"/>
      <c r="D43" s="1592">
        <f>IF(D32-D40&gt;0,0,D32-D40)</f>
        <v>-2723642.218359381</v>
      </c>
      <c r="E43" s="1586">
        <f>D43/$D$10</f>
        <v>-17918.698804995929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83158541.518902481</v>
      </c>
      <c r="E45" s="1588">
        <f>D45/$D$10</f>
        <v>547095.66788751632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7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1151.3157894736842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61177208.750000007</v>
      </c>
      <c r="E18" s="1531">
        <f t="shared" ref="E18:E24" si="0">D18/$D$11</f>
        <v>402481.63651315792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1872240</v>
      </c>
      <c r="E19" s="1531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497075</v>
      </c>
      <c r="E20" s="1531">
        <f t="shared" si="0"/>
        <v>3270.2302631578946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5465194.2528153658</v>
      </c>
      <c r="E21" s="1531">
        <f t="shared" si="0"/>
        <v>35955.22534746951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4210251.6632157657</v>
      </c>
      <c r="E22" s="1531">
        <f t="shared" si="0"/>
        <v>27699.024100103721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9761571.8528713286</v>
      </c>
      <c r="E23" s="1532">
        <f t="shared" si="0"/>
        <v>64220.867453100844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83158541.518902466</v>
      </c>
      <c r="E24" s="1531">
        <f t="shared" si="0"/>
        <v>547095.6678875162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54640576.088464044</v>
      </c>
      <c r="E28" s="1586">
        <f t="shared" si="1"/>
        <v>359477.4742662108</v>
      </c>
      <c r="F28" s="62"/>
      <c r="G28" s="1419" t="s">
        <v>609</v>
      </c>
      <c r="H28" s="1608">
        <f>H32/D11</f>
        <v>28142.729043195821</v>
      </c>
      <c r="I28" s="703"/>
    </row>
    <row r="29" spans="1:10" ht="15.75">
      <c r="A29" s="64"/>
      <c r="B29" s="4" t="s">
        <v>1052</v>
      </c>
      <c r="C29" s="4"/>
      <c r="D29" s="1587">
        <v>4277694.8145657647</v>
      </c>
      <c r="E29" s="1586">
        <f>D29/$D$11</f>
        <v>28142.729043195821</v>
      </c>
      <c r="F29" s="520"/>
      <c r="G29" s="1420" t="s">
        <v>972</v>
      </c>
      <c r="H29" s="1609">
        <f>H33/D11</f>
        <v>159475.46457810965</v>
      </c>
      <c r="I29" s="703"/>
    </row>
    <row r="30" spans="1:10" ht="16.5" thickBot="1">
      <c r="A30" s="65"/>
      <c r="B30" s="4" t="s">
        <v>26</v>
      </c>
      <c r="C30" s="4"/>
      <c r="D30" s="1587">
        <v>24240270.615872666</v>
      </c>
      <c r="E30" s="1586">
        <f>D30/$D$11</f>
        <v>159475.46457810965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4277694.8145657647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83158541.518902481</v>
      </c>
      <c r="E33" s="1586">
        <f>D33/$D$11</f>
        <v>547095.66788751632</v>
      </c>
      <c r="F33" s="62"/>
      <c r="G33" s="1441" t="s">
        <v>972</v>
      </c>
      <c r="H33" s="1611">
        <f>D30+D39</f>
        <v>24240270.615872666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28517965.430438429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0.34293489170870217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57364218.306823425</v>
      </c>
      <c r="E37" s="1586">
        <f t="shared" ref="E37" si="2">D37/$D$11</f>
        <v>377396.17307120672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4277694.8145657647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24240270.615872666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2723642.218359381</v>
      </c>
      <c r="E41" s="1588">
        <f>D41/$D$11</f>
        <v>17918.698804995929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57364218.306823425</v>
      </c>
      <c r="E42" s="1586">
        <f>D42/$D$11</f>
        <v>377396.17307120672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-408546.33275390713</v>
      </c>
      <c r="I43" s="1596">
        <f>D38+H43</f>
        <v>-408546.33275390713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-2315095.8856054735</v>
      </c>
      <c r="I44" s="1596">
        <f>D39+H44</f>
        <v>-2315095.8856054735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22878428.780526802</v>
      </c>
      <c r="J46" s="1582" t="s">
        <v>1084</v>
      </c>
      <c r="K46" s="1583">
        <f>'Cash Flow'!C76</f>
        <v>7.6917860620156708E-2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7699242.9669896616</v>
      </c>
      <c r="J47" s="1584" t="s">
        <v>1099</v>
      </c>
      <c r="K47" s="1607">
        <f>'Cash Flow'!C70</f>
        <v>37291838.912258685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-1361841.8353458643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4037369.784798847</v>
      </c>
      <c r="J51" s="1585" t="s">
        <v>1084</v>
      </c>
      <c r="K51" s="1618">
        <f>'Cash Flow'!H76</f>
        <v>7.6917860620156694E-2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4277694.8145657647</v>
      </c>
      <c r="J52" s="1584" t="s">
        <v>1098</v>
      </c>
      <c r="K52" s="1607">
        <f>'Cash Flow'!H70</f>
        <v>6580912.7492221203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-240325.02976691769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-1602166.865112782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33043977.412562549</v>
      </c>
      <c r="J58" s="1582" t="s">
        <v>1084</v>
      </c>
      <c r="K58" s="1583">
        <f>'Cash Flow'!C103</f>
        <v>0.12219918265767223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53861683.182476953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8803706.7966898829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4538421.9302399438</v>
      </c>
      <c r="J63" s="1585" t="s">
        <v>1084</v>
      </c>
      <c r="K63" s="1618">
        <f>'Cash Flow'!H103</f>
        <v>7.2934911604769365E-2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4277694.8145657647</v>
      </c>
      <c r="J64" s="1584" t="s">
        <v>1098</v>
      </c>
      <c r="K64" s="1607">
        <f>'Cash Flow'!H97</f>
        <v>7397627.7462911084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260727.11567417905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9064433.9123640619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N21" sqref="N2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7" zoomScaleNormal="100" workbookViewId="0">
      <selection activeCell="L155" sqref="L15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2723642.218359381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9880000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164.47368421052633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986.84210526315792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1151.3157894736842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48821767</v>
      </c>
      <c r="H32" s="1039"/>
      <c r="I32" s="950">
        <f t="shared" si="0"/>
        <v>321195.83552631579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53703943.700000003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44503200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4882176.7</v>
      </c>
      <c r="G36" s="854">
        <f>F36</f>
        <v>4882176.7</v>
      </c>
      <c r="H36" s="950"/>
      <c r="I36" s="950">
        <f t="shared" si="0"/>
        <v>32119.583552631579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3417523.6900000004</v>
      </c>
      <c r="H37" s="1072"/>
      <c r="I37" s="950">
        <f t="shared" si="0"/>
        <v>22483.708486842108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3417523.6900000004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2441088.35</v>
      </c>
      <c r="H38" s="1072"/>
      <c r="I38" s="950">
        <f t="shared" si="0"/>
        <v>16059.791776315789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2441088.35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732326.505</v>
      </c>
      <c r="H40" s="1072"/>
      <c r="I40" s="950">
        <f t="shared" si="0"/>
        <v>4817.9375328947372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732326.505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732326.505</v>
      </c>
      <c r="H41" s="1072"/>
      <c r="I41" s="950">
        <f t="shared" si="0"/>
        <v>4817.9375328947372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732326.505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61177208.750000007</v>
      </c>
      <c r="H44" s="1324"/>
      <c r="I44" s="1325">
        <f t="shared" si="0"/>
        <v>402481.63651315792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61177208.750000007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61177208.750000007</v>
      </c>
      <c r="H46" s="1333"/>
      <c r="I46" s="1325">
        <f t="shared" si="0"/>
        <v>402481.63651315792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61177208.750000007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6117720.8750000009</v>
      </c>
      <c r="H47" s="1039"/>
      <c r="I47" s="950">
        <f t="shared" si="0"/>
        <v>40248.163651315794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6117720.8750000009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50920</v>
      </c>
      <c r="G49" s="1092">
        <f>F49</f>
        <v>50920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55936</v>
      </c>
      <c r="G50" s="1092">
        <f>F50</f>
        <v>55936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8.0592105263157894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108081</v>
      </c>
      <c r="H52" s="1101"/>
      <c r="I52" s="950">
        <f t="shared" si="0"/>
        <v>711.05921052631584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108081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1739800</v>
      </c>
      <c r="H54" s="1039"/>
      <c r="I54" s="950">
        <f t="shared" si="0"/>
        <v>11446.052631578947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102440</v>
      </c>
      <c r="H57" s="1117"/>
      <c r="I57" s="950">
        <f t="shared" si="0"/>
        <v>673.9473684210526</v>
      </c>
      <c r="J57" s="1015"/>
      <c r="K57" s="1118"/>
      <c r="L57" s="1119"/>
      <c r="M57" s="1120">
        <f>(5000*F9)*1.6</f>
        <v>1216000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102440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197.36842105263159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1528296.9781249999</v>
      </c>
      <c r="H59" s="1128"/>
      <c r="I59" s="950">
        <f t="shared" si="0"/>
        <v>10054.585382401316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1872240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152943.02187500003</v>
      </c>
      <c r="H67" s="1039"/>
      <c r="I67" s="950">
        <f t="shared" si="0"/>
        <v>1006.204091282895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152943.02187500003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46.05263157894737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625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164.47368421052633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197.36842105263159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223.68421052631578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343943.02187500003</v>
      </c>
      <c r="H80" s="1101"/>
      <c r="I80" s="950">
        <f t="shared" si="0"/>
        <v>2262.783038651316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343943.02187500003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397075</v>
      </c>
      <c r="H90" s="1111"/>
      <c r="I90" s="950">
        <f t="shared" si="3"/>
        <v>2612.3355263157896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657.89473684210532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1791624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497075</v>
      </c>
      <c r="H97" s="1101"/>
      <c r="I97" s="950">
        <f t="shared" si="3"/>
        <v>3270.2302631578946</v>
      </c>
      <c r="J97" s="1102"/>
      <c r="K97" s="1166">
        <f>I97/I250</f>
        <v>5.9774376861457057E-3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497075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142469.15648511081</v>
      </c>
      <c r="H102" s="1111"/>
      <c r="I102" s="950">
        <f t="shared" si="3"/>
        <v>937.29708213888694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142469.15648511081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127469.15648511081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2519253.6886161934</v>
      </c>
      <c r="N103" s="1172">
        <v>2549383.129702216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142469.15648511081</v>
      </c>
      <c r="H114" s="1101"/>
      <c r="I114" s="950">
        <f t="shared" si="3"/>
        <v>937.29708213888694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142469.15648511081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3852160.6142367162</v>
      </c>
      <c r="H116" s="1177"/>
      <c r="I116" s="950">
        <f t="shared" si="3"/>
        <v>25343.161935767868</v>
      </c>
      <c r="J116" s="1178"/>
      <c r="K116" s="1179" t="s">
        <v>823</v>
      </c>
      <c r="L116" s="1073"/>
      <c r="M116" s="1180">
        <f>0.5*Data!C20*Data!C17/12*Data!C19</f>
        <v>3852160.6142367162</v>
      </c>
      <c r="N116" s="1181">
        <v>3852160.6142367162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3852160.6142367162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546405.76088464051</v>
      </c>
      <c r="H117" s="1094"/>
      <c r="I117" s="950">
        <f t="shared" si="3"/>
        <v>3594.7747426621086</v>
      </c>
      <c r="J117" s="1015"/>
      <c r="K117" s="1184" t="s">
        <v>825</v>
      </c>
      <c r="L117" s="1185"/>
      <c r="M117" s="1186">
        <f>0.01*Data!C20</f>
        <v>546405.76088464051</v>
      </c>
      <c r="N117" s="1172">
        <v>546405.76088464051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546405.76088464051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849267.01356131269</v>
      </c>
      <c r="H121" s="1117"/>
      <c r="I121" s="950">
        <f t="shared" si="3"/>
        <v>5587.2829839560045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849267.01356131269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849267.01356131269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91960.864132696064</v>
      </c>
      <c r="H125" s="1111"/>
      <c r="I125" s="950">
        <f t="shared" si="3"/>
        <v>605.00568508352671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91960.864132696064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81960.864132696064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81960.864132696064</v>
      </c>
      <c r="N126" s="1172">
        <v>81960.864132696064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101.31578947368421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5355194.2528153658</v>
      </c>
      <c r="H148" s="1128"/>
      <c r="I148" s="950">
        <f t="shared" si="6"/>
        <v>35231.541136943197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5355194.2528153658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573642.18306823424</v>
      </c>
      <c r="H151" s="1093"/>
      <c r="I151" s="950">
        <f t="shared" ref="I151:I158" si="7">G151/$F$9</f>
        <v>3773.9617307120675</v>
      </c>
      <c r="J151" s="1094"/>
      <c r="K151" s="1244" t="s">
        <v>863</v>
      </c>
      <c r="L151" s="1245"/>
      <c r="M151" s="1558">
        <f>Data!C31*Data!C30</f>
        <v>573642.18306823424</v>
      </c>
      <c r="N151" s="1345">
        <v>573642.18306823424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4917651.8479617639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394.73684210526318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328.94736842105266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723.68421052631584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4210251.6632157657</v>
      </c>
      <c r="H178" s="1093"/>
      <c r="I178" s="950">
        <f t="shared" si="6"/>
        <v>27699.024100103721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4210251.6632157657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4210251.6632157657</v>
      </c>
      <c r="H181" s="1128"/>
      <c r="I181" s="950">
        <f t="shared" si="6"/>
        <v>27699.024100103721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4210251.6632157657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85.526315789473685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78.94736842105263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164.47368421052633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95.39473684210526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613.48684210526312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328.94736842105266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1848.6842105263158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556134.15471956215</v>
      </c>
      <c r="H233" s="1111"/>
      <c r="I233" s="950">
        <f t="shared" si="8"/>
        <v>3658.7773336813298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556134.15471956215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994884.15471956215</v>
      </c>
      <c r="H234" s="1282"/>
      <c r="I234" s="950">
        <f t="shared" si="8"/>
        <v>6545.2904915760664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994884.15471956215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16447.36842105263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136.51315789473685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16583.88157894737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4.3859649122807012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13.157894736842104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17.543859649122805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83158541.518902466</v>
      </c>
      <c r="H250" s="1298"/>
      <c r="I250" s="1299">
        <f>G250/F9</f>
        <v>547095.6678875162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560.57906972241858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148344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148344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24724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54640576.088464044</v>
      </c>
      <c r="D20" s="1375">
        <f>MIN(D22,GapCalc!D24)</f>
        <v>54053051.987286605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54053051.987286605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-3982251.6632157462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3982251.6632157653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57364218.306823425</v>
      </c>
      <c r="D30" s="1376">
        <f>-PV($C$24/12,$C$29*12,C27/12)</f>
        <v>57364218.306823425</v>
      </c>
      <c r="E30" s="1384"/>
      <c r="F30" t="s">
        <v>438</v>
      </c>
      <c r="G30" s="1381"/>
      <c r="H30" s="1376">
        <f>PV(G23,G29,-'Cash Flow'!E41*H28,)</f>
        <v>6419937.9812902268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3982251.6632157653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66526833.215121977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65495150.309768587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-469994.80414108228</v>
      </c>
      <c r="F19" s="89">
        <f>E19*(1+$D$19)</f>
        <v>-475869.73919284577</v>
      </c>
      <c r="G19" s="89">
        <f t="shared" ref="G19:AH19" si="6">F19*(1+$D$19)</f>
        <v>-481818.11093275633</v>
      </c>
      <c r="H19" s="89">
        <f t="shared" si="6"/>
        <v>-487840.83731941576</v>
      </c>
      <c r="I19" s="89">
        <f t="shared" si="6"/>
        <v>-493938.84778590844</v>
      </c>
      <c r="J19" s="89">
        <f t="shared" si="6"/>
        <v>-500113.0833832323</v>
      </c>
      <c r="K19" s="89">
        <f t="shared" si="6"/>
        <v>-506364.49692552269</v>
      </c>
      <c r="L19" s="89">
        <f t="shared" si="6"/>
        <v>-512694.05313709169</v>
      </c>
      <c r="M19" s="89">
        <f t="shared" si="6"/>
        <v>-519102.72880130529</v>
      </c>
      <c r="N19" s="89">
        <f t="shared" si="6"/>
        <v>-525591.5129113216</v>
      </c>
      <c r="O19" s="89">
        <f t="shared" si="6"/>
        <v>-532161.40682271309</v>
      </c>
      <c r="P19" s="89">
        <f t="shared" si="6"/>
        <v>-538813.42440799694</v>
      </c>
      <c r="Q19" s="89">
        <f t="shared" si="6"/>
        <v>-545548.59221309691</v>
      </c>
      <c r="R19" s="89">
        <f t="shared" si="6"/>
        <v>-552367.94961576059</v>
      </c>
      <c r="S19" s="90">
        <f t="shared" si="6"/>
        <v>-559272.54898595752</v>
      </c>
      <c r="T19" s="89">
        <f t="shared" si="6"/>
        <v>-566263.45584828197</v>
      </c>
      <c r="U19" s="89">
        <f t="shared" si="6"/>
        <v>-573341.74904638552</v>
      </c>
      <c r="V19" s="89">
        <f t="shared" si="6"/>
        <v>-580508.52090946527</v>
      </c>
      <c r="W19" s="89">
        <f t="shared" si="6"/>
        <v>-587764.87742083357</v>
      </c>
      <c r="X19" s="89">
        <f t="shared" si="6"/>
        <v>-595111.93838859396</v>
      </c>
      <c r="Y19" s="89">
        <f t="shared" si="6"/>
        <v>-602550.83761845133</v>
      </c>
      <c r="Z19" s="89">
        <f t="shared" si="6"/>
        <v>-610082.72308868193</v>
      </c>
      <c r="AA19" s="89">
        <f t="shared" si="6"/>
        <v>-617708.75712729048</v>
      </c>
      <c r="AB19" s="89">
        <f t="shared" si="6"/>
        <v>-625430.11659138161</v>
      </c>
      <c r="AC19" s="89">
        <f t="shared" si="6"/>
        <v>-633247.99304877385</v>
      </c>
      <c r="AD19" s="89">
        <f t="shared" si="6"/>
        <v>-641163.59296188352</v>
      </c>
      <c r="AE19" s="89">
        <f t="shared" si="6"/>
        <v>-649178.13787390699</v>
      </c>
      <c r="AF19" s="89">
        <f t="shared" si="6"/>
        <v>-657292.8645973308</v>
      </c>
      <c r="AG19" s="89">
        <f t="shared" si="6"/>
        <v>-665509.0254047974</v>
      </c>
      <c r="AH19" s="89">
        <f t="shared" si="6"/>
        <v>-673827.88822235737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4778701.9958589179</v>
      </c>
      <c r="F21" s="95">
        <f t="shared" si="8"/>
        <v>4896064.4808071535</v>
      </c>
      <c r="G21" s="95">
        <f t="shared" si="8"/>
        <v>5016115.2645672429</v>
      </c>
      <c r="H21" s="95">
        <f t="shared" si="8"/>
        <v>5138911.3005680833</v>
      </c>
      <c r="I21" s="95">
        <f t="shared" si="8"/>
        <v>5264510.5865287771</v>
      </c>
      <c r="J21" s="95">
        <f t="shared" si="8"/>
        <v>5392972.1770236194</v>
      </c>
      <c r="K21" s="95">
        <f t="shared" si="8"/>
        <v>5524356.1958840005</v>
      </c>
      <c r="L21" s="95">
        <f t="shared" si="8"/>
        <v>5658723.8484164067</v>
      </c>
      <c r="M21" s="95">
        <f t="shared" si="8"/>
        <v>5796137.4334145989</v>
      </c>
      <c r="N21" s="95">
        <f t="shared" si="8"/>
        <v>5936660.3549428731</v>
      </c>
      <c r="O21" s="95">
        <f t="shared" si="8"/>
        <v>6080357.1338661322</v>
      </c>
      <c r="P21" s="95">
        <f t="shared" si="8"/>
        <v>6227293.4191012029</v>
      </c>
      <c r="Q21" s="95">
        <f t="shared" si="8"/>
        <v>6377535.9985625762</v>
      </c>
      <c r="R21" s="95">
        <f t="shared" si="8"/>
        <v>6531152.8097743047</v>
      </c>
      <c r="S21" s="96">
        <f t="shared" si="8"/>
        <v>6688212.9501184374</v>
      </c>
      <c r="T21" s="95">
        <f t="shared" si="8"/>
        <v>6848786.6866888311</v>
      </c>
      <c r="U21" s="95">
        <f t="shared" si="8"/>
        <v>7012945.4657176975</v>
      </c>
      <c r="V21" s="95">
        <f t="shared" si="8"/>
        <v>7180761.921540482</v>
      </c>
      <c r="W21" s="95">
        <f t="shared" si="8"/>
        <v>7352309.8850632133</v>
      </c>
      <c r="X21" s="95">
        <f t="shared" si="8"/>
        <v>7527664.3916944526</v>
      </c>
      <c r="Y21" s="95">
        <f t="shared" si="8"/>
        <v>7706901.6887023626</v>
      </c>
      <c r="Z21" s="95">
        <f t="shared" si="8"/>
        <v>7890099.2419553436</v>
      </c>
      <c r="AA21" s="95">
        <f t="shared" si="8"/>
        <v>8077335.7420028094</v>
      </c>
      <c r="AB21" s="95">
        <f t="shared" si="8"/>
        <v>8268691.1094505424</v>
      </c>
      <c r="AC21" s="95">
        <f t="shared" si="8"/>
        <v>8464246.4995829444</v>
      </c>
      <c r="AD21" s="95">
        <f t="shared" si="8"/>
        <v>8664084.3061822299</v>
      </c>
      <c r="AE21" s="95">
        <f t="shared" si="8"/>
        <v>8868288.1644922942</v>
      </c>
      <c r="AF21" s="95">
        <f t="shared" si="8"/>
        <v>9076942.9532725289</v>
      </c>
      <c r="AG21" s="95">
        <f t="shared" si="8"/>
        <v>9290134.7958843727</v>
      </c>
      <c r="AH21" s="95">
        <f t="shared" si="8"/>
        <v>9507951.0603506453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-3982251.6632157653</v>
      </c>
      <c r="F22" s="95">
        <f t="shared" ref="F22:AH22" si="9">$E$22</f>
        <v>-3982251.6632157653</v>
      </c>
      <c r="G22" s="95">
        <f t="shared" si="9"/>
        <v>-3982251.6632157653</v>
      </c>
      <c r="H22" s="95">
        <f t="shared" si="9"/>
        <v>-3982251.6632157653</v>
      </c>
      <c r="I22" s="95">
        <f t="shared" si="9"/>
        <v>-3982251.6632157653</v>
      </c>
      <c r="J22" s="95">
        <f t="shared" si="9"/>
        <v>-3982251.6632157653</v>
      </c>
      <c r="K22" s="95">
        <f t="shared" si="9"/>
        <v>-3982251.6632157653</v>
      </c>
      <c r="L22" s="95">
        <f t="shared" si="9"/>
        <v>-3982251.6632157653</v>
      </c>
      <c r="M22" s="95">
        <f t="shared" si="9"/>
        <v>-3982251.6632157653</v>
      </c>
      <c r="N22" s="95">
        <f t="shared" si="9"/>
        <v>-3982251.6632157653</v>
      </c>
      <c r="O22" s="95">
        <f t="shared" si="9"/>
        <v>-3982251.6632157653</v>
      </c>
      <c r="P22" s="95">
        <f t="shared" si="9"/>
        <v>-3982251.6632157653</v>
      </c>
      <c r="Q22" s="95">
        <f t="shared" si="9"/>
        <v>-3982251.6632157653</v>
      </c>
      <c r="R22" s="95">
        <f t="shared" si="9"/>
        <v>-3982251.6632157653</v>
      </c>
      <c r="S22" s="96">
        <f t="shared" si="9"/>
        <v>-3982251.6632157653</v>
      </c>
      <c r="T22" s="95">
        <f t="shared" si="9"/>
        <v>-3982251.6632157653</v>
      </c>
      <c r="U22" s="95">
        <f t="shared" si="9"/>
        <v>-3982251.6632157653</v>
      </c>
      <c r="V22" s="95">
        <f t="shared" si="9"/>
        <v>-3982251.6632157653</v>
      </c>
      <c r="W22" s="95">
        <f t="shared" si="9"/>
        <v>-3982251.6632157653</v>
      </c>
      <c r="X22" s="95">
        <f t="shared" si="9"/>
        <v>-3982251.6632157653</v>
      </c>
      <c r="Y22" s="95">
        <f t="shared" si="9"/>
        <v>-3982251.6632157653</v>
      </c>
      <c r="Z22" s="95">
        <f t="shared" si="9"/>
        <v>-3982251.6632157653</v>
      </c>
      <c r="AA22" s="95">
        <f t="shared" si="9"/>
        <v>-3982251.6632157653</v>
      </c>
      <c r="AB22" s="95">
        <f t="shared" si="9"/>
        <v>-3982251.6632157653</v>
      </c>
      <c r="AC22" s="95">
        <f t="shared" si="9"/>
        <v>-3982251.6632157653</v>
      </c>
      <c r="AD22" s="95">
        <f t="shared" si="9"/>
        <v>-3982251.6632157653</v>
      </c>
      <c r="AE22" s="95">
        <f t="shared" si="9"/>
        <v>-3982251.6632157653</v>
      </c>
      <c r="AF22" s="95">
        <f t="shared" si="9"/>
        <v>-3982251.6632157653</v>
      </c>
      <c r="AG22" s="95">
        <f t="shared" si="9"/>
        <v>-3982251.6632157653</v>
      </c>
      <c r="AH22" s="95">
        <f t="shared" si="9"/>
        <v>-3982251.6632157653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796450.33264315268</v>
      </c>
      <c r="F25" s="119">
        <f t="shared" ref="F25:AH25" si="11">+F21+F22+F23</f>
        <v>913812.81759138824</v>
      </c>
      <c r="G25" s="119">
        <f t="shared" si="11"/>
        <v>1033863.6013514777</v>
      </c>
      <c r="H25" s="119">
        <f t="shared" si="11"/>
        <v>1156659.637352318</v>
      </c>
      <c r="I25" s="119">
        <f t="shared" si="11"/>
        <v>1282258.9233130119</v>
      </c>
      <c r="J25" s="119">
        <f t="shared" si="11"/>
        <v>1410720.5138078541</v>
      </c>
      <c r="K25" s="119">
        <f t="shared" si="11"/>
        <v>1542104.5326682352</v>
      </c>
      <c r="L25" s="119">
        <f t="shared" si="11"/>
        <v>1676472.1852006414</v>
      </c>
      <c r="M25" s="119">
        <f t="shared" si="11"/>
        <v>1813885.7701988337</v>
      </c>
      <c r="N25" s="119">
        <f t="shared" si="11"/>
        <v>1954408.6917271079</v>
      </c>
      <c r="O25" s="119">
        <f t="shared" si="11"/>
        <v>2098105.470650367</v>
      </c>
      <c r="P25" s="119">
        <f t="shared" si="11"/>
        <v>2245041.7558854376</v>
      </c>
      <c r="Q25" s="119">
        <f t="shared" si="11"/>
        <v>2395284.335346811</v>
      </c>
      <c r="R25" s="119">
        <f t="shared" si="11"/>
        <v>2548901.1465585395</v>
      </c>
      <c r="S25" s="160">
        <f t="shared" si="11"/>
        <v>2705961.2869026721</v>
      </c>
      <c r="T25" s="119">
        <f t="shared" si="11"/>
        <v>2866535.0234730658</v>
      </c>
      <c r="U25" s="119">
        <f t="shared" si="11"/>
        <v>3030693.8025019323</v>
      </c>
      <c r="V25" s="119">
        <f t="shared" si="11"/>
        <v>3198510.2583247167</v>
      </c>
      <c r="W25" s="119">
        <f t="shared" si="11"/>
        <v>3370058.221847448</v>
      </c>
      <c r="X25" s="119">
        <f t="shared" si="11"/>
        <v>3545412.7284786873</v>
      </c>
      <c r="Y25" s="119">
        <f t="shared" si="11"/>
        <v>3724650.0254865973</v>
      </c>
      <c r="Z25" s="119">
        <f t="shared" si="11"/>
        <v>3907847.5787395784</v>
      </c>
      <c r="AA25" s="119">
        <f t="shared" si="11"/>
        <v>4095084.0787870442</v>
      </c>
      <c r="AB25" s="119">
        <f t="shared" si="11"/>
        <v>4286439.4462347776</v>
      </c>
      <c r="AC25" s="119">
        <f t="shared" si="11"/>
        <v>4481994.8363671787</v>
      </c>
      <c r="AD25" s="119">
        <f t="shared" si="11"/>
        <v>4681832.6429664642</v>
      </c>
      <c r="AE25" s="119">
        <f t="shared" si="11"/>
        <v>4886036.5012765285</v>
      </c>
      <c r="AF25" s="119">
        <f t="shared" si="11"/>
        <v>5094691.2900567632</v>
      </c>
      <c r="AG25" s="119">
        <f t="shared" si="11"/>
        <v>5307883.1326686069</v>
      </c>
      <c r="AH25" s="119">
        <f t="shared" si="11"/>
        <v>5525699.3971348796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1.2294713882681794</v>
      </c>
      <c r="G27" s="122">
        <f t="shared" si="12"/>
        <v>1.259617846581953</v>
      </c>
      <c r="H27" s="122">
        <f t="shared" si="12"/>
        <v>1.2904536767569048</v>
      </c>
      <c r="I27" s="122">
        <f t="shared" si="12"/>
        <v>1.321993442844734</v>
      </c>
      <c r="J27" s="122">
        <f t="shared" si="12"/>
        <v>1.3542519742885015</v>
      </c>
      <c r="K27" s="122">
        <f t="shared" si="12"/>
        <v>1.3872443690369252</v>
      </c>
      <c r="L27" s="122">
        <f t="shared" si="12"/>
        <v>1.4209859966124916</v>
      </c>
      <c r="M27" s="122">
        <f t="shared" si="12"/>
        <v>1.4554925011278863</v>
      </c>
      <c r="N27" s="122">
        <f t="shared" si="12"/>
        <v>1.4907798042449369</v>
      </c>
      <c r="O27" s="122">
        <f t="shared" si="12"/>
        <v>1.5268641080699796</v>
      </c>
      <c r="P27" s="122">
        <f t="shared" si="12"/>
        <v>1.5637618979792232</v>
      </c>
      <c r="Q27" s="122">
        <f t="shared" si="12"/>
        <v>1.6014899453673805</v>
      </c>
      <c r="R27" s="122">
        <f t="shared" si="12"/>
        <v>1.6400653103124678</v>
      </c>
      <c r="S27" s="161">
        <f t="shared" si="12"/>
        <v>1.6795053441493304</v>
      </c>
      <c r="T27" s="122">
        <f t="shared" si="12"/>
        <v>1.7198276919440769</v>
      </c>
      <c r="U27" s="122">
        <f t="shared" si="12"/>
        <v>1.7610502948612177</v>
      </c>
      <c r="V27" s="122">
        <f t="shared" si="12"/>
        <v>1.8031913924148735</v>
      </c>
      <c r="W27" s="122">
        <f t="shared" si="12"/>
        <v>1.8462695245950489</v>
      </c>
      <c r="X27" s="122">
        <f t="shared" si="12"/>
        <v>1.8903035338594549</v>
      </c>
      <c r="Y27" s="122">
        <f t="shared" si="12"/>
        <v>1.9353125669809756</v>
      </c>
      <c r="Z27" s="122">
        <f t="shared" si="12"/>
        <v>1.9813160767403375</v>
      </c>
      <c r="AA27" s="122">
        <f t="shared" si="12"/>
        <v>2.0283338234530772</v>
      </c>
      <c r="AB27" s="122">
        <f t="shared" si="12"/>
        <v>2.0763858763193719</v>
      </c>
      <c r="AC27" s="122">
        <f t="shared" si="12"/>
        <v>2.1254926145847497</v>
      </c>
      <c r="AD27" s="122">
        <f t="shared" si="12"/>
        <v>2.1756747284991453</v>
      </c>
      <c r="AE27" s="122">
        <f t="shared" si="12"/>
        <v>2.2269532200611688</v>
      </c>
      <c r="AF27" s="122">
        <f t="shared" si="12"/>
        <v>2.279349403533848</v>
      </c>
      <c r="AG27" s="122">
        <f t="shared" si="12"/>
        <v>2.3328849057174761</v>
      </c>
      <c r="AH27" s="122">
        <f t="shared" si="12"/>
        <v>2.3875816659645119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796450.33264315268</v>
      </c>
      <c r="F41" s="129">
        <f t="shared" ref="F41:S41" si="20">F25+F37</f>
        <v>913812.81759138824</v>
      </c>
      <c r="G41" s="129">
        <f t="shared" si="20"/>
        <v>1033863.6013514777</v>
      </c>
      <c r="H41" s="129">
        <f t="shared" si="20"/>
        <v>1156659.637352318</v>
      </c>
      <c r="I41" s="129">
        <f t="shared" si="20"/>
        <v>1282258.9233130119</v>
      </c>
      <c r="J41" s="129">
        <f t="shared" si="20"/>
        <v>1410720.5138078541</v>
      </c>
      <c r="K41" s="129">
        <f t="shared" si="20"/>
        <v>1542104.5326682352</v>
      </c>
      <c r="L41" s="129">
        <f t="shared" si="20"/>
        <v>1676472.1852006414</v>
      </c>
      <c r="M41" s="129">
        <f t="shared" si="20"/>
        <v>1813885.7701988337</v>
      </c>
      <c r="N41" s="129">
        <f t="shared" si="20"/>
        <v>1954408.6917271079</v>
      </c>
      <c r="O41" s="129">
        <f t="shared" si="20"/>
        <v>2098105.470650367</v>
      </c>
      <c r="P41" s="129">
        <f t="shared" si="20"/>
        <v>2245041.7558854376</v>
      </c>
      <c r="Q41" s="129">
        <f t="shared" si="20"/>
        <v>2395284.335346811</v>
      </c>
      <c r="R41" s="129">
        <f t="shared" si="20"/>
        <v>2548901.1465585395</v>
      </c>
      <c r="S41" s="130">
        <f t="shared" si="20"/>
        <v>2705961.2869026721</v>
      </c>
      <c r="T41" s="130">
        <f t="shared" ref="T41:AH41" si="21">T25+T37</f>
        <v>2866535.0234730658</v>
      </c>
      <c r="U41" s="130">
        <f t="shared" si="21"/>
        <v>3030693.8025019323</v>
      </c>
      <c r="V41" s="130">
        <f t="shared" si="21"/>
        <v>3198510.2583247167</v>
      </c>
      <c r="W41" s="130">
        <f t="shared" si="21"/>
        <v>3370058.221847448</v>
      </c>
      <c r="X41" s="130">
        <f t="shared" si="21"/>
        <v>3545412.7284786873</v>
      </c>
      <c r="Y41" s="130">
        <f t="shared" si="21"/>
        <v>3724650.0254865973</v>
      </c>
      <c r="Z41" s="130">
        <f t="shared" si="21"/>
        <v>3907847.5787395784</v>
      </c>
      <c r="AA41" s="130">
        <f t="shared" si="21"/>
        <v>4095084.0787870442</v>
      </c>
      <c r="AB41" s="130">
        <f t="shared" si="21"/>
        <v>4286439.4462347776</v>
      </c>
      <c r="AC41" s="130">
        <f t="shared" si="21"/>
        <v>4481994.8363671787</v>
      </c>
      <c r="AD41" s="130">
        <f t="shared" si="21"/>
        <v>4681832.6429664642</v>
      </c>
      <c r="AE41" s="130">
        <f t="shared" si="21"/>
        <v>4886036.5012765285</v>
      </c>
      <c r="AF41" s="130">
        <f t="shared" si="21"/>
        <v>5094691.2900567632</v>
      </c>
      <c r="AG41" s="130">
        <f t="shared" si="21"/>
        <v>5307883.1326686069</v>
      </c>
      <c r="AH41" s="130">
        <f t="shared" si="21"/>
        <v>5525699.3971348796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676982.78274667985</v>
      </c>
      <c r="F42" s="129">
        <f t="shared" ref="F42:S42" si="22">((F41*$C$42))</f>
        <v>776740.8949526801</v>
      </c>
      <c r="G42" s="129">
        <f t="shared" si="22"/>
        <v>878784.06114875607</v>
      </c>
      <c r="H42" s="129">
        <f t="shared" si="22"/>
        <v>983160.69174947042</v>
      </c>
      <c r="I42" s="129">
        <f t="shared" si="22"/>
        <v>1089920.0848160603</v>
      </c>
      <c r="J42" s="129">
        <f t="shared" si="22"/>
        <v>1199112.4367366761</v>
      </c>
      <c r="K42" s="129">
        <f t="shared" si="22"/>
        <v>1310788.852768</v>
      </c>
      <c r="L42" s="129">
        <f t="shared" si="22"/>
        <v>1425001.3574205453</v>
      </c>
      <c r="M42" s="129">
        <f t="shared" si="22"/>
        <v>1541802.9046690087</v>
      </c>
      <c r="N42" s="129">
        <f t="shared" si="22"/>
        <v>1661247.3879680419</v>
      </c>
      <c r="O42" s="129">
        <f t="shared" si="22"/>
        <v>1783389.6500528122</v>
      </c>
      <c r="P42" s="129">
        <f t="shared" si="22"/>
        <v>1908285.4925026221</v>
      </c>
      <c r="Q42" s="129">
        <f t="shared" si="22"/>
        <v>2035991.6850447895</v>
      </c>
      <c r="R42" s="129">
        <f t="shared" si="22"/>
        <v>2166565.9745747587</v>
      </c>
      <c r="S42" s="129">
        <f t="shared" si="22"/>
        <v>2300067.0938672717</v>
      </c>
      <c r="T42" s="129">
        <f t="shared" ref="T42:AH42" si="23">((T41*$C$42))</f>
        <v>2436554.7699521063</v>
      </c>
      <c r="U42" s="129">
        <f t="shared" si="23"/>
        <v>2576089.7321266425</v>
      </c>
      <c r="V42" s="129">
        <f t="shared" si="23"/>
        <v>2718733.7195760095</v>
      </c>
      <c r="W42" s="129">
        <f t="shared" si="23"/>
        <v>2864549.4885703311</v>
      </c>
      <c r="X42" s="129">
        <f t="shared" si="23"/>
        <v>3013600.8192068846</v>
      </c>
      <c r="Y42" s="129">
        <f t="shared" si="23"/>
        <v>3165952.521663608</v>
      </c>
      <c r="Z42" s="129">
        <f t="shared" si="23"/>
        <v>3321670.4419286419</v>
      </c>
      <c r="AA42" s="129">
        <f t="shared" si="23"/>
        <v>3480821.4669689881</v>
      </c>
      <c r="AB42" s="129">
        <f t="shared" si="23"/>
        <v>3643473.5292995614</v>
      </c>
      <c r="AC42" s="129">
        <f t="shared" si="23"/>
        <v>3809695.6109121023</v>
      </c>
      <c r="AD42" s="129">
        <f t="shared" si="23"/>
        <v>3979557.7465214948</v>
      </c>
      <c r="AE42" s="129">
        <f t="shared" si="23"/>
        <v>4153131.0260850498</v>
      </c>
      <c r="AF42" s="129">
        <f t="shared" si="23"/>
        <v>4330487.596548249</v>
      </c>
      <c r="AG42" s="129">
        <f t="shared" si="23"/>
        <v>4511700.6627683165</v>
      </c>
      <c r="AH42" s="129">
        <f t="shared" si="23"/>
        <v>4696844.4875646485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119467.54989647292</v>
      </c>
      <c r="F43" s="108">
        <f t="shared" ref="F43:S43" si="24">$C$43*(F41)</f>
        <v>137071.92263870826</v>
      </c>
      <c r="G43" s="108">
        <f t="shared" si="24"/>
        <v>155079.54020272166</v>
      </c>
      <c r="H43" s="108">
        <f t="shared" si="24"/>
        <v>173498.94560284773</v>
      </c>
      <c r="I43" s="108">
        <f t="shared" si="24"/>
        <v>192338.83849695182</v>
      </c>
      <c r="J43" s="108">
        <f t="shared" si="24"/>
        <v>211608.07707117815</v>
      </c>
      <c r="K43" s="108">
        <f t="shared" si="24"/>
        <v>231315.67990023532</v>
      </c>
      <c r="L43" s="108">
        <f t="shared" si="24"/>
        <v>251470.82778009624</v>
      </c>
      <c r="M43" s="108">
        <f t="shared" si="24"/>
        <v>272082.8655298251</v>
      </c>
      <c r="N43" s="108">
        <f t="shared" si="24"/>
        <v>293161.30375906621</v>
      </c>
      <c r="O43" s="108">
        <f t="shared" si="24"/>
        <v>314715.82059755508</v>
      </c>
      <c r="P43" s="108">
        <f t="shared" si="24"/>
        <v>336756.2633828157</v>
      </c>
      <c r="Q43" s="108">
        <f t="shared" si="24"/>
        <v>359292.65030202171</v>
      </c>
      <c r="R43" s="108">
        <f t="shared" si="24"/>
        <v>382335.17198378098</v>
      </c>
      <c r="S43" s="108">
        <f t="shared" si="24"/>
        <v>405894.19303540088</v>
      </c>
      <c r="T43" s="108">
        <f t="shared" ref="T43:AH43" si="25">$C$43*(T41)</f>
        <v>429980.25352095993</v>
      </c>
      <c r="U43" s="108">
        <f t="shared" si="25"/>
        <v>454604.07037528988</v>
      </c>
      <c r="V43" s="108">
        <f t="shared" si="25"/>
        <v>479776.53874870756</v>
      </c>
      <c r="W43" s="108">
        <f t="shared" si="25"/>
        <v>505508.73327711725</v>
      </c>
      <c r="X43" s="108">
        <f t="shared" si="25"/>
        <v>531811.90927180322</v>
      </c>
      <c r="Y43" s="108">
        <f t="shared" si="25"/>
        <v>558697.50382298965</v>
      </c>
      <c r="Z43" s="108">
        <f t="shared" si="25"/>
        <v>586177.13681093685</v>
      </c>
      <c r="AA43" s="108">
        <f t="shared" si="25"/>
        <v>614262.61181805667</v>
      </c>
      <c r="AB43" s="108">
        <f t="shared" si="25"/>
        <v>642965.91693521675</v>
      </c>
      <c r="AC43" s="108">
        <f t="shared" si="25"/>
        <v>672299.2254550769</v>
      </c>
      <c r="AD43" s="108">
        <f t="shared" si="25"/>
        <v>702274.89644496969</v>
      </c>
      <c r="AE43" s="108">
        <f t="shared" si="25"/>
        <v>732905.47519147943</v>
      </c>
      <c r="AF43" s="108">
        <f t="shared" si="25"/>
        <v>764203.69350851455</v>
      </c>
      <c r="AG43" s="108">
        <f t="shared" si="25"/>
        <v>796182.46990029118</v>
      </c>
      <c r="AH43" s="108">
        <f t="shared" si="25"/>
        <v>828854.90957023203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3.2856495097114656E-2</v>
      </c>
      <c r="F47" s="142">
        <f>F41/GapCalc!$H$33</f>
        <v>3.7698127717807672E-2</v>
      </c>
      <c r="G47" s="142">
        <f>G41/GapCalc!$H$33</f>
        <v>4.2650662516717036E-2</v>
      </c>
      <c r="H47" s="142">
        <f>H41/GapCalc!$H$33</f>
        <v>4.7716449031510844E-2</v>
      </c>
      <c r="I47" s="142">
        <f>I41/GapCalc!$H$33</f>
        <v>5.2897879880655356E-2</v>
      </c>
      <c r="J47" s="142">
        <f>J41/GapCalc!$H$33</f>
        <v>5.8197391281766729E-2</v>
      </c>
      <c r="K47" s="142">
        <f>K41/GapCalc!$H$33</f>
        <v>6.3617463563234999E-2</v>
      </c>
      <c r="L47" s="142">
        <f>L41/GapCalc!$H$33</f>
        <v>6.9160621668261327E-2</v>
      </c>
      <c r="M47" s="142">
        <f>M41/GapCalc!$H$33</f>
        <v>7.4829435650404452E-2</v>
      </c>
      <c r="N47" s="142">
        <f>N41/GapCalc!$H$33</f>
        <v>8.0626521159683343E-2</v>
      </c>
      <c r="O47" s="142">
        <f>O41/GapCalc!$H$33</f>
        <v>8.6554539918234891E-2</v>
      </c>
      <c r="P47" s="142">
        <f>P41/GapCalc!$H$33</f>
        <v>9.2616200184472017E-2</v>
      </c>
      <c r="Q47" s="142">
        <f>Q41/GapCalc!$H$33</f>
        <v>9.8814257204635547E-2</v>
      </c>
      <c r="R47" s="142">
        <f>R41/GapCalc!$H$33</f>
        <v>0.10515151365057387</v>
      </c>
      <c r="S47" s="142">
        <f>S41/GapCalc!$H$33</f>
        <v>0.11163082004252846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2.7928020832547459E-2</v>
      </c>
      <c r="F48" s="142">
        <f>F43/GapCalc!$H$32</f>
        <v>3.204340856013653E-2</v>
      </c>
      <c r="G48" s="142">
        <f>G43/GapCalc!$H$32</f>
        <v>3.6253063139209479E-2</v>
      </c>
      <c r="H48" s="142">
        <f>H43/GapCalc!$H$32</f>
        <v>4.055898167678422E-2</v>
      </c>
      <c r="I48" s="142">
        <f>I43/GapCalc!$H$32</f>
        <v>4.4963197898557059E-2</v>
      </c>
      <c r="J48" s="142">
        <f>J43/GapCalc!$H$32</f>
        <v>4.9467782589501727E-2</v>
      </c>
      <c r="K48" s="142">
        <f>K43/GapCalc!$H$32</f>
        <v>5.4074844028749749E-2</v>
      </c>
      <c r="L48" s="142">
        <f>L43/GapCalc!$H$32</f>
        <v>5.8786528418022128E-2</v>
      </c>
      <c r="M48" s="142">
        <f>M43/GapCalc!$H$32</f>
        <v>6.360502030284379E-2</v>
      </c>
      <c r="N48" s="142">
        <f>N43/GapCalc!$H$32</f>
        <v>6.8532542985730846E-2</v>
      </c>
      <c r="O48" s="142">
        <f>O43/GapCalc!$H$32</f>
        <v>7.3571358930499667E-2</v>
      </c>
      <c r="P48" s="142">
        <f>P43/GapCalc!$H$32</f>
        <v>7.8723770156801223E-2</v>
      </c>
      <c r="Q48" s="142">
        <f>Q43/GapCalc!$H$32</f>
        <v>8.3992118623940223E-2</v>
      </c>
      <c r="R48" s="142">
        <f>R43/GapCalc!$H$32</f>
        <v>8.93787866029878E-2</v>
      </c>
      <c r="S48" s="142">
        <f>S43/GapCalc!$H$32</f>
        <v>9.48861970361492E-2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22878428.780526802</v>
      </c>
      <c r="D66" s="1544"/>
      <c r="E66" s="1564" t="s">
        <v>285</v>
      </c>
      <c r="G66" s="1520" t="s">
        <v>1073</v>
      </c>
      <c r="H66" s="1565">
        <f>H70/1.63</f>
        <v>4037369.784798847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6915489.8049183227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1220380.5538091159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2315095.885605474</v>
      </c>
      <c r="D68" s="1545" t="s">
        <v>68</v>
      </c>
      <c r="G68" s="1521" t="s">
        <v>1079</v>
      </c>
      <c r="H68" s="1568">
        <f>IF(GapCalc!D41*C43&lt; 0,0,GapCalc!D41*C43)</f>
        <v>408546.33275390719</v>
      </c>
      <c r="I68" s="1545" t="s">
        <v>68</v>
      </c>
    </row>
    <row r="69" spans="2:10">
      <c r="B69" s="1521" t="s">
        <v>1059</v>
      </c>
      <c r="C69" s="1568">
        <f>'Debt Calc'!E60</f>
        <v>28061253.221734885</v>
      </c>
      <c r="D69" s="1546">
        <v>0.9</v>
      </c>
      <c r="G69" s="1521" t="s">
        <v>1075</v>
      </c>
      <c r="H69" s="1568">
        <f>'Debt Calc'!E59*C43</f>
        <v>4951985.8626590976</v>
      </c>
      <c r="I69" s="1546">
        <v>0.9</v>
      </c>
    </row>
    <row r="70" spans="2:10">
      <c r="B70" s="1523" t="s">
        <v>1042</v>
      </c>
      <c r="C70" s="1577">
        <f>C67+C68+C69</f>
        <v>37291838.912258685</v>
      </c>
      <c r="D70" s="1545" t="s">
        <v>68</v>
      </c>
      <c r="G70" s="1523" t="s">
        <v>1042</v>
      </c>
      <c r="H70" s="1577">
        <f>H67+H68+H69</f>
        <v>6580912.7492221203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24240270.615872666</v>
      </c>
      <c r="D74" s="1549"/>
      <c r="F74" s="1559"/>
      <c r="G74" s="1578" t="s">
        <v>1082</v>
      </c>
      <c r="H74" s="1581">
        <f>GapCalc!H32</f>
        <v>4277694.8145657647</v>
      </c>
      <c r="I74" s="1549"/>
    </row>
    <row r="75" spans="2:10">
      <c r="B75" s="70" t="s">
        <v>1081</v>
      </c>
      <c r="C75" s="1579">
        <f>(C70-C74)/C74</f>
        <v>0.53842502434109696</v>
      </c>
      <c r="G75" s="70" t="s">
        <v>1081</v>
      </c>
      <c r="H75" s="1579">
        <f>(H70-H74)/H74</f>
        <v>0.53842502434109685</v>
      </c>
    </row>
    <row r="76" spans="2:10">
      <c r="B76" s="70" t="s">
        <v>1045</v>
      </c>
      <c r="C76" s="1579">
        <f>C75/7</f>
        <v>7.6917860620156708E-2</v>
      </c>
      <c r="G76" s="70" t="s">
        <v>1045</v>
      </c>
      <c r="H76" s="1579">
        <f>H75/7</f>
        <v>7.6917860620156694E-2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7699242.9669896616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11543541.454975918</v>
      </c>
      <c r="D81" s="1545" t="s">
        <v>68</v>
      </c>
    </row>
    <row r="82" spans="2:10">
      <c r="B82" s="1521" t="s">
        <v>1059</v>
      </c>
      <c r="C82" s="1568">
        <f>C68</f>
        <v>2315095.885605474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13858637.340581391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33043977.412562549</v>
      </c>
      <c r="D93" s="1544"/>
      <c r="E93" s="1564" t="s">
        <v>288</v>
      </c>
      <c r="G93" s="1520" t="s">
        <v>1073</v>
      </c>
      <c r="H93" s="1565">
        <f>H97/1.63</f>
        <v>4538421.9302399438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11543541.454975918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2037095.5508781036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2315095.885605474</v>
      </c>
      <c r="D95" s="1545" t="s">
        <v>68</v>
      </c>
      <c r="G95" s="1521" t="s">
        <v>1079</v>
      </c>
      <c r="H95" s="1568">
        <f>IF(GapCalc!D41*C43&lt; 0,0,GapCalc!D41*C43)</f>
        <v>408546.33275390719</v>
      </c>
      <c r="I95" s="1545" t="s">
        <v>68</v>
      </c>
    </row>
    <row r="96" spans="2:10">
      <c r="B96" s="1521" t="s">
        <v>1059</v>
      </c>
      <c r="C96" s="1568">
        <f>'Debt Calc'!H60</f>
        <v>40003045.841895558</v>
      </c>
      <c r="D96" s="1546">
        <v>0.9</v>
      </c>
      <c r="G96" s="1521" t="s">
        <v>1075</v>
      </c>
      <c r="H96" s="1568">
        <f>'Debt Calc'!E59*C43</f>
        <v>4951985.8626590976</v>
      </c>
      <c r="I96" s="1546">
        <v>0.9</v>
      </c>
    </row>
    <row r="97" spans="2:9">
      <c r="B97" s="1523" t="s">
        <v>1042</v>
      </c>
      <c r="C97" s="1577">
        <f>C94+C95+C96</f>
        <v>53861683.182476953</v>
      </c>
      <c r="D97" s="1545" t="s">
        <v>68</v>
      </c>
      <c r="G97" s="1523" t="s">
        <v>1042</v>
      </c>
      <c r="H97" s="1577">
        <f>H94+H95+H96</f>
        <v>7397627.7462911084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1.6300000000000001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24240270.615872666</v>
      </c>
      <c r="D101" s="1549"/>
      <c r="G101" s="1578" t="s">
        <v>1082</v>
      </c>
      <c r="H101" s="1581">
        <f>GapCalc!H32</f>
        <v>4277694.8145657647</v>
      </c>
      <c r="I101" s="1549"/>
    </row>
    <row r="102" spans="2:9">
      <c r="B102" s="70" t="s">
        <v>1081</v>
      </c>
      <c r="C102" s="1579">
        <f>(C97-C101)/C101</f>
        <v>1.2219918265767222</v>
      </c>
      <c r="G102" s="70" t="s">
        <v>1081</v>
      </c>
      <c r="H102" s="1579">
        <f>(H97-H101)/H101</f>
        <v>0.7293491160476937</v>
      </c>
    </row>
    <row r="103" spans="2:9">
      <c r="B103" s="70" t="s">
        <v>1045</v>
      </c>
      <c r="C103" s="1579">
        <f>C102/10</f>
        <v>0.12219918265767223</v>
      </c>
      <c r="G103" s="70" t="s">
        <v>1045</v>
      </c>
      <c r="H103" s="1579">
        <f>H102/10</f>
        <v>7.2934911604769365E-2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123620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24724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148344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148344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148344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76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3982251.6632157653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57364218.306823425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57364200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17541696.076527536</v>
      </c>
    </row>
    <row r="15" spans="2:36">
      <c r="B15" s="556"/>
      <c r="C15" s="560" t="s">
        <v>634</v>
      </c>
      <c r="H15" s="561">
        <f>12*PMT(Data!C24/12,Data!C29*12,-'Debt Calc'!H14)</f>
        <v>3982250.3923472478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30223.456950452179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30223.456950452179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57364200</v>
      </c>
      <c r="E21" s="561">
        <f>$H$15</f>
        <v>3982250.3923472478</v>
      </c>
      <c r="F21" s="561">
        <f>E21-G21</f>
        <v>0</v>
      </c>
      <c r="G21" s="561">
        <f>D21-H21</f>
        <v>3982250.3923472464</v>
      </c>
      <c r="H21" s="561">
        <f>D21-E21</f>
        <v>53381949.607652754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53381949.607652754</v>
      </c>
      <c r="E22" s="561">
        <f t="shared" ref="E22:E50" si="1">$H$15</f>
        <v>3982250.3923472478</v>
      </c>
      <c r="F22" s="561">
        <f t="shared" ref="F22:F50" si="2">E22-G22</f>
        <v>0</v>
      </c>
      <c r="G22" s="561">
        <f t="shared" ref="G22:G50" si="3">D22-H22</f>
        <v>3982250.3923472464</v>
      </c>
      <c r="H22" s="561">
        <f t="shared" ref="H22:H39" si="4">D22-E22</f>
        <v>49399699.215305507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49399699.215305507</v>
      </c>
      <c r="E23" s="561">
        <f t="shared" si="1"/>
        <v>3982250.3923472478</v>
      </c>
      <c r="F23" s="561">
        <f t="shared" si="2"/>
        <v>0</v>
      </c>
      <c r="G23" s="561">
        <f t="shared" si="3"/>
        <v>3982250.3923472464</v>
      </c>
      <c r="H23" s="561">
        <f t="shared" si="4"/>
        <v>45417448.822958261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45417448.822958261</v>
      </c>
      <c r="E24" s="561">
        <f t="shared" si="1"/>
        <v>3982250.3923472478</v>
      </c>
      <c r="F24" s="561">
        <f t="shared" si="2"/>
        <v>0</v>
      </c>
      <c r="G24" s="561">
        <f t="shared" si="3"/>
        <v>3982250.3923472464</v>
      </c>
      <c r="H24" s="561">
        <f t="shared" si="4"/>
        <v>41435198.430611014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41435198.430611014</v>
      </c>
      <c r="E25" s="561">
        <f t="shared" si="1"/>
        <v>3982250.3923472478</v>
      </c>
      <c r="F25" s="561">
        <f t="shared" si="2"/>
        <v>0</v>
      </c>
      <c r="G25" s="561">
        <f t="shared" si="3"/>
        <v>3982250.3923472464</v>
      </c>
      <c r="H25" s="561">
        <f t="shared" si="4"/>
        <v>37452948.038263768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37452948.038263768</v>
      </c>
      <c r="E26" s="561">
        <f t="shared" si="1"/>
        <v>3982250.3923472478</v>
      </c>
      <c r="F26" s="561">
        <f t="shared" si="2"/>
        <v>0</v>
      </c>
      <c r="G26" s="561">
        <f t="shared" si="3"/>
        <v>3982250.3923472464</v>
      </c>
      <c r="H26" s="561">
        <f t="shared" si="4"/>
        <v>33470697.645916522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33470697.645916522</v>
      </c>
      <c r="E27" s="561">
        <f t="shared" si="1"/>
        <v>3982250.3923472478</v>
      </c>
      <c r="F27" s="561">
        <f t="shared" si="2"/>
        <v>0</v>
      </c>
      <c r="G27" s="561">
        <f t="shared" si="3"/>
        <v>3982250.3923472464</v>
      </c>
      <c r="H27" s="561">
        <f t="shared" si="4"/>
        <v>29488447.253569275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29488447.253569275</v>
      </c>
      <c r="E28" s="561">
        <f t="shared" si="1"/>
        <v>3982250.3923472478</v>
      </c>
      <c r="F28" s="561">
        <f t="shared" si="2"/>
        <v>0</v>
      </c>
      <c r="G28" s="561">
        <f t="shared" si="3"/>
        <v>3982250.3923472464</v>
      </c>
      <c r="H28" s="561">
        <f t="shared" si="4"/>
        <v>25506196.861222029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25506196.861222029</v>
      </c>
      <c r="E29" s="561">
        <f t="shared" si="1"/>
        <v>3982250.3923472478</v>
      </c>
      <c r="F29" s="561">
        <f t="shared" si="2"/>
        <v>0</v>
      </c>
      <c r="G29" s="561">
        <f t="shared" si="3"/>
        <v>3982250.3923472464</v>
      </c>
      <c r="H29" s="561">
        <f t="shared" si="4"/>
        <v>21523946.468874782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21523946.468874782</v>
      </c>
      <c r="E30" s="561">
        <f t="shared" si="1"/>
        <v>3982250.3923472478</v>
      </c>
      <c r="F30" s="561">
        <f t="shared" si="2"/>
        <v>0</v>
      </c>
      <c r="G30" s="561">
        <f t="shared" si="3"/>
        <v>3982250.3923472464</v>
      </c>
      <c r="H30" s="561">
        <f>D30-E30</f>
        <v>17541696.076527536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17541696.076527536</v>
      </c>
      <c r="E31" s="561">
        <f t="shared" si="1"/>
        <v>3982250.3923472478</v>
      </c>
      <c r="F31" s="561">
        <f t="shared" si="2"/>
        <v>0</v>
      </c>
      <c r="G31" s="561">
        <f t="shared" si="3"/>
        <v>3982250.3923472483</v>
      </c>
      <c r="H31" s="561">
        <f t="shared" si="4"/>
        <v>13559445.684180288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13559445.684180288</v>
      </c>
      <c r="E32" s="561">
        <f t="shared" si="1"/>
        <v>3982250.3923472478</v>
      </c>
      <c r="F32" s="561">
        <f t="shared" si="2"/>
        <v>0</v>
      </c>
      <c r="G32" s="561">
        <f t="shared" si="3"/>
        <v>3982250.3923472483</v>
      </c>
      <c r="H32" s="561">
        <f t="shared" si="4"/>
        <v>9577195.2918330394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9577195.2918330394</v>
      </c>
      <c r="E33" s="561">
        <f t="shared" si="1"/>
        <v>3982250.3923472478</v>
      </c>
      <c r="F33" s="561">
        <f t="shared" si="2"/>
        <v>0</v>
      </c>
      <c r="G33" s="561">
        <f t="shared" si="3"/>
        <v>3982250.3923472483</v>
      </c>
      <c r="H33" s="561">
        <f t="shared" si="4"/>
        <v>5594944.8994857911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5594944.8994857911</v>
      </c>
      <c r="E34" s="561">
        <f t="shared" si="1"/>
        <v>3982250.3923472478</v>
      </c>
      <c r="F34" s="561">
        <f t="shared" si="2"/>
        <v>0</v>
      </c>
      <c r="G34" s="561">
        <f t="shared" si="3"/>
        <v>3982250.3923472478</v>
      </c>
      <c r="H34" s="561">
        <f t="shared" si="4"/>
        <v>1612694.5071385433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1612694.5071385433</v>
      </c>
      <c r="E35" s="561">
        <f t="shared" si="1"/>
        <v>3982250.3923472478</v>
      </c>
      <c r="F35" s="561">
        <f t="shared" si="2"/>
        <v>0</v>
      </c>
      <c r="G35" s="561">
        <f t="shared" si="3"/>
        <v>3982250.3923472478</v>
      </c>
      <c r="H35" s="561">
        <f t="shared" si="4"/>
        <v>-2369555.8852087045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-2369555.8852087045</v>
      </c>
      <c r="E36" s="561">
        <f t="shared" si="1"/>
        <v>3982250.3923472478</v>
      </c>
      <c r="F36" s="561">
        <f t="shared" si="2"/>
        <v>0</v>
      </c>
      <c r="G36" s="561">
        <f t="shared" si="3"/>
        <v>3982250.3923472473</v>
      </c>
      <c r="H36" s="561">
        <f t="shared" si="4"/>
        <v>-6351806.2775559518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-6351806.2775559518</v>
      </c>
      <c r="E37" s="561">
        <f t="shared" si="1"/>
        <v>3982250.3923472478</v>
      </c>
      <c r="F37" s="561">
        <f t="shared" si="2"/>
        <v>0</v>
      </c>
      <c r="G37" s="561">
        <f t="shared" si="3"/>
        <v>3982250.3923472483</v>
      </c>
      <c r="H37" s="561">
        <f t="shared" si="4"/>
        <v>-10334056.6699032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-10334056.6699032</v>
      </c>
      <c r="E38" s="561">
        <f t="shared" si="1"/>
        <v>3982250.3923472478</v>
      </c>
      <c r="F38" s="561">
        <f t="shared" si="2"/>
        <v>0</v>
      </c>
      <c r="G38" s="561">
        <f t="shared" si="3"/>
        <v>3982250.3923472483</v>
      </c>
      <c r="H38" s="561">
        <f>D38-E38</f>
        <v>-14316307.062250448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-14316307.062250448</v>
      </c>
      <c r="E39" s="561">
        <f t="shared" si="1"/>
        <v>3982250.3923472478</v>
      </c>
      <c r="F39" s="561">
        <f t="shared" si="2"/>
        <v>0</v>
      </c>
      <c r="G39" s="561">
        <f t="shared" si="3"/>
        <v>3982250.3923472483</v>
      </c>
      <c r="H39" s="561">
        <f t="shared" si="4"/>
        <v>-18298557.454597697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-18298557.454597697</v>
      </c>
      <c r="E40" s="561">
        <f t="shared" si="1"/>
        <v>3982250.3923472478</v>
      </c>
      <c r="F40" s="561">
        <f t="shared" si="2"/>
        <v>22280807.846944943</v>
      </c>
      <c r="G40" s="561">
        <f t="shared" si="3"/>
        <v>-18298557.454597697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3982250.3923472478</v>
      </c>
      <c r="F41" s="561">
        <f t="shared" si="2"/>
        <v>3982250.3923472478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3982250.3923472478</v>
      </c>
      <c r="F42" s="561">
        <f t="shared" si="2"/>
        <v>3982250.3923472478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3982250.3923472478</v>
      </c>
      <c r="F43" s="561">
        <f t="shared" si="2"/>
        <v>3982250.3923472478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3982250.3923472478</v>
      </c>
      <c r="F44" s="561">
        <f t="shared" si="2"/>
        <v>3982250.3923472478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3982250.3923472478</v>
      </c>
      <c r="F45" s="561">
        <f t="shared" si="2"/>
        <v>3982250.3923472478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3982250.3923472478</v>
      </c>
      <c r="F46" s="561">
        <f t="shared" si="2"/>
        <v>3982250.3923472478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3982250.3923472478</v>
      </c>
      <c r="F47" s="561">
        <f t="shared" si="2"/>
        <v>3982250.3923472478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3982250.3923472478</v>
      </c>
      <c r="F48" s="561">
        <f t="shared" si="2"/>
        <v>3982250.3923472478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3982250.3923472478</v>
      </c>
      <c r="F49" s="561">
        <f t="shared" si="2"/>
        <v>3982250.3923472478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3982250.3923472478</v>
      </c>
      <c r="F50" s="561">
        <f t="shared" si="2"/>
        <v>3982250.3923472478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143948031.00871441</v>
      </c>
      <c r="F55" s="561"/>
      <c r="G55" s="1663" t="s">
        <v>1064</v>
      </c>
      <c r="H55" s="1667">
        <f>'Cash Flow'!N15/0.05</f>
        <v>155016285.08049378</v>
      </c>
    </row>
    <row r="56" spans="2:28">
      <c r="D56" s="1653" t="s">
        <v>1065</v>
      </c>
      <c r="E56" s="1665">
        <f>'Cash Flow'!K21/1.2</f>
        <v>4603630.1632366674</v>
      </c>
      <c r="F56" s="561"/>
      <c r="G56" s="1661" t="s">
        <v>1065</v>
      </c>
      <c r="H56" s="1668">
        <f>'Cash Flow'!N21/1.2</f>
        <v>4947216.9624523949</v>
      </c>
    </row>
    <row r="57" spans="2:28">
      <c r="D57" s="1653" t="s">
        <v>1066</v>
      </c>
      <c r="E57" s="1665">
        <f>E55*0.6</f>
        <v>86368818.605228648</v>
      </c>
      <c r="F57" s="561"/>
      <c r="G57" s="1661" t="s">
        <v>1066</v>
      </c>
      <c r="H57" s="1668">
        <f>H55*0.6</f>
        <v>93009771.048296258</v>
      </c>
    </row>
    <row r="58" spans="2:28">
      <c r="D58" s="1653" t="s">
        <v>1067</v>
      </c>
      <c r="E58" s="1665">
        <f>-PV(6.5%,34,E56)</f>
        <v>62501686.337963253</v>
      </c>
      <c r="F58" s="561"/>
      <c r="G58" s="1661" t="s">
        <v>1067</v>
      </c>
      <c r="H58" s="1668">
        <f>-PV(6.5%,30,H56)</f>
        <v>64604102.949345835</v>
      </c>
    </row>
    <row r="59" spans="2:28">
      <c r="D59" s="1652" t="s">
        <v>1068</v>
      </c>
      <c r="E59" s="1665">
        <f>E58-H27</f>
        <v>33013239.084393978</v>
      </c>
      <c r="F59" s="561"/>
      <c r="G59" s="1660" t="s">
        <v>1068</v>
      </c>
      <c r="H59" s="1668">
        <f>H58-H30</f>
        <v>47062406.872818299</v>
      </c>
    </row>
    <row r="60" spans="2:28" ht="13.5" thickBot="1">
      <c r="D60" s="1654" t="s">
        <v>1069</v>
      </c>
      <c r="E60" s="1666">
        <f>E59*GapCalc!I33</f>
        <v>28061253.221734885</v>
      </c>
      <c r="F60" s="561"/>
      <c r="G60" s="1662" t="s">
        <v>1069</v>
      </c>
      <c r="H60" s="1669">
        <f>H59*GapCalc!I33</f>
        <v>40003045.841895558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48821767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585567.29696265992</v>
      </c>
      <c r="D7" s="1409">
        <f>(1-'Rental Income'!O19)</f>
        <v>0.80263157894736836</v>
      </c>
    </row>
    <row r="8" spans="1:5">
      <c r="A8" s="1410" t="s">
        <v>980</v>
      </c>
      <c r="B8" s="1417">
        <f>B7*D7</f>
        <v>0</v>
      </c>
      <c r="C8" s="1417">
        <f>C7*D7</f>
        <v>469994.80414108228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469994.80414108228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79283</v>
      </c>
      <c r="E22" s="48">
        <v>1043</v>
      </c>
      <c r="F22" s="453" t="s">
        <v>172</v>
      </c>
      <c r="N22" s="428">
        <f>D22*0.8</f>
        <v>63426.400000000001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174</v>
      </c>
      <c r="D23" s="48">
        <f>(E23*$D$10-20)/2</f>
        <v>101374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14166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80343.360000000001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183</v>
      </c>
      <c r="D26" s="51">
        <f>SUM(D22:D25)</f>
        <v>275166.36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28272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192</v>
      </c>
      <c r="D31" s="48">
        <f>E31*$D$10</f>
        <v>24928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194</v>
      </c>
      <c r="C32" s="43"/>
      <c r="D32" s="50">
        <f>E32*$D$10</f>
        <v>4560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202</v>
      </c>
      <c r="D37" s="48">
        <f>E37*$D$10</f>
        <v>120080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63992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264632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56088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40382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60192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20672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129200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247464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469994.80414108228</v>
      </c>
      <c r="Y56" s="1309">
        <f>X56/'Rental Income'!D15</f>
        <v>3092.0710798755413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723.30417157894738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127680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263.15789473684208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542578.93747441564</v>
      </c>
    </row>
    <row r="65" spans="1:25">
      <c r="B65" t="s">
        <v>250</v>
      </c>
      <c r="D65" s="48">
        <f>E65*$D$10</f>
        <v>22800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202480</v>
      </c>
      <c r="E67" s="48">
        <f>SUM(E62:E66)</f>
        <v>1438.1578947368421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45600</v>
      </c>
      <c r="E69" s="426">
        <v>300</v>
      </c>
    </row>
    <row r="70" spans="1:25">
      <c r="V70" s="40" t="s">
        <v>256</v>
      </c>
      <c r="X70" s="1307">
        <f>SUM(X68,X64,X54,X39,X31)</f>
        <v>899861.25080774899</v>
      </c>
      <c r="Y70" s="1307">
        <f>X70/D10</f>
        <v>5920.1398079457167</v>
      </c>
    </row>
    <row r="71" spans="1:25">
      <c r="A71" s="40" t="s">
        <v>257</v>
      </c>
      <c r="D71" s="48">
        <f>E71*$D$10</f>
        <v>76000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309">
        <f>Y70-6000</f>
        <v>-79.860192054283289</v>
      </c>
    </row>
    <row r="75" spans="1:25">
      <c r="A75" s="44" t="s">
        <v>260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148344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61177208.750000007</v>
      </c>
      <c r="C7" s="465">
        <f>'Dev Summary_5-20'!B8</f>
        <v>3190331</v>
      </c>
      <c r="D7" s="465">
        <f t="shared" ref="D7:D14" si="0">B7-C7</f>
        <v>57986877.750000007</v>
      </c>
      <c r="E7" s="477">
        <f t="shared" ref="E7:E15" si="1">D7/B7</f>
        <v>0.94785098788934208</v>
      </c>
      <c r="F7" s="477"/>
      <c r="G7" s="472" t="e">
        <f t="shared" ref="G7:G14" si="2">B7/$B$15</f>
        <v>#REF!</v>
      </c>
      <c r="I7" s="147">
        <f>B7/$H$4</f>
        <v>556156.44318181823</v>
      </c>
      <c r="J7" s="53">
        <f>B7/$H$5</f>
        <v>412.40096498678753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142469.15648511081</v>
      </c>
      <c r="C9" s="446">
        <f>'Dev Summary_5-20'!B10</f>
        <v>50000</v>
      </c>
      <c r="D9" s="446">
        <f t="shared" si="0"/>
        <v>92469.156485110812</v>
      </c>
      <c r="E9" s="477">
        <f t="shared" si="1"/>
        <v>0.64904684470967999</v>
      </c>
      <c r="F9" s="477"/>
      <c r="G9" s="473" t="e">
        <f t="shared" si="2"/>
        <v>#REF!</v>
      </c>
      <c r="I9" s="53">
        <f t="shared" si="3"/>
        <v>1295.1741498646438</v>
      </c>
      <c r="J9" s="53">
        <f t="shared" si="4"/>
        <v>0.96039716122735541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397075</v>
      </c>
      <c r="C14" s="467">
        <f>'Dev Summary_5-20'!B14</f>
        <v>282276.62941911275</v>
      </c>
      <c r="D14" s="467">
        <f t="shared" si="0"/>
        <v>114798.37058088725</v>
      </c>
      <c r="E14" s="478">
        <f t="shared" si="1"/>
        <v>0.28911004364638226</v>
      </c>
      <c r="F14" s="478"/>
      <c r="G14" s="474" t="e">
        <f t="shared" si="2"/>
        <v>#REF!</v>
      </c>
      <c r="I14" s="53">
        <f t="shared" si="3"/>
        <v>3609.7727272727275</v>
      </c>
      <c r="J14" s="53">
        <f t="shared" si="4"/>
        <v>2.6767176292940733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57364218.306823425</v>
      </c>
      <c r="C21" s="48">
        <v>18731659</v>
      </c>
      <c r="D21" s="48">
        <f>B21-C21</f>
        <v>38632559.306823425</v>
      </c>
      <c r="E21" s="55">
        <f>D21/B21</f>
        <v>0.67346092123472923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2723642.218359381</v>
      </c>
      <c r="C28" s="50"/>
      <c r="D28" s="50">
        <f t="shared" si="5"/>
        <v>2723642.218359381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67294929.625000015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61065.436662500018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54958.892996250019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497584.51323958341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67294929.625000015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15477.833813750005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629086.6767120834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53835943.700000018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74434.467875000017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53835943.700000018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81521.967875000017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732326.505</v>
      </c>
      <c r="E10" s="748">
        <f>'PreDev Flow of Funds'!Y10+'PreDev Flow of Funds'!Y12</f>
        <v>1395966</v>
      </c>
      <c r="F10" s="748">
        <f>(D10-E10)/18</f>
        <v>-36868.860833333332</v>
      </c>
      <c r="G10" s="748">
        <f>$F$10</f>
        <v>-36868.860833333332</v>
      </c>
      <c r="H10" s="748">
        <f t="shared" ref="H10:W10" si="2">$F$10</f>
        <v>-36868.860833333332</v>
      </c>
      <c r="I10" s="748">
        <f t="shared" si="2"/>
        <v>-36868.860833333332</v>
      </c>
      <c r="J10" s="748">
        <f t="shared" si="2"/>
        <v>-36868.860833333332</v>
      </c>
      <c r="K10" s="748">
        <f t="shared" si="2"/>
        <v>-36868.860833333332</v>
      </c>
      <c r="L10" s="748">
        <f t="shared" si="2"/>
        <v>-36868.860833333332</v>
      </c>
      <c r="M10" s="748">
        <f t="shared" si="2"/>
        <v>-36868.860833333332</v>
      </c>
      <c r="N10" s="748">
        <f t="shared" si="2"/>
        <v>-36868.860833333332</v>
      </c>
      <c r="O10" s="748">
        <f t="shared" si="2"/>
        <v>-36868.860833333332</v>
      </c>
      <c r="P10" s="748">
        <f t="shared" si="2"/>
        <v>-36868.860833333332</v>
      </c>
      <c r="Q10" s="748">
        <f t="shared" si="2"/>
        <v>-36868.860833333332</v>
      </c>
      <c r="R10" s="748">
        <f t="shared" si="2"/>
        <v>-36868.860833333332</v>
      </c>
      <c r="S10" s="748">
        <f t="shared" si="2"/>
        <v>-36868.860833333332</v>
      </c>
      <c r="T10" s="748">
        <f t="shared" si="2"/>
        <v>-36868.860833333332</v>
      </c>
      <c r="U10" s="748">
        <f t="shared" si="2"/>
        <v>-36868.860833333332</v>
      </c>
      <c r="V10" s="748">
        <f t="shared" si="2"/>
        <v>-36868.860833333332</v>
      </c>
      <c r="W10" s="748">
        <f t="shared" si="2"/>
        <v>-36868.860833333332</v>
      </c>
      <c r="X10" s="748"/>
      <c r="Y10" s="748">
        <f>SUM(E10:W10)</f>
        <v>732326.50499999989</v>
      </c>
    </row>
    <row r="11" spans="1:25" ht="15">
      <c r="A11" s="402"/>
      <c r="B11" s="403" t="s">
        <v>388</v>
      </c>
      <c r="C11" s="748"/>
      <c r="D11" s="748">
        <f>'Development Budget'!G41</f>
        <v>732326.505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61177208.750000007</v>
      </c>
      <c r="E13" s="748">
        <f>'PreDev Flow of Funds'!Y14</f>
        <v>69798.3</v>
      </c>
      <c r="F13" s="748">
        <f>(D13-E13)/18</f>
        <v>3394856.1361111118</v>
      </c>
      <c r="G13" s="748">
        <f>$F$13</f>
        <v>3394856.1361111118</v>
      </c>
      <c r="H13" s="748">
        <f t="shared" ref="H13:W13" si="5">$F$13</f>
        <v>3394856.1361111118</v>
      </c>
      <c r="I13" s="748">
        <f t="shared" si="5"/>
        <v>3394856.1361111118</v>
      </c>
      <c r="J13" s="748">
        <f t="shared" si="5"/>
        <v>3394856.1361111118</v>
      </c>
      <c r="K13" s="748">
        <f t="shared" si="5"/>
        <v>3394856.1361111118</v>
      </c>
      <c r="L13" s="748">
        <f t="shared" si="5"/>
        <v>3394856.1361111118</v>
      </c>
      <c r="M13" s="748">
        <f t="shared" si="5"/>
        <v>3394856.1361111118</v>
      </c>
      <c r="N13" s="748">
        <f t="shared" si="5"/>
        <v>3394856.1361111118</v>
      </c>
      <c r="O13" s="748">
        <f t="shared" si="5"/>
        <v>3394856.1361111118</v>
      </c>
      <c r="P13" s="748">
        <f t="shared" si="5"/>
        <v>3394856.1361111118</v>
      </c>
      <c r="Q13" s="748">
        <f t="shared" si="5"/>
        <v>3394856.1361111118</v>
      </c>
      <c r="R13" s="748">
        <f t="shared" si="5"/>
        <v>3394856.1361111118</v>
      </c>
      <c r="S13" s="748">
        <f t="shared" si="5"/>
        <v>3394856.1361111118</v>
      </c>
      <c r="T13" s="748">
        <f t="shared" si="5"/>
        <v>3394856.1361111118</v>
      </c>
      <c r="U13" s="748">
        <f t="shared" si="5"/>
        <v>3394856.1361111118</v>
      </c>
      <c r="V13" s="748">
        <f t="shared" si="5"/>
        <v>3394856.1361111118</v>
      </c>
      <c r="W13" s="748">
        <f t="shared" si="5"/>
        <v>3394856.1361111118</v>
      </c>
      <c r="X13" s="748"/>
      <c r="Y13" s="748">
        <f t="shared" si="3"/>
        <v>61177208.75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61177208.750000007</v>
      </c>
      <c r="E15" s="748">
        <f>'PreDev Flow of Funds'!Y16+'PreDev Flow of Funds'!Y17+'PreDev Flow of Funds'!Y19</f>
        <v>72500</v>
      </c>
      <c r="F15" s="748">
        <f>(D15-E15)/18</f>
        <v>3394706.041666667</v>
      </c>
      <c r="G15" s="748">
        <f>$F$15</f>
        <v>3394706.041666667</v>
      </c>
      <c r="H15" s="748">
        <f t="shared" ref="H15:W15" si="7">$F$15</f>
        <v>3394706.041666667</v>
      </c>
      <c r="I15" s="748">
        <f t="shared" si="7"/>
        <v>3394706.041666667</v>
      </c>
      <c r="J15" s="748">
        <f t="shared" si="7"/>
        <v>3394706.041666667</v>
      </c>
      <c r="K15" s="748">
        <f t="shared" si="7"/>
        <v>3394706.041666667</v>
      </c>
      <c r="L15" s="748">
        <f t="shared" si="7"/>
        <v>3394706.041666667</v>
      </c>
      <c r="M15" s="748">
        <f t="shared" si="7"/>
        <v>3394706.041666667</v>
      </c>
      <c r="N15" s="748">
        <f t="shared" si="7"/>
        <v>3394706.041666667</v>
      </c>
      <c r="O15" s="748">
        <f t="shared" si="7"/>
        <v>3394706.041666667</v>
      </c>
      <c r="P15" s="748">
        <f t="shared" si="7"/>
        <v>3394706.041666667</v>
      </c>
      <c r="Q15" s="748">
        <f t="shared" si="7"/>
        <v>3394706.041666667</v>
      </c>
      <c r="R15" s="748">
        <f t="shared" si="7"/>
        <v>3394706.041666667</v>
      </c>
      <c r="S15" s="748">
        <f t="shared" si="7"/>
        <v>3394706.041666667</v>
      </c>
      <c r="T15" s="748">
        <f t="shared" si="7"/>
        <v>3394706.041666667</v>
      </c>
      <c r="U15" s="748">
        <f t="shared" si="7"/>
        <v>3394706.041666667</v>
      </c>
      <c r="V15" s="748">
        <f t="shared" si="7"/>
        <v>3394706.041666667</v>
      </c>
      <c r="W15" s="748">
        <f t="shared" si="7"/>
        <v>3394706.041666667</v>
      </c>
      <c r="X15" s="748"/>
      <c r="Y15" s="748">
        <f t="shared" si="3"/>
        <v>61177208.749999985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48821767</v>
      </c>
      <c r="E33" s="748">
        <v>0</v>
      </c>
      <c r="F33" s="748">
        <f>D33</f>
        <v>48821767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48821767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152943.02187500003</v>
      </c>
      <c r="E43" s="748">
        <f>D43</f>
        <v>152943.02187500003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152943.02187500003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343943.02187500003</v>
      </c>
      <c r="E52" s="748">
        <f>D52</f>
        <v>343943.02187500003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343943.02187500003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397075</v>
      </c>
      <c r="E58" s="748">
        <f>'PreDev Flow of Funds'!Y46</f>
        <v>96238.814999999988</v>
      </c>
      <c r="F58" s="748">
        <f>(D58-E58)/18</f>
        <v>16713.121388888889</v>
      </c>
      <c r="G58" s="748">
        <f>$F$58</f>
        <v>16713.121388888889</v>
      </c>
      <c r="H58" s="748">
        <f t="shared" ref="H58:W58" si="18">$F$58</f>
        <v>16713.121388888889</v>
      </c>
      <c r="I58" s="748">
        <f t="shared" si="18"/>
        <v>16713.121388888889</v>
      </c>
      <c r="J58" s="748">
        <f t="shared" si="18"/>
        <v>16713.121388888889</v>
      </c>
      <c r="K58" s="748">
        <f t="shared" si="18"/>
        <v>16713.121388888889</v>
      </c>
      <c r="L58" s="748">
        <f t="shared" si="18"/>
        <v>16713.121388888889</v>
      </c>
      <c r="M58" s="748">
        <f t="shared" si="18"/>
        <v>16713.121388888889</v>
      </c>
      <c r="N58" s="748">
        <f t="shared" si="18"/>
        <v>16713.121388888889</v>
      </c>
      <c r="O58" s="748">
        <f t="shared" si="18"/>
        <v>16713.121388888889</v>
      </c>
      <c r="P58" s="748">
        <f t="shared" si="18"/>
        <v>16713.121388888889</v>
      </c>
      <c r="Q58" s="748">
        <f t="shared" si="18"/>
        <v>16713.121388888889</v>
      </c>
      <c r="R58" s="748">
        <f t="shared" si="18"/>
        <v>16713.121388888889</v>
      </c>
      <c r="S58" s="748">
        <f t="shared" si="18"/>
        <v>16713.121388888889</v>
      </c>
      <c r="T58" s="748">
        <f t="shared" si="18"/>
        <v>16713.121388888889</v>
      </c>
      <c r="U58" s="748">
        <f t="shared" si="18"/>
        <v>16713.121388888889</v>
      </c>
      <c r="V58" s="748">
        <f t="shared" si="18"/>
        <v>16713.121388888889</v>
      </c>
      <c r="W58" s="748">
        <f t="shared" si="18"/>
        <v>16713.121388888889</v>
      </c>
      <c r="X58" s="748"/>
      <c r="Y58" s="748">
        <f t="shared" si="3"/>
        <v>397075.00000000023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142469.15648511081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15342039.118749997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54640576.088464044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-11379647.695434235</v>
      </c>
      <c r="E87" s="749">
        <f>E80-E84-E85-E86-E88-E89-E90-E91</f>
        <v>500886.04374999553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15342039.118749997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-1159961.61625</v>
      </c>
      <c r="K103" s="162">
        <f>J103+(C116*0.25)/2</f>
        <v>-2319923.2324999999</v>
      </c>
      <c r="L103" s="162">
        <f>K103+((C116-K103)/4)</f>
        <v>-4059865.6568749999</v>
      </c>
      <c r="M103" s="162">
        <f>L103+((C116-K103)/4)</f>
        <v>-5799808.0812499998</v>
      </c>
      <c r="N103" s="162">
        <f>M103+((C116-K103)/4)</f>
        <v>-7539750.5056250002</v>
      </c>
      <c r="O103" s="162">
        <f>N103+((C116-K103)/4)</f>
        <v>-9279692.9299999997</v>
      </c>
      <c r="P103" s="162">
        <f>O103</f>
        <v>-9279692.9299999997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9742639.4591666665</v>
      </c>
      <c r="K104" s="371">
        <f>((C117-1033493)/6)+J104</f>
        <v>19485278.918333333</v>
      </c>
      <c r="L104" s="371">
        <f>((C117-1033493)/6)+K104</f>
        <v>29227918.377499998</v>
      </c>
      <c r="M104" s="371">
        <f>((C117-1033493)/6)+L104</f>
        <v>38970557.836666666</v>
      </c>
      <c r="N104" s="371">
        <f>((C117-1033493)/6)+M104</f>
        <v>48713197.295833334</v>
      </c>
      <c r="O104" s="371">
        <f>((C117-1033493)/6)+N104</f>
        <v>58455836.755000003</v>
      </c>
      <c r="P104" s="371">
        <f>(286645+100000+646848)+O104</f>
        <v>59489329.755000003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8582677.8429166675</v>
      </c>
      <c r="K110" s="371">
        <f t="shared" ref="K110:P110" si="9">SUM(K103:K104)</f>
        <v>17165355.685833335</v>
      </c>
      <c r="L110" s="371">
        <f t="shared" si="9"/>
        <v>25168052.720624998</v>
      </c>
      <c r="M110" s="371">
        <f t="shared" si="9"/>
        <v>33170749.755416665</v>
      </c>
      <c r="N110" s="371">
        <f t="shared" si="9"/>
        <v>41173446.790208332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-9279692.9299999997</v>
      </c>
      <c r="D116" s="1769"/>
    </row>
    <row r="117" spans="2:19" ht="16.5" thickBot="1">
      <c r="B117" s="398" t="s">
        <v>602</v>
      </c>
      <c r="C117" s="1772">
        <f>C118-C114-C116-C115</f>
        <v>59489329.755000003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