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9BE3589E-56C4-4CC1-A8C4-8FBCE218B8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D7" i="27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<sst xmlns="http://schemas.openxmlformats.org/spreadsheetml/2006/main" count="1994" uniqueCount="1105">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</sst>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0" workbookViewId="0">
      <selection activeCell="E19" sqref="E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0.11772897492108678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0.11772897492108678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3137693.6325448882</v>
      </c>
      <c r="E18" s="1754">
        <f ca="1">ABS(D18/D28)</f>
        <v>4.0892396465270368E-2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1151.3157894736842</v>
      </c>
    </row>
    <row r="22" spans="1:6">
      <c r="A22" s="64"/>
      <c r="B22" s="4" t="s">
        <v>16</v>
      </c>
      <c r="C22" s="4"/>
      <c r="D22" s="1531">
        <f>'Development Budget'!G44</f>
        <v>55779000</v>
      </c>
      <c r="E22" s="1531">
        <f t="shared" ref="E22:E28" si="0">D22/$D$10</f>
        <v>366967.10526315792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1872240</v>
      </c>
      <c r="E23" s="1531">
        <f t="shared" si="0"/>
        <v>12317.368421052632</v>
      </c>
    </row>
    <row r="24" spans="1:6">
      <c r="A24" s="64"/>
      <c r="B24" s="4" t="s">
        <v>18</v>
      </c>
      <c r="C24" s="4"/>
      <c r="D24" s="1531">
        <f>'Development Budget'!G97</f>
        <v>497075</v>
      </c>
      <c r="E24" s="1531">
        <f t="shared" si="0"/>
        <v>3270.2302631578946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5052499.3056390593</v>
      </c>
      <c r="E25" s="1531">
        <f t="shared" si="0"/>
        <v>33240.127010783282</v>
      </c>
    </row>
    <row r="26" spans="1:6">
      <c r="A26" s="64"/>
      <c r="B26" s="4" t="s">
        <v>20</v>
      </c>
      <c r="C26" s="4"/>
      <c r="D26" s="1531">
        <f>'Development Budget'!G181</f>
        <v>4157105.2577199996</v>
      </c>
      <c r="E26" s="1531">
        <f t="shared" si="0"/>
        <v>27349.376695526313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9197570.7909959406</v>
      </c>
      <c r="E27" s="1532">
        <f t="shared" si="0"/>
        <v>60510.334151289084</v>
      </c>
    </row>
    <row r="28" spans="1:6" ht="16.5" thickTop="1">
      <c r="A28" s="4"/>
      <c r="B28" s="4"/>
      <c r="C28" s="150" t="s">
        <v>14</v>
      </c>
      <c r="D28" s="1533">
        <f>SUM(D21:D27)</f>
        <v>76730490.354354993</v>
      </c>
      <c r="E28" s="1531">
        <f t="shared" si="0"/>
        <v>504805.85759444075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50473540.771817796</v>
      </c>
      <c r="E32" s="1586">
        <f t="shared" si="1"/>
        <v>332062.76823564339</v>
      </c>
    </row>
    <row r="33" spans="1:5">
      <c r="A33" s="64"/>
      <c r="B33" s="4" t="s">
        <v>1051</v>
      </c>
      <c r="C33" s="4"/>
      <c r="D33" s="1587">
        <f>GapCalc!D29</f>
        <v>3952369.551244216</v>
      </c>
      <c r="E33" s="1586">
        <f>D33/$D$10</f>
        <v>26002.431258185632</v>
      </c>
    </row>
    <row r="34" spans="1:5">
      <c r="A34" s="65"/>
      <c r="B34" s="4" t="s">
        <v>26</v>
      </c>
      <c r="C34" s="4"/>
      <c r="D34" s="1587">
        <f>GapCalc!D30</f>
        <v>22396760.79038389</v>
      </c>
      <c r="E34" s="1586">
        <f>D34/$D$10</f>
        <v>147347.11046305191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76822671.113445908</v>
      </c>
      <c r="E36" s="1586">
        <f>D36/$D$10</f>
        <v>505412.30995688098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57863275.542162932</v>
      </c>
      <c r="E40" s="1586">
        <f t="shared" ref="E40" si="2">D40/$D$10</f>
        <v>380679.44435633509</v>
      </c>
    </row>
    <row r="41" spans="1:5">
      <c r="A41" s="60"/>
      <c r="B41" s="4" t="s">
        <v>1051</v>
      </c>
      <c r="C41" s="4"/>
      <c r="D41" s="1591">
        <f>GapCalc!D29+GapCalc!D38</f>
        <v>3952369.551244216</v>
      </c>
      <c r="E41" s="1586">
        <f>D41/$D$10</f>
        <v>26002.431258185632</v>
      </c>
    </row>
    <row r="42" spans="1:5">
      <c r="A42" s="60"/>
      <c r="B42" s="1557" t="s">
        <v>26</v>
      </c>
      <c r="C42" s="4"/>
      <c r="D42" s="1592">
        <f>GapCalc!D30+GapCalc!D39</f>
        <v>22396760.79038389</v>
      </c>
      <c r="E42" s="1586">
        <f>D42/$D$10</f>
        <v>147347.11046305191</v>
      </c>
    </row>
    <row r="43" spans="1:5">
      <c r="A43" s="60"/>
      <c r="B43" s="1714" t="s">
        <v>1102</v>
      </c>
      <c r="C43" s="4"/>
      <c r="D43" s="1592">
        <f>IF(D32-D40&gt;0,0,D32-D40)</f>
        <v>-7389734.7703451365</v>
      </c>
      <c r="E43" s="1586">
        <f>D43/$D$10</f>
        <v>-48616.676120691685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76822671.113445893</v>
      </c>
      <c r="E45" s="1588">
        <f>D45/$D$10</f>
        <v>505412.30995688087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8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1151.3157894736842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55779000</v>
      </c>
      <c r="E18" s="1531">
        <f t="shared" ref="E18:E24" si="0">D18/$D$11</f>
        <v>366967.10526315792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1872240</v>
      </c>
      <c r="E19" s="1531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497075</v>
      </c>
      <c r="E20" s="1531">
        <f t="shared" si="0"/>
        <v>3270.2302631578946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5052499.3056390593</v>
      </c>
      <c r="E21" s="1531">
        <f t="shared" si="0"/>
        <v>33240.127010783282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4157105.2577199996</v>
      </c>
      <c r="E22" s="1531">
        <f t="shared" si="0"/>
        <v>27349.376695526313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9197570.7909959406</v>
      </c>
      <c r="E23" s="1532">
        <f t="shared" si="0"/>
        <v>60510.334151289084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76730490.354354993</v>
      </c>
      <c r="E24" s="1531">
        <f t="shared" si="0"/>
        <v>504805.85759444075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50473540.771817796</v>
      </c>
      <c r="E28" s="1586">
        <f t="shared" si="1"/>
        <v>332062.76823564339</v>
      </c>
      <c r="F28" s="62"/>
      <c r="G28" s="1419" t="s">
        <v>609</v>
      </c>
      <c r="H28" s="1608">
        <f>H32/D11</f>
        <v>26002.431258185632</v>
      </c>
      <c r="I28" s="703"/>
    </row>
    <row r="29" spans="1:10" ht="15.75">
      <c r="A29" s="64"/>
      <c r="B29" s="4" t="s">
        <v>1051</v>
      </c>
      <c r="C29" s="4"/>
      <c r="D29" s="1587">
        <v>3952369.551244216</v>
      </c>
      <c r="E29" s="1586">
        <f>D29/$D$11</f>
        <v>26002.431258185632</v>
      </c>
      <c r="F29" s="520"/>
      <c r="G29" s="1420" t="s">
        <v>972</v>
      </c>
      <c r="H29" s="1609">
        <f>H33/D11</f>
        <v>147347.11046305191</v>
      </c>
      <c r="I29" s="703"/>
    </row>
    <row r="30" spans="1:10" ht="16.5" thickBot="1">
      <c r="A30" s="65"/>
      <c r="B30" s="4" t="s">
        <v>26</v>
      </c>
      <c r="C30" s="4"/>
      <c r="D30" s="1587">
        <v>22396760.79038389</v>
      </c>
      <c r="E30" s="1586">
        <f>D30/$D$11</f>
        <v>147347.11046305191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92180.759090915322</v>
      </c>
      <c r="E32" s="1588">
        <f>D32/$D$11</f>
        <v>606.45236244023238</v>
      </c>
      <c r="F32" s="62"/>
      <c r="G32" s="1339" t="s">
        <v>609</v>
      </c>
      <c r="H32" s="1611">
        <f>D29+D38</f>
        <v>3952369.551244216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76822671.113445908</v>
      </c>
      <c r="E33" s="1586">
        <f>D33/$D$11</f>
        <v>505412.30995688098</v>
      </c>
      <c r="F33" s="62"/>
      <c r="G33" s="1441" t="s">
        <v>972</v>
      </c>
      <c r="H33" s="1611">
        <f>D30+D39</f>
        <v>22396760.79038389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26349130.341628104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0.34339843548429255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57863275.542162932</v>
      </c>
      <c r="E37" s="1586">
        <f t="shared" ref="E37" si="2">D37/$D$11</f>
        <v>380679.44435633509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983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-13827.113863637298</v>
      </c>
      <c r="I39" s="1596">
        <f>D29+H39</f>
        <v>3938542.4373805788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-78353.645227278015</v>
      </c>
      <c r="I40" s="1597">
        <f>D30+H40</f>
        <v>22318407.145156611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7389734.7703451365</v>
      </c>
      <c r="E41" s="1588">
        <f>D41/$D$11</f>
        <v>48616.676120691685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57863275.542162932</v>
      </c>
      <c r="E42" s="1586">
        <f>D42/$D$11</f>
        <v>380679.44435633509</v>
      </c>
      <c r="G42" s="1434" t="s">
        <v>999</v>
      </c>
      <c r="H42" s="1615" t="s">
        <v>983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-1108460.2155517705</v>
      </c>
      <c r="I43" s="1596">
        <f>D38+H43</f>
        <v>-1108460.2155517705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-6281274.5547933662</v>
      </c>
      <c r="I44" s="1596">
        <f>D39+H44</f>
        <v>-6281274.5547933662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25063800.378047045</v>
      </c>
      <c r="J46" s="1582" t="s">
        <v>1083</v>
      </c>
      <c r="K46" s="1583">
        <f>'Cash Flow'!C76</f>
        <v>0.11772897492108678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9834964.0966431703</v>
      </c>
      <c r="J47" s="1584" t="s">
        <v>1098</v>
      </c>
      <c r="K47" s="1607">
        <f>'Cash Flow'!C70</f>
        <v>40853994.616216682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2667039.587663155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4423023.5961259492</v>
      </c>
      <c r="J51" s="1585" t="s">
        <v>1083</v>
      </c>
      <c r="K51" s="1618">
        <f>'Cash Flow'!H76</f>
        <v>0.11772897492108678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3952369.551244216</v>
      </c>
      <c r="J52" s="1584" t="s">
        <v>1097</v>
      </c>
      <c r="K52" s="1607">
        <f>'Cash Flow'!H70</f>
        <v>7209528.4616852971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470654.04488173313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3137693.6325448882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35119803.264746629</v>
      </c>
      <c r="J58" s="1582" t="s">
        <v>1083</v>
      </c>
      <c r="K58" s="1583">
        <f>'Cash Flow'!C103</f>
        <v>0.15559624383770448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57245279.321536995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12723042.474362738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4919300.6128465198</v>
      </c>
      <c r="J63" s="1585" t="s">
        <v>1083</v>
      </c>
      <c r="K63" s="1618">
        <f>'Cash Flow'!H103</f>
        <v>0.10287728399323377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3952369.551244216</v>
      </c>
      <c r="J64" s="1584" t="s">
        <v>1097</v>
      </c>
      <c r="K64" s="1607">
        <f>'Cash Flow'!H97</f>
        <v>8018459.9989398271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966931.06160230376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13689973.535965042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N23" sqref="N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O19" s="283"/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7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7389734.7703451365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9880000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164.47368421052633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986.84210526315792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1151.3157894736842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44503200</v>
      </c>
      <c r="H32" s="1039"/>
      <c r="I32" s="950">
        <f t="shared" si="0"/>
        <v>292784.21052631579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48953520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44503200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4450320</v>
      </c>
      <c r="G36" s="854">
        <f>F36</f>
        <v>4450320</v>
      </c>
      <c r="H36" s="950"/>
      <c r="I36" s="950">
        <f t="shared" si="0"/>
        <v>29278.42105263158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3115224.0000000005</v>
      </c>
      <c r="H37" s="1072"/>
      <c r="I37" s="950">
        <f t="shared" si="0"/>
        <v>20494.894736842107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3115224.0000000005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2225160</v>
      </c>
      <c r="H38" s="1072"/>
      <c r="I38" s="950">
        <f t="shared" si="0"/>
        <v>14639.21052631579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2225160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667548</v>
      </c>
      <c r="H40" s="1072"/>
      <c r="I40" s="950">
        <f t="shared" si="0"/>
        <v>4391.7631578947367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667548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667548</v>
      </c>
      <c r="H41" s="1072"/>
      <c r="I41" s="950">
        <f t="shared" si="0"/>
        <v>4391.7631578947367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667548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55779000</v>
      </c>
      <c r="H44" s="1324"/>
      <c r="I44" s="1325">
        <f t="shared" si="0"/>
        <v>366967.10526315792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55779000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55779000</v>
      </c>
      <c r="H46" s="1333"/>
      <c r="I46" s="1325">
        <f t="shared" si="0"/>
        <v>366967.10526315792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55779000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5577900</v>
      </c>
      <c r="H47" s="1039"/>
      <c r="I47" s="950">
        <f t="shared" si="0"/>
        <v>36696.710526315786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5577900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50920</v>
      </c>
      <c r="G49" s="1092">
        <f>F49</f>
        <v>50920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55936</v>
      </c>
      <c r="G50" s="1092">
        <f>F50</f>
        <v>55936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8.0592105263157894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108081</v>
      </c>
      <c r="H52" s="1101"/>
      <c r="I52" s="950">
        <f t="shared" si="0"/>
        <v>711.05921052631584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108081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1739800</v>
      </c>
      <c r="H54" s="1039"/>
      <c r="I54" s="950">
        <f t="shared" si="0"/>
        <v>11446.052631578947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102440</v>
      </c>
      <c r="H57" s="1117"/>
      <c r="I57" s="950">
        <f t="shared" si="0"/>
        <v>673.9473684210526</v>
      </c>
      <c r="J57" s="1015"/>
      <c r="K57" s="1118"/>
      <c r="L57" s="1119"/>
      <c r="M57" s="1120">
        <f>(5000*F9)*1.6</f>
        <v>1216000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102440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197.36842105263159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1541792.5</v>
      </c>
      <c r="H59" s="1128"/>
      <c r="I59" s="950">
        <f t="shared" si="0"/>
        <v>10143.371710526315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1872240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139447.5</v>
      </c>
      <c r="H67" s="1039"/>
      <c r="I67" s="950">
        <f t="shared" si="0"/>
        <v>917.41776315789468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139447.5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46.05263157894737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625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164.47368421052633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197.36842105263159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223.68421052631578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330447.5</v>
      </c>
      <c r="H80" s="1101"/>
      <c r="I80" s="950">
        <f t="shared" si="0"/>
        <v>2173.9967105263158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330447.5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397075</v>
      </c>
      <c r="H90" s="1111"/>
      <c r="I90" s="950">
        <f t="shared" si="3"/>
        <v>2612.3355263157896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657.89473684210532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1791624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497075</v>
      </c>
      <c r="H97" s="1101"/>
      <c r="I97" s="950">
        <f t="shared" si="3"/>
        <v>3270.2302631578946</v>
      </c>
      <c r="J97" s="1102"/>
      <c r="K97" s="1166">
        <f>I97/I250</f>
        <v>6.4781939709288913E-3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497075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142265.97253457556</v>
      </c>
      <c r="H102" s="1111"/>
      <c r="I102" s="950">
        <f t="shared" si="3"/>
        <v>935.96034562220757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142265.97253457556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127265.97253457557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2514615.7562562772</v>
      </c>
      <c r="N103" s="1172">
        <v>2545319.4506915114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142265.97253457556</v>
      </c>
      <c r="H114" s="1101"/>
      <c r="I114" s="950">
        <f t="shared" si="3"/>
        <v>935.96034562220757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142265.97253457556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3558384.624413155</v>
      </c>
      <c r="H116" s="1177"/>
      <c r="I116" s="950">
        <f t="shared" si="3"/>
        <v>23410.425160612864</v>
      </c>
      <c r="J116" s="1178"/>
      <c r="K116" s="1179" t="s">
        <v>823</v>
      </c>
      <c r="L116" s="1073"/>
      <c r="M116" s="1180">
        <f>0.5*Data!C20*Data!C17/12*Data!C19</f>
        <v>3558384.624413155</v>
      </c>
      <c r="N116" s="1181">
        <v>3558384.624413155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3558384.624413155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504735.40771817794</v>
      </c>
      <c r="H117" s="1094"/>
      <c r="I117" s="950">
        <f t="shared" si="3"/>
        <v>3320.627682356434</v>
      </c>
      <c r="J117" s="1015"/>
      <c r="K117" s="1184" t="s">
        <v>825</v>
      </c>
      <c r="L117" s="1185"/>
      <c r="M117" s="1186">
        <f>0.01*Data!C20</f>
        <v>504735.40771817794</v>
      </c>
      <c r="N117" s="1172">
        <v>504735.40771817794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504735.40771817794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778268.96235000016</v>
      </c>
      <c r="H121" s="1117"/>
      <c r="I121" s="950">
        <f t="shared" si="3"/>
        <v>5120.1905417763164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778268.96235000016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778268.96235000016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85710.311157726697</v>
      </c>
      <c r="H125" s="1111"/>
      <c r="I125" s="950">
        <f t="shared" si="3"/>
        <v>563.88362603767564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85710.311157726697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75710.311157726697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75710.311157726697</v>
      </c>
      <c r="N126" s="1172">
        <v>75710.311157726697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101.31578947368421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4942499.3056390593</v>
      </c>
      <c r="H148" s="1128"/>
      <c r="I148" s="950">
        <f t="shared" si="6"/>
        <v>32516.442800256969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4942499.3056390593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578632.75542162929</v>
      </c>
      <c r="H151" s="1093"/>
      <c r="I151" s="950">
        <f t="shared" ref="I151:I158" si="7">G151/$F$9</f>
        <v>3806.7944435633508</v>
      </c>
      <c r="J151" s="1094"/>
      <c r="K151" s="1244" t="s">
        <v>863</v>
      </c>
      <c r="L151" s="1245"/>
      <c r="M151" s="1558">
        <f>Data!C31*Data!C30</f>
        <v>578632.75542162929</v>
      </c>
      <c r="N151" s="1345">
        <v>578632.75542162929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4542618.669463601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394.73684210526318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328.94736842105266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723.68421052631584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4157105.2577199996</v>
      </c>
      <c r="H178" s="1093"/>
      <c r="I178" s="950">
        <f t="shared" si="6"/>
        <v>27349.376695526313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4157105.2577199996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4157105.2577199996</v>
      </c>
      <c r="H181" s="1128"/>
      <c r="I181" s="950">
        <f t="shared" si="6"/>
        <v>27349.376695526313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4157105.2577199996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85.526315789473685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78.94736842105263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164.47368421052633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95.39473684210526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613.48684210526312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328.94736842105266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1848.6842105263158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532157.15179468179</v>
      </c>
      <c r="H233" s="1111"/>
      <c r="I233" s="950">
        <f t="shared" si="8"/>
        <v>3501.0338933860644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532157.15179468179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970907.15179468179</v>
      </c>
      <c r="H234" s="1282"/>
      <c r="I234" s="950">
        <f t="shared" si="8"/>
        <v>6387.5470512808015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970907.15179468179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16447.36842105263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136.51315789473685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16583.88157894737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4.3859649122807012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13.157894736842104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17.543859649122805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76730490.354354993</v>
      </c>
      <c r="H250" s="1298"/>
      <c r="I250" s="1299">
        <f>G250/F9</f>
        <v>504805.85759444075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517.24700934554141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148344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148344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24724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50473540.771817796</v>
      </c>
      <c r="D20" s="1375">
        <f>MIN(D22,GapCalc!D24)</f>
        <v>49874818.73033075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49874818.73033075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-4016896.4568541916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3929105.2577199996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57863275.542162932</v>
      </c>
      <c r="D30" s="1376">
        <f>-PV($C$24/12,$C$29*12,C27/12)</f>
        <v>56598645.89580705</v>
      </c>
      <c r="E30" s="1384"/>
      <c r="F30" t="s">
        <v>438</v>
      </c>
      <c r="G30" s="1381"/>
      <c r="H30" s="1376">
        <f>PV(G23,G29,-'Cash Flow'!E41*H28,)</f>
        <v>6334258.6581166182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3929105.2577199996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1038</v>
      </c>
      <c r="E38" s="1391">
        <f>C37*GapCalc!D24</f>
        <v>61384392.283483997</v>
      </c>
    </row>
    <row r="39" spans="1:10">
      <c r="A39" s="1362"/>
      <c r="B39" t="s">
        <v>110</v>
      </c>
      <c r="C39" s="54">
        <f>C21</f>
        <v>0.01</v>
      </c>
      <c r="D39" t="s">
        <v>1052</v>
      </c>
      <c r="E39" s="1376">
        <f>PV($C$33/12,$C$34*12,-C36/12)</f>
        <v>64621063.960951991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315</v>
      </c>
      <c r="C19" s="1713" t="s">
        <v>1099</v>
      </c>
      <c r="D19" s="88">
        <v>1.2500000000000001E-2</v>
      </c>
      <c r="E19" s="95">
        <f>IF(C19="Abatement", 0, -'Tax Calc'!B10)</f>
        <v>-533770.49073600001</v>
      </c>
      <c r="F19" s="89">
        <f>E19*(1+$D$19)</f>
        <v>-540442.62187020003</v>
      </c>
      <c r="G19" s="89">
        <f t="shared" ref="G19:AH19" si="6">F19*(1+$D$19)</f>
        <v>-547198.15464357752</v>
      </c>
      <c r="H19" s="89">
        <f t="shared" si="6"/>
        <v>-554038.13157662225</v>
      </c>
      <c r="I19" s="89">
        <f t="shared" si="6"/>
        <v>-560963.60822132998</v>
      </c>
      <c r="J19" s="89">
        <f t="shared" si="6"/>
        <v>-567975.65332409658</v>
      </c>
      <c r="K19" s="89">
        <f t="shared" si="6"/>
        <v>-575075.3489906477</v>
      </c>
      <c r="L19" s="89">
        <f t="shared" si="6"/>
        <v>-582263.79085303075</v>
      </c>
      <c r="M19" s="89">
        <f t="shared" si="6"/>
        <v>-589542.08823869366</v>
      </c>
      <c r="N19" s="89">
        <f t="shared" si="6"/>
        <v>-596911.36434167728</v>
      </c>
      <c r="O19" s="89">
        <f t="shared" si="6"/>
        <v>-604372.75639594824</v>
      </c>
      <c r="P19" s="89">
        <f t="shared" si="6"/>
        <v>-611927.41585089755</v>
      </c>
      <c r="Q19" s="89">
        <f t="shared" si="6"/>
        <v>-619576.50854903378</v>
      </c>
      <c r="R19" s="89">
        <f t="shared" si="6"/>
        <v>-627321.21490589669</v>
      </c>
      <c r="S19" s="90">
        <f t="shared" si="6"/>
        <v>-635162.73009222036</v>
      </c>
      <c r="T19" s="89">
        <f t="shared" si="6"/>
        <v>-643102.26421837311</v>
      </c>
      <c r="U19" s="89">
        <f t="shared" si="6"/>
        <v>-651141.0425211027</v>
      </c>
      <c r="V19" s="89">
        <f t="shared" si="6"/>
        <v>-659280.30555261648</v>
      </c>
      <c r="W19" s="89">
        <f t="shared" si="6"/>
        <v>-667521.30937202414</v>
      </c>
      <c r="X19" s="89">
        <f t="shared" si="6"/>
        <v>-675865.32573917438</v>
      </c>
      <c r="Y19" s="89">
        <f t="shared" si="6"/>
        <v>-684313.642310914</v>
      </c>
      <c r="Z19" s="89">
        <f t="shared" si="6"/>
        <v>-692867.56283980038</v>
      </c>
      <c r="AA19" s="89">
        <f t="shared" si="6"/>
        <v>-701528.40737529786</v>
      </c>
      <c r="AB19" s="89">
        <f t="shared" si="6"/>
        <v>-710297.512467489</v>
      </c>
      <c r="AC19" s="89">
        <f t="shared" si="6"/>
        <v>-719176.23137333256</v>
      </c>
      <c r="AD19" s="89">
        <f t="shared" si="6"/>
        <v>-728165.93426549924</v>
      </c>
      <c r="AE19" s="89">
        <f t="shared" si="6"/>
        <v>-737268.00844381796</v>
      </c>
      <c r="AF19" s="89">
        <f t="shared" si="6"/>
        <v>-746483.85854936566</v>
      </c>
      <c r="AG19" s="89">
        <f t="shared" si="6"/>
        <v>-755814.90678123268</v>
      </c>
      <c r="AH19" s="89">
        <f t="shared" si="6"/>
        <v>-765262.59311599808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4714926.3092639996</v>
      </c>
      <c r="F21" s="95">
        <f t="shared" si="8"/>
        <v>4831491.5981297996</v>
      </c>
      <c r="G21" s="95">
        <f t="shared" si="8"/>
        <v>4950735.2208564216</v>
      </c>
      <c r="H21" s="95">
        <f t="shared" si="8"/>
        <v>5072714.0063108774</v>
      </c>
      <c r="I21" s="95">
        <f t="shared" si="8"/>
        <v>5197485.8260933561</v>
      </c>
      <c r="J21" s="95">
        <f t="shared" si="8"/>
        <v>5325109.6070827553</v>
      </c>
      <c r="K21" s="95">
        <f t="shared" si="8"/>
        <v>5455645.343818875</v>
      </c>
      <c r="L21" s="95">
        <f t="shared" si="8"/>
        <v>5589154.1107004676</v>
      </c>
      <c r="M21" s="95">
        <f t="shared" si="8"/>
        <v>5725698.0739772106</v>
      </c>
      <c r="N21" s="95">
        <f t="shared" si="8"/>
        <v>5865340.5035125175</v>
      </c>
      <c r="O21" s="95">
        <f t="shared" si="8"/>
        <v>6008145.7842928972</v>
      </c>
      <c r="P21" s="95">
        <f t="shared" si="8"/>
        <v>6154179.4276583027</v>
      </c>
      <c r="Q21" s="95">
        <f t="shared" si="8"/>
        <v>6303508.0822266396</v>
      </c>
      <c r="R21" s="95">
        <f t="shared" si="8"/>
        <v>6456199.5444841683</v>
      </c>
      <c r="S21" s="96">
        <f t="shared" si="8"/>
        <v>6612322.7690121746</v>
      </c>
      <c r="T21" s="95">
        <f t="shared" si="8"/>
        <v>6771947.8783187401</v>
      </c>
      <c r="U21" s="95">
        <f t="shared" si="8"/>
        <v>6935146.1722429805</v>
      </c>
      <c r="V21" s="95">
        <f t="shared" si="8"/>
        <v>7101990.1368973302</v>
      </c>
      <c r="W21" s="95">
        <f t="shared" si="8"/>
        <v>7272553.453112023</v>
      </c>
      <c r="X21" s="95">
        <f t="shared" si="8"/>
        <v>7446911.004343872</v>
      </c>
      <c r="Y21" s="95">
        <f t="shared" si="8"/>
        <v>7625138.8840099005</v>
      </c>
      <c r="Z21" s="95">
        <f t="shared" si="8"/>
        <v>7807314.4022042248</v>
      </c>
      <c r="AA21" s="95">
        <f t="shared" si="8"/>
        <v>7993516.0917548025</v>
      </c>
      <c r="AB21" s="95">
        <f t="shared" si="8"/>
        <v>8183823.7135744356</v>
      </c>
      <c r="AC21" s="95">
        <f t="shared" si="8"/>
        <v>8378318.2612583861</v>
      </c>
      <c r="AD21" s="95">
        <f t="shared" si="8"/>
        <v>8577081.9648786131</v>
      </c>
      <c r="AE21" s="95">
        <f t="shared" si="8"/>
        <v>8780198.2939223833</v>
      </c>
      <c r="AF21" s="95">
        <f t="shared" si="8"/>
        <v>8987751.9593204949</v>
      </c>
      <c r="AG21" s="95">
        <f t="shared" si="8"/>
        <v>9199828.9145079385</v>
      </c>
      <c r="AH21" s="95">
        <f t="shared" si="8"/>
        <v>9416516.3554570042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-3929105.2577199996</v>
      </c>
      <c r="F22" s="95">
        <f t="shared" ref="F22:AH22" si="9">$E$22</f>
        <v>-3929105.2577199996</v>
      </c>
      <c r="G22" s="95">
        <f t="shared" si="9"/>
        <v>-3929105.2577199996</v>
      </c>
      <c r="H22" s="95">
        <f t="shared" si="9"/>
        <v>-3929105.2577199996</v>
      </c>
      <c r="I22" s="95">
        <f t="shared" si="9"/>
        <v>-3929105.2577199996</v>
      </c>
      <c r="J22" s="95">
        <f t="shared" si="9"/>
        <v>-3929105.2577199996</v>
      </c>
      <c r="K22" s="95">
        <f t="shared" si="9"/>
        <v>-3929105.2577199996</v>
      </c>
      <c r="L22" s="95">
        <f t="shared" si="9"/>
        <v>-3929105.2577199996</v>
      </c>
      <c r="M22" s="95">
        <f t="shared" si="9"/>
        <v>-3929105.2577199996</v>
      </c>
      <c r="N22" s="95">
        <f t="shared" si="9"/>
        <v>-3929105.2577199996</v>
      </c>
      <c r="O22" s="95">
        <f t="shared" si="9"/>
        <v>-3929105.2577199996</v>
      </c>
      <c r="P22" s="95">
        <f t="shared" si="9"/>
        <v>-3929105.2577199996</v>
      </c>
      <c r="Q22" s="95">
        <f t="shared" si="9"/>
        <v>-3929105.2577199996</v>
      </c>
      <c r="R22" s="95">
        <f t="shared" si="9"/>
        <v>-3929105.2577199996</v>
      </c>
      <c r="S22" s="96">
        <f t="shared" si="9"/>
        <v>-3929105.2577199996</v>
      </c>
      <c r="T22" s="95">
        <f t="shared" si="9"/>
        <v>-3929105.2577199996</v>
      </c>
      <c r="U22" s="95">
        <f t="shared" si="9"/>
        <v>-3929105.2577199996</v>
      </c>
      <c r="V22" s="95">
        <f t="shared" si="9"/>
        <v>-3929105.2577199996</v>
      </c>
      <c r="W22" s="95">
        <f t="shared" si="9"/>
        <v>-3929105.2577199996</v>
      </c>
      <c r="X22" s="95">
        <f t="shared" si="9"/>
        <v>-3929105.2577199996</v>
      </c>
      <c r="Y22" s="95">
        <f t="shared" si="9"/>
        <v>-3929105.2577199996</v>
      </c>
      <c r="Z22" s="95">
        <f t="shared" si="9"/>
        <v>-3929105.2577199996</v>
      </c>
      <c r="AA22" s="95">
        <f t="shared" si="9"/>
        <v>-3929105.2577199996</v>
      </c>
      <c r="AB22" s="95">
        <f t="shared" si="9"/>
        <v>-3929105.2577199996</v>
      </c>
      <c r="AC22" s="95">
        <f t="shared" si="9"/>
        <v>-3929105.2577199996</v>
      </c>
      <c r="AD22" s="95">
        <f t="shared" si="9"/>
        <v>-3929105.2577199996</v>
      </c>
      <c r="AE22" s="95">
        <f t="shared" si="9"/>
        <v>-3929105.2577199996</v>
      </c>
      <c r="AF22" s="95">
        <f t="shared" si="9"/>
        <v>-3929105.2577199996</v>
      </c>
      <c r="AG22" s="95">
        <f t="shared" si="9"/>
        <v>-3929105.2577199996</v>
      </c>
      <c r="AH22" s="95">
        <f t="shared" si="9"/>
        <v>-3929105.2577199996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785821.05154399993</v>
      </c>
      <c r="F25" s="119">
        <f t="shared" ref="F25:AH25" si="11">+F21+F22+F23</f>
        <v>902386.34040979994</v>
      </c>
      <c r="G25" s="119">
        <f t="shared" si="11"/>
        <v>1021629.963136422</v>
      </c>
      <c r="H25" s="119">
        <f t="shared" si="11"/>
        <v>1143608.7485908777</v>
      </c>
      <c r="I25" s="119">
        <f t="shared" si="11"/>
        <v>1268380.5683733565</v>
      </c>
      <c r="J25" s="119">
        <f t="shared" si="11"/>
        <v>1396004.3493627557</v>
      </c>
      <c r="K25" s="119">
        <f t="shared" si="11"/>
        <v>1526540.0860988754</v>
      </c>
      <c r="L25" s="119">
        <f t="shared" si="11"/>
        <v>1660048.852980468</v>
      </c>
      <c r="M25" s="119">
        <f t="shared" si="11"/>
        <v>1796592.8162572109</v>
      </c>
      <c r="N25" s="119">
        <f t="shared" si="11"/>
        <v>1936235.2457925179</v>
      </c>
      <c r="O25" s="119">
        <f t="shared" si="11"/>
        <v>2079040.5265728976</v>
      </c>
      <c r="P25" s="119">
        <f t="shared" si="11"/>
        <v>2225074.1699383031</v>
      </c>
      <c r="Q25" s="119">
        <f t="shared" si="11"/>
        <v>2374402.82450664</v>
      </c>
      <c r="R25" s="119">
        <f t="shared" si="11"/>
        <v>2527094.2867641686</v>
      </c>
      <c r="S25" s="160">
        <f t="shared" si="11"/>
        <v>2683217.5112921749</v>
      </c>
      <c r="T25" s="119">
        <f t="shared" si="11"/>
        <v>2842842.6205987404</v>
      </c>
      <c r="U25" s="119">
        <f t="shared" si="11"/>
        <v>3006040.9145229808</v>
      </c>
      <c r="V25" s="119">
        <f t="shared" si="11"/>
        <v>3172884.8791773305</v>
      </c>
      <c r="W25" s="119">
        <f t="shared" si="11"/>
        <v>3343448.1953920233</v>
      </c>
      <c r="X25" s="119">
        <f t="shared" si="11"/>
        <v>3517805.7466238723</v>
      </c>
      <c r="Y25" s="119">
        <f t="shared" si="11"/>
        <v>3696033.6262899009</v>
      </c>
      <c r="Z25" s="119">
        <f t="shared" si="11"/>
        <v>3878209.1444842252</v>
      </c>
      <c r="AA25" s="119">
        <f t="shared" si="11"/>
        <v>4064410.8340348029</v>
      </c>
      <c r="AB25" s="119">
        <f t="shared" si="11"/>
        <v>4254718.4558544364</v>
      </c>
      <c r="AC25" s="119">
        <f t="shared" si="11"/>
        <v>4449213.0035383869</v>
      </c>
      <c r="AD25" s="119">
        <f t="shared" si="11"/>
        <v>4647976.707158614</v>
      </c>
      <c r="AE25" s="119">
        <f t="shared" si="11"/>
        <v>4851093.0362023842</v>
      </c>
      <c r="AF25" s="119">
        <f t="shared" si="11"/>
        <v>5058646.7016004957</v>
      </c>
      <c r="AG25" s="119">
        <f t="shared" si="11"/>
        <v>5270723.6567879394</v>
      </c>
      <c r="AH25" s="119">
        <f t="shared" si="11"/>
        <v>5487411.097737005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1.2296671331562752</v>
      </c>
      <c r="G27" s="122">
        <f t="shared" si="12"/>
        <v>1.2600159313953474</v>
      </c>
      <c r="H27" s="122">
        <f t="shared" si="12"/>
        <v>1.2910608582816376</v>
      </c>
      <c r="I27" s="122">
        <f t="shared" si="12"/>
        <v>1.3228166427664956</v>
      </c>
      <c r="J27" s="122">
        <f t="shared" si="12"/>
        <v>1.3552982823811739</v>
      </c>
      <c r="K27" s="122">
        <f t="shared" si="12"/>
        <v>1.3885210463882314</v>
      </c>
      <c r="L27" s="122">
        <f t="shared" si="12"/>
        <v>1.4225004788860682</v>
      </c>
      <c r="M27" s="122">
        <f t="shared" si="12"/>
        <v>1.4572524018610147</v>
      </c>
      <c r="N27" s="122">
        <f t="shared" si="12"/>
        <v>1.4927929181810939</v>
      </c>
      <c r="O27" s="122">
        <f t="shared" si="12"/>
        <v>1.5291384145252789</v>
      </c>
      <c r="P27" s="122">
        <f t="shared" si="12"/>
        <v>1.5663055642417378</v>
      </c>
      <c r="Q27" s="122">
        <f t="shared" si="12"/>
        <v>1.6043113301282415</v>
      </c>
      <c r="R27" s="122">
        <f t="shared" si="12"/>
        <v>1.6431729671275346</v>
      </c>
      <c r="S27" s="161">
        <f t="shared" si="12"/>
        <v>1.6829080249301351</v>
      </c>
      <c r="T27" s="122">
        <f t="shared" si="12"/>
        <v>1.7235343504766272</v>
      </c>
      <c r="U27" s="122">
        <f t="shared" si="12"/>
        <v>1.7650700903511403</v>
      </c>
      <c r="V27" s="122">
        <f t="shared" si="12"/>
        <v>1.8075336930572605</v>
      </c>
      <c r="W27" s="122">
        <f t="shared" si="12"/>
        <v>1.8509439111672401</v>
      </c>
      <c r="X27" s="122">
        <f t="shared" si="12"/>
        <v>1.8953198033348697</v>
      </c>
      <c r="Y27" s="122">
        <f t="shared" si="12"/>
        <v>1.940680736161966</v>
      </c>
      <c r="Z27" s="122">
        <f t="shared" si="12"/>
        <v>1.9870463859078928</v>
      </c>
      <c r="AA27" s="122">
        <f t="shared" si="12"/>
        <v>2.0344367400310674</v>
      </c>
      <c r="AB27" s="122">
        <f t="shared" si="12"/>
        <v>2.0828720985508502</v>
      </c>
      <c r="AC27" s="122">
        <f t="shared" si="12"/>
        <v>2.1323730752176888</v>
      </c>
      <c r="AD27" s="122">
        <f t="shared" si="12"/>
        <v>2.1829605984787905</v>
      </c>
      <c r="AE27" s="122">
        <f t="shared" si="12"/>
        <v>2.2346559122260317</v>
      </c>
      <c r="AF27" s="122">
        <f t="shared" si="12"/>
        <v>2.2874805763121633</v>
      </c>
      <c r="AG27" s="122">
        <f t="shared" si="12"/>
        <v>2.3414564668207589</v>
      </c>
      <c r="AH27" s="122">
        <f t="shared" si="12"/>
        <v>2.3966057760746442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785821.05154399993</v>
      </c>
      <c r="F41" s="129">
        <f t="shared" ref="F41:S41" si="20">F25+F37</f>
        <v>902386.34040979994</v>
      </c>
      <c r="G41" s="129">
        <f t="shared" si="20"/>
        <v>1021629.963136422</v>
      </c>
      <c r="H41" s="129">
        <f t="shared" si="20"/>
        <v>1143608.7485908777</v>
      </c>
      <c r="I41" s="129">
        <f t="shared" si="20"/>
        <v>1268380.5683733565</v>
      </c>
      <c r="J41" s="129">
        <f t="shared" si="20"/>
        <v>1396004.3493627557</v>
      </c>
      <c r="K41" s="129">
        <f t="shared" si="20"/>
        <v>1526540.0860988754</v>
      </c>
      <c r="L41" s="129">
        <f t="shared" si="20"/>
        <v>1660048.852980468</v>
      </c>
      <c r="M41" s="129">
        <f t="shared" si="20"/>
        <v>1796592.8162572109</v>
      </c>
      <c r="N41" s="129">
        <f t="shared" si="20"/>
        <v>1936235.2457925179</v>
      </c>
      <c r="O41" s="129">
        <f t="shared" si="20"/>
        <v>2079040.5265728976</v>
      </c>
      <c r="P41" s="129">
        <f t="shared" si="20"/>
        <v>2225074.1699383031</v>
      </c>
      <c r="Q41" s="129">
        <f t="shared" si="20"/>
        <v>2374402.82450664</v>
      </c>
      <c r="R41" s="129">
        <f t="shared" si="20"/>
        <v>2527094.2867641686</v>
      </c>
      <c r="S41" s="130">
        <f t="shared" si="20"/>
        <v>2683217.5112921749</v>
      </c>
      <c r="T41" s="130">
        <f t="shared" ref="T41:AH41" si="21">T25+T37</f>
        <v>2842842.6205987404</v>
      </c>
      <c r="U41" s="130">
        <f t="shared" si="21"/>
        <v>3006040.9145229808</v>
      </c>
      <c r="V41" s="130">
        <f t="shared" si="21"/>
        <v>3172884.8791773305</v>
      </c>
      <c r="W41" s="130">
        <f t="shared" si="21"/>
        <v>3343448.1953920233</v>
      </c>
      <c r="X41" s="130">
        <f t="shared" si="21"/>
        <v>3517805.7466238723</v>
      </c>
      <c r="Y41" s="130">
        <f t="shared" si="21"/>
        <v>3696033.6262899009</v>
      </c>
      <c r="Z41" s="130">
        <f t="shared" si="21"/>
        <v>3878209.1444842252</v>
      </c>
      <c r="AA41" s="130">
        <f t="shared" si="21"/>
        <v>4064410.8340348029</v>
      </c>
      <c r="AB41" s="130">
        <f t="shared" si="21"/>
        <v>4254718.4558544364</v>
      </c>
      <c r="AC41" s="130">
        <f t="shared" si="21"/>
        <v>4449213.0035383869</v>
      </c>
      <c r="AD41" s="130">
        <f t="shared" si="21"/>
        <v>4647976.707158614</v>
      </c>
      <c r="AE41" s="130">
        <f t="shared" si="21"/>
        <v>4851093.0362023842</v>
      </c>
      <c r="AF41" s="130">
        <f t="shared" si="21"/>
        <v>5058646.7016004957</v>
      </c>
      <c r="AG41" s="130">
        <f t="shared" si="21"/>
        <v>5270723.6567879394</v>
      </c>
      <c r="AH41" s="130">
        <f t="shared" si="21"/>
        <v>5487411.097737005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1048</v>
      </c>
      <c r="E42" s="129">
        <f>((E41*$C$42))</f>
        <v>667947.89381240006</v>
      </c>
      <c r="F42" s="129">
        <f t="shared" ref="F42:S42" si="22">((F41*$C$42))</f>
        <v>767028.38934832998</v>
      </c>
      <c r="G42" s="129">
        <f t="shared" si="22"/>
        <v>868385.46866595873</v>
      </c>
      <c r="H42" s="129">
        <f t="shared" si="22"/>
        <v>972067.43630224618</v>
      </c>
      <c r="I42" s="129">
        <f t="shared" si="22"/>
        <v>1078123.4831173532</v>
      </c>
      <c r="J42" s="129">
        <f t="shared" si="22"/>
        <v>1186603.6969583423</v>
      </c>
      <c r="K42" s="129">
        <f t="shared" si="22"/>
        <v>1297559.0731840441</v>
      </c>
      <c r="L42" s="129">
        <f t="shared" si="22"/>
        <v>1411041.5250333978</v>
      </c>
      <c r="M42" s="129">
        <f t="shared" si="22"/>
        <v>1527103.8938186294</v>
      </c>
      <c r="N42" s="129">
        <f t="shared" si="22"/>
        <v>1645799.9589236404</v>
      </c>
      <c r="O42" s="129">
        <f t="shared" si="22"/>
        <v>1767184.4475869632</v>
      </c>
      <c r="P42" s="129">
        <f t="shared" si="22"/>
        <v>1891313.0444475578</v>
      </c>
      <c r="Q42" s="129">
        <f t="shared" si="22"/>
        <v>2018242.4008306442</v>
      </c>
      <c r="R42" s="129">
        <f t="shared" si="22"/>
        <v>2148030.1437495435</v>
      </c>
      <c r="S42" s="129">
        <f t="shared" si="22"/>
        <v>2280734.8845983488</v>
      </c>
      <c r="T42" s="129">
        <f t="shared" ref="T42:AH42" si="23">((T41*$C$42))</f>
        <v>2416416.2275089296</v>
      </c>
      <c r="U42" s="129">
        <f t="shared" si="23"/>
        <v>2555134.7773445342</v>
      </c>
      <c r="V42" s="129">
        <f t="shared" si="23"/>
        <v>2696952.1473007314</v>
      </c>
      <c r="W42" s="129">
        <f t="shared" si="23"/>
        <v>2841930.9660832202</v>
      </c>
      <c r="X42" s="129">
        <f t="shared" si="23"/>
        <v>2990134.8846302917</v>
      </c>
      <c r="Y42" s="129">
        <f t="shared" si="23"/>
        <v>3141628.5823464161</v>
      </c>
      <c r="Z42" s="129">
        <f t="shared" si="23"/>
        <v>3296477.7728115916</v>
      </c>
      <c r="AA42" s="129">
        <f t="shared" si="23"/>
        <v>3454749.208929583</v>
      </c>
      <c r="AB42" s="129">
        <f t="shared" si="23"/>
        <v>3616510.6874762713</v>
      </c>
      <c r="AC42" s="129">
        <f t="shared" si="23"/>
        <v>3781831.0530076292</v>
      </c>
      <c r="AD42" s="129">
        <f t="shared" si="23"/>
        <v>3950780.2010848224</v>
      </c>
      <c r="AE42" s="129">
        <f t="shared" si="23"/>
        <v>4123429.0807720269</v>
      </c>
      <c r="AF42" s="129">
        <f t="shared" si="23"/>
        <v>4299849.6963604214</v>
      </c>
      <c r="AG42" s="129">
        <f t="shared" si="23"/>
        <v>4480115.1082697492</v>
      </c>
      <c r="AH42" s="129">
        <f t="shared" si="23"/>
        <v>4664299.4330764543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1048</v>
      </c>
      <c r="E43" s="108">
        <f>$C$43*(E41)</f>
        <v>117873.1577316</v>
      </c>
      <c r="F43" s="108">
        <f t="shared" ref="F43:S43" si="24">$C$43*(F41)</f>
        <v>135357.95106147</v>
      </c>
      <c r="G43" s="108">
        <f t="shared" si="24"/>
        <v>153244.49447046331</v>
      </c>
      <c r="H43" s="108">
        <f t="shared" si="24"/>
        <v>171541.31228863169</v>
      </c>
      <c r="I43" s="108">
        <f t="shared" si="24"/>
        <v>190257.08525600351</v>
      </c>
      <c r="J43" s="108">
        <f t="shared" si="24"/>
        <v>209400.65240441338</v>
      </c>
      <c r="K43" s="108">
        <f t="shared" si="24"/>
        <v>228981.01291483134</v>
      </c>
      <c r="L43" s="108">
        <f t="shared" si="24"/>
        <v>249007.32794707024</v>
      </c>
      <c r="M43" s="108">
        <f t="shared" si="24"/>
        <v>269488.92243858165</v>
      </c>
      <c r="N43" s="108">
        <f t="shared" si="24"/>
        <v>290435.28686887771</v>
      </c>
      <c r="O43" s="108">
        <f t="shared" si="24"/>
        <v>311856.07898593467</v>
      </c>
      <c r="P43" s="108">
        <f t="shared" si="24"/>
        <v>333761.12549074553</v>
      </c>
      <c r="Q43" s="108">
        <f t="shared" si="24"/>
        <v>356160.42367599608</v>
      </c>
      <c r="R43" s="108">
        <f t="shared" si="24"/>
        <v>379064.14301462536</v>
      </c>
      <c r="S43" s="108">
        <f t="shared" si="24"/>
        <v>402482.62669382629</v>
      </c>
      <c r="T43" s="108">
        <f t="shared" ref="T43:AH43" si="25">$C$43*(T41)</f>
        <v>426426.39308981114</v>
      </c>
      <c r="U43" s="108">
        <f t="shared" si="25"/>
        <v>450906.13717844721</v>
      </c>
      <c r="V43" s="108">
        <f t="shared" si="25"/>
        <v>475932.73187659966</v>
      </c>
      <c r="W43" s="108">
        <f t="shared" si="25"/>
        <v>501517.22930880357</v>
      </c>
      <c r="X43" s="108">
        <f t="shared" si="25"/>
        <v>527670.86199358094</v>
      </c>
      <c r="Y43" s="108">
        <f t="shared" si="25"/>
        <v>554405.04394348525</v>
      </c>
      <c r="Z43" s="108">
        <f t="shared" si="25"/>
        <v>581731.37167263392</v>
      </c>
      <c r="AA43" s="108">
        <f t="shared" si="25"/>
        <v>609661.62510522048</v>
      </c>
      <c r="AB43" s="108">
        <f t="shared" si="25"/>
        <v>638207.76837816555</v>
      </c>
      <c r="AC43" s="108">
        <f t="shared" si="25"/>
        <v>667381.95053075813</v>
      </c>
      <c r="AD43" s="108">
        <f t="shared" si="25"/>
        <v>697196.50607379223</v>
      </c>
      <c r="AE43" s="108">
        <f t="shared" si="25"/>
        <v>727663.95543035772</v>
      </c>
      <c r="AF43" s="108">
        <f t="shared" si="25"/>
        <v>758797.00524007448</v>
      </c>
      <c r="AG43" s="108">
        <f t="shared" si="25"/>
        <v>790608.54851819098</v>
      </c>
      <c r="AH43" s="108">
        <f t="shared" si="25"/>
        <v>823111.66466055089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3.50863706988108E-2</v>
      </c>
      <c r="F47" s="142">
        <f>F41/GapCalc!$H$33</f>
        <v>4.029093085627105E-2</v>
      </c>
      <c r="G47" s="142">
        <f>G41/GapCalc!$H$33</f>
        <v>4.5615076782668573E-2</v>
      </c>
      <c r="H47" s="142">
        <f>H41/GapCalc!$H$33</f>
        <v>5.1061345847917848E-2</v>
      </c>
      <c r="I47" s="142">
        <f>I41/GapCalc!$H$33</f>
        <v>5.6632321979254212E-2</v>
      </c>
      <c r="J47" s="142">
        <f>J41/GapCalc!$H$33</f>
        <v>6.2330636221383136E-2</v>
      </c>
      <c r="K47" s="142">
        <f>K41/GapCalc!$H$33</f>
        <v>6.815896728933675E-2</v>
      </c>
      <c r="L47" s="142">
        <f>L41/GapCalc!$H$33</f>
        <v>7.4120042113108353E-2</v>
      </c>
      <c r="M47" s="142">
        <f>M41/GapCalc!$H$33</f>
        <v>8.0216636373085834E-2</v>
      </c>
      <c r="N47" s="142">
        <f>N41/GapCalc!$H$33</f>
        <v>8.6451575025253011E-2</v>
      </c>
      <c r="O47" s="142">
        <f>O41/GapCalc!$H$33</f>
        <v>9.2827732815074726E-2</v>
      </c>
      <c r="P47" s="142">
        <f>P41/GapCalc!$H$33</f>
        <v>9.9348034778924135E-2</v>
      </c>
      <c r="Q47" s="142">
        <f>Q41/GapCalc!$H$33</f>
        <v>0.10601545673185456</v>
      </c>
      <c r="R47" s="142">
        <f>R41/GapCalc!$H$33</f>
        <v>0.11283302574045366</v>
      </c>
      <c r="S47" s="142">
        <f>S41/GapCalc!$H$33</f>
        <v>0.11980382057945727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2.9823415093989183E-2</v>
      </c>
      <c r="F48" s="142">
        <f>F43/GapCalc!$H$32</f>
        <v>3.4247291227830393E-2</v>
      </c>
      <c r="G48" s="142">
        <f>G43/GapCalc!$H$32</f>
        <v>3.8772815265268289E-2</v>
      </c>
      <c r="H48" s="142">
        <f>H43/GapCalc!$H$32</f>
        <v>4.3402143970730174E-2</v>
      </c>
      <c r="I48" s="142">
        <f>I43/GapCalc!$H$32</f>
        <v>4.8137473682366087E-2</v>
      </c>
      <c r="J48" s="142">
        <f>J43/GapCalc!$H$32</f>
        <v>5.2981040788175671E-2</v>
      </c>
      <c r="K48" s="142">
        <f>K43/GapCalc!$H$32</f>
        <v>5.7935122195936238E-2</v>
      </c>
      <c r="L48" s="142">
        <f>L43/GapCalc!$H$32</f>
        <v>6.3002035796142108E-2</v>
      </c>
      <c r="M48" s="142">
        <f>M43/GapCalc!$H$32</f>
        <v>6.8184140917122951E-2</v>
      </c>
      <c r="N48" s="142">
        <f>N43/GapCalc!$H$32</f>
        <v>7.3483838771465068E-2</v>
      </c>
      <c r="O48" s="142">
        <f>O43/GapCalc!$H$32</f>
        <v>7.8903572892813523E-2</v>
      </c>
      <c r="P48" s="142">
        <f>P43/GapCalc!$H$32</f>
        <v>8.4445829562085531E-2</v>
      </c>
      <c r="Q48" s="142">
        <f>Q43/GapCalc!$H$32</f>
        <v>9.0113138222076394E-2</v>
      </c>
      <c r="R48" s="142">
        <f>R43/GapCalc!$H$32</f>
        <v>9.5908071879385617E-2</v>
      </c>
      <c r="S48" s="142">
        <f>S43/GapCalc!$H$32</f>
        <v>0.10183324749253868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25063800.378047045</v>
      </c>
      <c r="D66" s="1544"/>
      <c r="E66" s="1564" t="s">
        <v>285</v>
      </c>
      <c r="G66" s="1520" t="s">
        <v>1072</v>
      </c>
      <c r="H66" s="1565">
        <f>H70/1.63</f>
        <v>4423023.5961259492</v>
      </c>
      <c r="I66" s="1544"/>
      <c r="J66" s="1564" t="s">
        <v>285</v>
      </c>
    </row>
    <row r="67" spans="2:10" ht="15">
      <c r="B67" s="1521" t="s">
        <v>1054</v>
      </c>
      <c r="C67" s="1580">
        <f>SUMIFS(E42:AH42, E50:AH50, "&lt;=" &amp; VALUE(RIGHT(E66, LEN(E66)-FIND(" ", E66))))</f>
        <v>6837715.441388675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1206655.6661274133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6281274.5547933672</v>
      </c>
      <c r="D68" s="1545" t="s">
        <v>68</v>
      </c>
      <c r="G68" s="1521" t="s">
        <v>1078</v>
      </c>
      <c r="H68" s="1568">
        <f>IF(GapCalc!D41*C43&lt; 0,0,GapCalc!D41*C43)</f>
        <v>1108460.2155517708</v>
      </c>
      <c r="I68" s="1545" t="s">
        <v>68</v>
      </c>
    </row>
    <row r="69" spans="2:10">
      <c r="B69" s="1521" t="s">
        <v>1058</v>
      </c>
      <c r="C69" s="1568">
        <f>'Debt Calc'!E60</f>
        <v>27735004.620034639</v>
      </c>
      <c r="D69" s="1546">
        <v>0.9</v>
      </c>
      <c r="G69" s="1521" t="s">
        <v>1074</v>
      </c>
      <c r="H69" s="1568">
        <f>'Debt Calc'!E59*C43</f>
        <v>4894412.5800061133</v>
      </c>
      <c r="I69" s="1546">
        <v>0.9</v>
      </c>
    </row>
    <row r="70" spans="2:10">
      <c r="B70" s="1523" t="s">
        <v>1041</v>
      </c>
      <c r="C70" s="1577">
        <f>C67+C68+C69</f>
        <v>40853994.616216682</v>
      </c>
      <c r="D70" s="1545" t="s">
        <v>68</v>
      </c>
      <c r="G70" s="1523" t="s">
        <v>1041</v>
      </c>
      <c r="H70" s="1577">
        <f>H67+H68+H69</f>
        <v>7209528.4616852971</v>
      </c>
      <c r="I70" s="1545" t="s">
        <v>68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0.63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0.09</v>
      </c>
      <c r="I73" s="1548"/>
    </row>
    <row r="74" spans="2:10" ht="13.5" thickBot="1">
      <c r="B74" s="1578" t="s">
        <v>1079</v>
      </c>
      <c r="C74" s="1581">
        <f>GapCalc!H33</f>
        <v>22396760.79038389</v>
      </c>
      <c r="D74" s="1549"/>
      <c r="F74" s="1559"/>
      <c r="G74" s="1578" t="s">
        <v>1081</v>
      </c>
      <c r="H74" s="1581">
        <f>GapCalc!H32</f>
        <v>3952369.551244216</v>
      </c>
      <c r="I74" s="1549"/>
    </row>
    <row r="75" spans="2:10">
      <c r="B75" s="70" t="s">
        <v>1080</v>
      </c>
      <c r="C75" s="1579">
        <f>(C70-C74)/C74</f>
        <v>0.82410282444760741</v>
      </c>
      <c r="G75" s="70" t="s">
        <v>1080</v>
      </c>
      <c r="H75" s="1579">
        <f>(H70-H74)/H74</f>
        <v>0.82410282444760741</v>
      </c>
    </row>
    <row r="76" spans="2:10">
      <c r="B76" s="70" t="s">
        <v>1044</v>
      </c>
      <c r="C76" s="1579">
        <f>C75/7</f>
        <v>0.11772897492108678</v>
      </c>
      <c r="G76" s="70" t="s">
        <v>1044</v>
      </c>
      <c r="H76" s="1579">
        <f>H75/7</f>
        <v>0.11772897492108678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9834964.0966431703</v>
      </c>
      <c r="D80" s="1544"/>
      <c r="E80" s="1564" t="s">
        <v>288</v>
      </c>
    </row>
    <row r="81" spans="2:10" ht="15">
      <c r="B81" s="1521" t="s">
        <v>1054</v>
      </c>
      <c r="C81" s="1560">
        <f>SUMIFS(E42:AH42, E50:AH50, "&lt;=" &amp; VALUE(RIGHT(E80, LEN(E80)-FIND(" ", E80))))</f>
        <v>11421660.819164341</v>
      </c>
      <c r="D81" s="1545" t="s">
        <v>68</v>
      </c>
    </row>
    <row r="82" spans="2:10">
      <c r="B82" s="1521" t="s">
        <v>1058</v>
      </c>
      <c r="C82" s="1568">
        <f>C68</f>
        <v>6281274.5547933672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17702935.373957708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0.80000000000000016</v>
      </c>
      <c r="D86" s="1548"/>
    </row>
    <row r="87" spans="2:10">
      <c r="B87" s="1523" t="s">
        <v>1044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35119803.264746629</v>
      </c>
      <c r="D93" s="1544"/>
      <c r="E93" s="1564" t="s">
        <v>288</v>
      </c>
      <c r="G93" s="1520" t="s">
        <v>1072</v>
      </c>
      <c r="H93" s="1565">
        <f>H97/1.63</f>
        <v>4919300.6128465198</v>
      </c>
      <c r="I93" s="1544"/>
      <c r="J93" s="1564" t="s">
        <v>288</v>
      </c>
    </row>
    <row r="94" spans="2:10" ht="15">
      <c r="B94" s="1521" t="s">
        <v>1054</v>
      </c>
      <c r="C94" s="1580">
        <f>SUMIFS(E42:AH42, E50:AH50, "&lt;=" &amp; VALUE(RIGHT(E93, LEN(E93)-FIND(" ", E93))))</f>
        <v>11421660.819164341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2015587.2033819428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6281274.5547933672</v>
      </c>
      <c r="D95" s="1545" t="s">
        <v>68</v>
      </c>
      <c r="G95" s="1521" t="s">
        <v>1078</v>
      </c>
      <c r="H95" s="1568">
        <f>IF(GapCalc!D41*C43&lt; 0,0,GapCalc!D41*C43)</f>
        <v>1108460.2155517708</v>
      </c>
      <c r="I95" s="1545" t="s">
        <v>68</v>
      </c>
    </row>
    <row r="96" spans="2:10">
      <c r="B96" s="1521" t="s">
        <v>1058</v>
      </c>
      <c r="C96" s="1568">
        <f>'Debt Calc'!H60</f>
        <v>39542343.947579287</v>
      </c>
      <c r="D96" s="1546">
        <v>0.9</v>
      </c>
      <c r="G96" s="1521" t="s">
        <v>1074</v>
      </c>
      <c r="H96" s="1568">
        <f>'Debt Calc'!E59*C43</f>
        <v>4894412.5800061133</v>
      </c>
      <c r="I96" s="1546">
        <v>0.9</v>
      </c>
    </row>
    <row r="97" spans="2:9">
      <c r="B97" s="1523" t="s">
        <v>1041</v>
      </c>
      <c r="C97" s="1577">
        <f>C94+C95+C96</f>
        <v>57245279.321536995</v>
      </c>
      <c r="D97" s="1545" t="s">
        <v>68</v>
      </c>
      <c r="G97" s="1523" t="s">
        <v>1041</v>
      </c>
      <c r="H97" s="1577">
        <f>H94+H95+H96</f>
        <v>8018459.9989398271</v>
      </c>
      <c r="I97" s="1545" t="s">
        <v>68</v>
      </c>
    </row>
    <row r="98" spans="2:9">
      <c r="B98" s="1523" t="s">
        <v>1042</v>
      </c>
      <c r="C98" s="1571">
        <f>C97/C93</f>
        <v>1.6299999999999997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0.62999999999999978</v>
      </c>
      <c r="D99" s="1548"/>
      <c r="G99" s="1521" t="s">
        <v>1043</v>
      </c>
      <c r="H99" s="1524">
        <f>(H97-H93)/H93</f>
        <v>0.63</v>
      </c>
      <c r="I99" s="1548"/>
    </row>
    <row r="100" spans="2:9">
      <c r="B100" s="1523" t="s">
        <v>1044</v>
      </c>
      <c r="C100" s="1566">
        <f>C99/7</f>
        <v>8.9999999999999969E-2</v>
      </c>
      <c r="D100" s="1548"/>
      <c r="G100" s="1523" t="s">
        <v>1044</v>
      </c>
      <c r="H100" s="1566">
        <f>H99/7</f>
        <v>0.09</v>
      </c>
      <c r="I100" s="1548"/>
    </row>
    <row r="101" spans="2:9" ht="13.5" thickBot="1">
      <c r="B101" s="1578" t="s">
        <v>1079</v>
      </c>
      <c r="C101" s="1581">
        <f>GapCalc!H33</f>
        <v>22396760.79038389</v>
      </c>
      <c r="D101" s="1549"/>
      <c r="G101" s="1578" t="s">
        <v>1081</v>
      </c>
      <c r="H101" s="1581">
        <f>GapCalc!H32</f>
        <v>3952369.551244216</v>
      </c>
      <c r="I101" s="1549"/>
    </row>
    <row r="102" spans="2:9">
      <c r="B102" s="70" t="s">
        <v>1080</v>
      </c>
      <c r="C102" s="1579">
        <f>(C97-C101)/C101</f>
        <v>1.5559624383770447</v>
      </c>
      <c r="G102" s="70" t="s">
        <v>1080</v>
      </c>
      <c r="H102" s="1579">
        <f>(H97-H101)/H101</f>
        <v>1.0287728399323377</v>
      </c>
    </row>
    <row r="103" spans="2:9">
      <c r="B103" s="70" t="s">
        <v>1044</v>
      </c>
      <c r="C103" s="1579">
        <f>C102/10</f>
        <v>0.15559624383770448</v>
      </c>
      <c r="G103" s="70" t="s">
        <v>1044</v>
      </c>
      <c r="H103" s="1579">
        <f>H102/10</f>
        <v>0.10287728399323377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123620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24724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148344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148344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148344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76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76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3929105.2577199996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56598645.89580705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56598600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17307579.283890501</v>
      </c>
    </row>
    <row r="15" spans="2:36">
      <c r="B15" s="556"/>
      <c r="C15" s="560" t="s">
        <v>634</v>
      </c>
      <c r="H15" s="561">
        <f>12*PMT(Data!C24/12,Data!C29*12,-'Debt Calc'!H14)</f>
        <v>3929102.0716109513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264340.24958748743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264340.24958748743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56598600</v>
      </c>
      <c r="E21" s="561">
        <f>$H$15</f>
        <v>3929102.0716109513</v>
      </c>
      <c r="F21" s="561">
        <f>E21-G21</f>
        <v>0</v>
      </c>
      <c r="G21" s="561">
        <f>D21-H21</f>
        <v>3929102.0716109499</v>
      </c>
      <c r="H21" s="561">
        <f>D21-E21</f>
        <v>52669497.92838905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52669497.92838905</v>
      </c>
      <c r="E22" s="561">
        <f t="shared" ref="E22:E50" si="1">$H$15</f>
        <v>3929102.0716109513</v>
      </c>
      <c r="F22" s="561">
        <f t="shared" ref="F22:F50" si="2">E22-G22</f>
        <v>0</v>
      </c>
      <c r="G22" s="561">
        <f t="shared" ref="G22:G50" si="3">D22-H22</f>
        <v>3929102.0716109499</v>
      </c>
      <c r="H22" s="561">
        <f t="shared" ref="H22:H39" si="4">D22-E22</f>
        <v>48740395.8567781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48740395.8567781</v>
      </c>
      <c r="E23" s="561">
        <f t="shared" si="1"/>
        <v>3929102.0716109513</v>
      </c>
      <c r="F23" s="561">
        <f t="shared" si="2"/>
        <v>0</v>
      </c>
      <c r="G23" s="561">
        <f t="shared" si="3"/>
        <v>3929102.0716109499</v>
      </c>
      <c r="H23" s="561">
        <f t="shared" si="4"/>
        <v>44811293.78516715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44811293.78516715</v>
      </c>
      <c r="E24" s="561">
        <f t="shared" si="1"/>
        <v>3929102.0716109513</v>
      </c>
      <c r="F24" s="561">
        <f t="shared" si="2"/>
        <v>0</v>
      </c>
      <c r="G24" s="561">
        <f t="shared" si="3"/>
        <v>3929102.0716109499</v>
      </c>
      <c r="H24" s="561">
        <f t="shared" si="4"/>
        <v>40882191.7135562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40882191.7135562</v>
      </c>
      <c r="E25" s="561">
        <f t="shared" si="1"/>
        <v>3929102.0716109513</v>
      </c>
      <c r="F25" s="561">
        <f t="shared" si="2"/>
        <v>0</v>
      </c>
      <c r="G25" s="561">
        <f t="shared" si="3"/>
        <v>3929102.0716109499</v>
      </c>
      <c r="H25" s="561">
        <f t="shared" si="4"/>
        <v>36953089.64194525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36953089.64194525</v>
      </c>
      <c r="E26" s="561">
        <f t="shared" si="1"/>
        <v>3929102.0716109513</v>
      </c>
      <c r="F26" s="561">
        <f t="shared" si="2"/>
        <v>0</v>
      </c>
      <c r="G26" s="561">
        <f t="shared" si="3"/>
        <v>3929102.0716109499</v>
      </c>
      <c r="H26" s="561">
        <f t="shared" si="4"/>
        <v>33023987.5703343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33023987.5703343</v>
      </c>
      <c r="E27" s="561">
        <f t="shared" si="1"/>
        <v>3929102.0716109513</v>
      </c>
      <c r="F27" s="561">
        <f t="shared" si="2"/>
        <v>0</v>
      </c>
      <c r="G27" s="561">
        <f t="shared" si="3"/>
        <v>3929102.0716109499</v>
      </c>
      <c r="H27" s="561">
        <f t="shared" si="4"/>
        <v>29094885.49872335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29094885.49872335</v>
      </c>
      <c r="E28" s="561">
        <f t="shared" si="1"/>
        <v>3929102.0716109513</v>
      </c>
      <c r="F28" s="561">
        <f t="shared" si="2"/>
        <v>0</v>
      </c>
      <c r="G28" s="561">
        <f t="shared" si="3"/>
        <v>3929102.0716109499</v>
      </c>
      <c r="H28" s="561">
        <f t="shared" si="4"/>
        <v>25165783.427112401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25165783.427112401</v>
      </c>
      <c r="E29" s="561">
        <f t="shared" si="1"/>
        <v>3929102.0716109513</v>
      </c>
      <c r="F29" s="561">
        <f t="shared" si="2"/>
        <v>0</v>
      </c>
      <c r="G29" s="561">
        <f t="shared" si="3"/>
        <v>3929102.0716109499</v>
      </c>
      <c r="H29" s="561">
        <f t="shared" si="4"/>
        <v>21236681.355501451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21236681.355501451</v>
      </c>
      <c r="E30" s="561">
        <f t="shared" si="1"/>
        <v>3929102.0716109513</v>
      </c>
      <c r="F30" s="561">
        <f t="shared" si="2"/>
        <v>0</v>
      </c>
      <c r="G30" s="561">
        <f t="shared" si="3"/>
        <v>3929102.0716109499</v>
      </c>
      <c r="H30" s="561">
        <f>D30-E30</f>
        <v>17307579.283890501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17307579.283890501</v>
      </c>
      <c r="E31" s="561">
        <f t="shared" si="1"/>
        <v>3929102.0716109513</v>
      </c>
      <c r="F31" s="561">
        <f t="shared" si="2"/>
        <v>0</v>
      </c>
      <c r="G31" s="561">
        <f t="shared" si="3"/>
        <v>3929102.0716109518</v>
      </c>
      <c r="H31" s="561">
        <f t="shared" si="4"/>
        <v>13378477.212279549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13378477.212279549</v>
      </c>
      <c r="E32" s="561">
        <f t="shared" si="1"/>
        <v>3929102.0716109513</v>
      </c>
      <c r="F32" s="561">
        <f t="shared" si="2"/>
        <v>0</v>
      </c>
      <c r="G32" s="561">
        <f t="shared" si="3"/>
        <v>3929102.0716109518</v>
      </c>
      <c r="H32" s="561">
        <f t="shared" si="4"/>
        <v>9449375.1406685971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9449375.1406685971</v>
      </c>
      <c r="E33" s="561">
        <f t="shared" si="1"/>
        <v>3929102.0716109513</v>
      </c>
      <c r="F33" s="561">
        <f t="shared" si="2"/>
        <v>0</v>
      </c>
      <c r="G33" s="561">
        <f t="shared" si="3"/>
        <v>3929102.0716109518</v>
      </c>
      <c r="H33" s="561">
        <f t="shared" si="4"/>
        <v>5520273.0690576453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5520273.0690576453</v>
      </c>
      <c r="E34" s="561">
        <f t="shared" si="1"/>
        <v>3929102.0716109513</v>
      </c>
      <c r="F34" s="561">
        <f t="shared" si="2"/>
        <v>0</v>
      </c>
      <c r="G34" s="561">
        <f t="shared" si="3"/>
        <v>3929102.0716109513</v>
      </c>
      <c r="H34" s="561">
        <f t="shared" si="4"/>
        <v>1591170.9974466939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1591170.9974466939</v>
      </c>
      <c r="E35" s="561">
        <f t="shared" si="1"/>
        <v>3929102.0716109513</v>
      </c>
      <c r="F35" s="561">
        <f t="shared" si="2"/>
        <v>0</v>
      </c>
      <c r="G35" s="561">
        <f t="shared" si="3"/>
        <v>3929102.0716109513</v>
      </c>
      <c r="H35" s="561">
        <f t="shared" si="4"/>
        <v>-2337931.0741642574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-2337931.0741642574</v>
      </c>
      <c r="E36" s="561">
        <f t="shared" si="1"/>
        <v>3929102.0716109513</v>
      </c>
      <c r="F36" s="561">
        <f t="shared" si="2"/>
        <v>0</v>
      </c>
      <c r="G36" s="561">
        <f t="shared" si="3"/>
        <v>3929102.0716109509</v>
      </c>
      <c r="H36" s="561">
        <f t="shared" si="4"/>
        <v>-6267033.1457752082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-6267033.1457752082</v>
      </c>
      <c r="E37" s="561">
        <f t="shared" si="1"/>
        <v>3929102.0716109513</v>
      </c>
      <c r="F37" s="561">
        <f t="shared" si="2"/>
        <v>0</v>
      </c>
      <c r="G37" s="561">
        <f t="shared" si="3"/>
        <v>3929102.0716109518</v>
      </c>
      <c r="H37" s="561">
        <f t="shared" si="4"/>
        <v>-10196135.21738616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-10196135.21738616</v>
      </c>
      <c r="E38" s="561">
        <f t="shared" si="1"/>
        <v>3929102.0716109513</v>
      </c>
      <c r="F38" s="561">
        <f t="shared" si="2"/>
        <v>0</v>
      </c>
      <c r="G38" s="561">
        <f t="shared" si="3"/>
        <v>3929102.0716109518</v>
      </c>
      <c r="H38" s="561">
        <f>D38-E38</f>
        <v>-14125237.288997112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-14125237.288997112</v>
      </c>
      <c r="E39" s="561">
        <f t="shared" si="1"/>
        <v>3929102.0716109513</v>
      </c>
      <c r="F39" s="561">
        <f t="shared" si="2"/>
        <v>0</v>
      </c>
      <c r="G39" s="561">
        <f t="shared" si="3"/>
        <v>3929102.0716109518</v>
      </c>
      <c r="H39" s="561">
        <f t="shared" si="4"/>
        <v>-18054339.360608064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-18054339.360608064</v>
      </c>
      <c r="E40" s="561">
        <f t="shared" si="1"/>
        <v>3929102.0716109513</v>
      </c>
      <c r="F40" s="561">
        <f t="shared" si="2"/>
        <v>21983441.432219014</v>
      </c>
      <c r="G40" s="561">
        <f t="shared" si="3"/>
        <v>-18054339.360608064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3929102.0716109513</v>
      </c>
      <c r="F41" s="561">
        <f t="shared" si="2"/>
        <v>3929102.0716109513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3929102.0716109513</v>
      </c>
      <c r="F42" s="561">
        <f t="shared" si="2"/>
        <v>3929102.0716109513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3929102.0716109513</v>
      </c>
      <c r="F43" s="561">
        <f t="shared" si="2"/>
        <v>3929102.0716109513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3929102.0716109513</v>
      </c>
      <c r="F44" s="561">
        <f t="shared" si="2"/>
        <v>3929102.0716109513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3929102.0716109513</v>
      </c>
      <c r="F45" s="561">
        <f t="shared" si="2"/>
        <v>3929102.0716109513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3929102.0716109513</v>
      </c>
      <c r="F46" s="561">
        <f t="shared" si="2"/>
        <v>3929102.0716109513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3929102.0716109513</v>
      </c>
      <c r="F47" s="561">
        <f t="shared" si="2"/>
        <v>3929102.0716109513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3929102.0716109513</v>
      </c>
      <c r="F48" s="561">
        <f t="shared" si="2"/>
        <v>3929102.0716109513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3929102.0716109513</v>
      </c>
      <c r="F49" s="561">
        <f t="shared" si="2"/>
        <v>3929102.0716109513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3929102.0716109513</v>
      </c>
      <c r="F50" s="561">
        <f t="shared" si="2"/>
        <v>3929102.0716109513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143948031.00871441</v>
      </c>
      <c r="F55" s="561"/>
      <c r="G55" s="1663" t="s">
        <v>1063</v>
      </c>
      <c r="H55" s="1667">
        <f>'Cash Flow'!N15/0.05</f>
        <v>155016285.08049378</v>
      </c>
    </row>
    <row r="56" spans="2:28">
      <c r="D56" s="1653" t="s">
        <v>1064</v>
      </c>
      <c r="E56" s="1665">
        <f>'Cash Flow'!K21/1.2</f>
        <v>4546371.1198490625</v>
      </c>
      <c r="F56" s="561"/>
      <c r="G56" s="1661" t="s">
        <v>1064</v>
      </c>
      <c r="H56" s="1668">
        <f>'Cash Flow'!N21/1.2</f>
        <v>4887783.7529270984</v>
      </c>
    </row>
    <row r="57" spans="2:28">
      <c r="D57" s="1653" t="s">
        <v>1065</v>
      </c>
      <c r="E57" s="1665">
        <f>E55*0.6</f>
        <v>86368818.605228648</v>
      </c>
      <c r="F57" s="561"/>
      <c r="G57" s="1661" t="s">
        <v>1065</v>
      </c>
      <c r="H57" s="1668">
        <f>H55*0.6</f>
        <v>93009771.048296258</v>
      </c>
    </row>
    <row r="58" spans="2:28">
      <c r="D58" s="1653" t="s">
        <v>1066</v>
      </c>
      <c r="E58" s="1665">
        <f>-PV(6.5%,34,E56)</f>
        <v>61724302.698764101</v>
      </c>
      <c r="F58" s="561"/>
      <c r="G58" s="1661" t="s">
        <v>1066</v>
      </c>
      <c r="H58" s="1668">
        <f>-PV(6.5%,30,H56)</f>
        <v>63827983.92810142</v>
      </c>
    </row>
    <row r="59" spans="2:28">
      <c r="D59" s="1652" t="s">
        <v>1067</v>
      </c>
      <c r="E59" s="1665">
        <f>E58-H27</f>
        <v>32629417.20004075</v>
      </c>
      <c r="F59" s="561"/>
      <c r="G59" s="1660" t="s">
        <v>1067</v>
      </c>
      <c r="H59" s="1668">
        <f>H58-H30</f>
        <v>46520404.64421092</v>
      </c>
    </row>
    <row r="60" spans="2:28" ht="13.5" thickBot="1">
      <c r="D60" s="1654" t="s">
        <v>1068</v>
      </c>
      <c r="E60" s="1666">
        <f>E59*GapCalc!I33</f>
        <v>27735004.620034639</v>
      </c>
      <c r="F60" s="561"/>
      <c r="G60" s="1662" t="s">
        <v>1068</v>
      </c>
      <c r="H60" s="1669">
        <f>H59*GapCalc!I33</f>
        <v>39542343.947579287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44503200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533770.49073600001</v>
      </c>
      <c r="D7" s="1409">
        <f>(1-'Rental Income'!O19)</f>
        <v>1</v>
      </c>
    </row>
    <row r="8" spans="1:5">
      <c r="A8" s="1410" t="s">
        <v>980</v>
      </c>
      <c r="B8" s="1417">
        <f>B7*D7</f>
        <v>0</v>
      </c>
      <c r="C8" s="1417">
        <f>C7*D7</f>
        <v>533770.49073600001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533770.49073600001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0</v>
      </c>
    </row>
    <row r="14" spans="1:5">
      <c r="A14" t="s">
        <v>991</v>
      </c>
      <c r="B14">
        <v>24</v>
      </c>
      <c r="C14" s="1425">
        <f>C3*(E3/12)*B14</f>
        <v>0</v>
      </c>
    </row>
    <row r="15" spans="1:5">
      <c r="A15" s="40" t="s">
        <v>993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79283</v>
      </c>
      <c r="E22" s="48">
        <v>1043</v>
      </c>
      <c r="F22" s="453" t="s">
        <v>172</v>
      </c>
      <c r="N22" s="428">
        <f>D22*0.8</f>
        <v>63426.400000000001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174</v>
      </c>
      <c r="D23" s="48">
        <f>(E23*$D$10-20)/2</f>
        <v>101374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14166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80343.360000000001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183</v>
      </c>
      <c r="D26" s="51">
        <f>SUM(D22:D25)</f>
        <v>275166.36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28272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192</v>
      </c>
      <c r="D31" s="48">
        <f>E31*$D$10</f>
        <v>24928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194</v>
      </c>
      <c r="C32" s="43"/>
      <c r="D32" s="50">
        <f>E32*$D$10</f>
        <v>4560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202</v>
      </c>
      <c r="D37" s="48">
        <f>E37*$D$10</f>
        <v>120080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63992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264632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56088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40382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60192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20672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129200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247464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533770.49073600001</v>
      </c>
      <c r="Y56" s="1309">
        <f>X56/'Rental Income'!D15</f>
        <v>3511.647965368421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723.30417157894738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127680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263.15789473684208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606354.62406933343</v>
      </c>
    </row>
    <row r="65" spans="1:25">
      <c r="B65" t="s">
        <v>250</v>
      </c>
      <c r="D65" s="48">
        <f>E65*$D$10</f>
        <v>22800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202480</v>
      </c>
      <c r="E67" s="48">
        <f>SUM(E62:E66)</f>
        <v>1438.1578947368421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45600</v>
      </c>
      <c r="E69" s="426">
        <v>300</v>
      </c>
    </row>
    <row r="70" spans="1:25">
      <c r="V70" s="40" t="s">
        <v>256</v>
      </c>
      <c r="X70" s="1307">
        <f>SUM(X68,X64,X54,X39,X31)</f>
        <v>963636.93740266678</v>
      </c>
      <c r="Y70" s="1307">
        <f>X70/D10</f>
        <v>6339.7166934385968</v>
      </c>
    </row>
    <row r="71" spans="1:25">
      <c r="A71" s="40" t="s">
        <v>257</v>
      </c>
      <c r="D71" s="48">
        <f>E71*$D$10</f>
        <v>76000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309">
        <f>Y70-6000</f>
        <v>339.71669343859685</v>
      </c>
    </row>
    <row r="75" spans="1:25">
      <c r="A75" s="44" t="s">
        <v>260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148344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55779000</v>
      </c>
      <c r="C7" s="465">
        <f>'Dev Summary_5-20'!B8</f>
        <v>3190331</v>
      </c>
      <c r="D7" s="465">
        <f t="shared" ref="D7:D14" si="0">B7-C7</f>
        <v>52588669</v>
      </c>
      <c r="E7" s="477">
        <f t="shared" ref="E7:E15" si="1">D7/B7</f>
        <v>0.94280408397425552</v>
      </c>
      <c r="F7" s="477"/>
      <c r="G7" s="472" t="e">
        <f t="shared" ref="G7:G14" si="2">B7/$B$15</f>
        <v>#REF!</v>
      </c>
      <c r="I7" s="147">
        <f>B7/$H$4</f>
        <v>507081.81818181818</v>
      </c>
      <c r="J7" s="53">
        <f>B7/$H$5</f>
        <v>376.01116324219385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142265.97253457556</v>
      </c>
      <c r="C9" s="446">
        <f>'Dev Summary_5-20'!B10</f>
        <v>50000</v>
      </c>
      <c r="D9" s="446">
        <f t="shared" si="0"/>
        <v>92265.972534575558</v>
      </c>
      <c r="E9" s="477">
        <f t="shared" si="1"/>
        <v>0.64854561418157619</v>
      </c>
      <c r="F9" s="477"/>
      <c r="G9" s="473" t="e">
        <f t="shared" si="2"/>
        <v>#REF!</v>
      </c>
      <c r="I9" s="53">
        <f t="shared" si="3"/>
        <v>1293.327023041596</v>
      </c>
      <c r="J9" s="53">
        <f t="shared" si="4"/>
        <v>0.95902748027945561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397075</v>
      </c>
      <c r="C14" s="467">
        <f>'Dev Summary_5-20'!B14</f>
        <v>282276.62941911275</v>
      </c>
      <c r="D14" s="467">
        <f t="shared" si="0"/>
        <v>114798.37058088725</v>
      </c>
      <c r="E14" s="478">
        <f t="shared" si="1"/>
        <v>0.28911004364638226</v>
      </c>
      <c r="F14" s="478"/>
      <c r="G14" s="474" t="e">
        <f t="shared" si="2"/>
        <v>#REF!</v>
      </c>
      <c r="I14" s="53">
        <f t="shared" si="3"/>
        <v>3609.7727272727275</v>
      </c>
      <c r="J14" s="53">
        <f t="shared" si="4"/>
        <v>2.6767176292940733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57863275.542162932</v>
      </c>
      <c r="C21" s="48">
        <v>18731659</v>
      </c>
      <c r="D21" s="48">
        <f>B21-C21</f>
        <v>39131616.542162932</v>
      </c>
      <c r="E21" s="55">
        <f>D21/B21</f>
        <v>0.67627724451321636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7389734.7703451365</v>
      </c>
      <c r="C28" s="50"/>
      <c r="D28" s="50">
        <f t="shared" si="5"/>
        <v>7389734.7703451365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61356900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55721.21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50149.089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456513.14166666672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61356900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14112.087000000001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576495.52766666678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49085520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68021.395879999996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49085520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75108.895879999996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667548</v>
      </c>
      <c r="E10" s="748">
        <f>'PreDev Flow of Funds'!Y10+'PreDev Flow of Funds'!Y12</f>
        <v>1395966</v>
      </c>
      <c r="F10" s="748">
        <f>(D10-E10)/18</f>
        <v>-40467.666666666664</v>
      </c>
      <c r="G10" s="748">
        <f>$F$10</f>
        <v>-40467.666666666664</v>
      </c>
      <c r="H10" s="748">
        <f t="shared" ref="H10:W10" si="2">$F$10</f>
        <v>-40467.666666666664</v>
      </c>
      <c r="I10" s="748">
        <f t="shared" si="2"/>
        <v>-40467.666666666664</v>
      </c>
      <c r="J10" s="748">
        <f t="shared" si="2"/>
        <v>-40467.666666666664</v>
      </c>
      <c r="K10" s="748">
        <f t="shared" si="2"/>
        <v>-40467.666666666664</v>
      </c>
      <c r="L10" s="748">
        <f t="shared" si="2"/>
        <v>-40467.666666666664</v>
      </c>
      <c r="M10" s="748">
        <f t="shared" si="2"/>
        <v>-40467.666666666664</v>
      </c>
      <c r="N10" s="748">
        <f t="shared" si="2"/>
        <v>-40467.666666666664</v>
      </c>
      <c r="O10" s="748">
        <f t="shared" si="2"/>
        <v>-40467.666666666664</v>
      </c>
      <c r="P10" s="748">
        <f t="shared" si="2"/>
        <v>-40467.666666666664</v>
      </c>
      <c r="Q10" s="748">
        <f t="shared" si="2"/>
        <v>-40467.666666666664</v>
      </c>
      <c r="R10" s="748">
        <f t="shared" si="2"/>
        <v>-40467.666666666664</v>
      </c>
      <c r="S10" s="748">
        <f t="shared" si="2"/>
        <v>-40467.666666666664</v>
      </c>
      <c r="T10" s="748">
        <f t="shared" si="2"/>
        <v>-40467.666666666664</v>
      </c>
      <c r="U10" s="748">
        <f t="shared" si="2"/>
        <v>-40467.666666666664</v>
      </c>
      <c r="V10" s="748">
        <f t="shared" si="2"/>
        <v>-40467.666666666664</v>
      </c>
      <c r="W10" s="748">
        <f t="shared" si="2"/>
        <v>-40467.666666666664</v>
      </c>
      <c r="X10" s="748"/>
      <c r="Y10" s="748">
        <f>SUM(E10:W10)</f>
        <v>667547.99999999977</v>
      </c>
    </row>
    <row r="11" spans="1:25" ht="15">
      <c r="A11" s="402"/>
      <c r="B11" s="403" t="s">
        <v>388</v>
      </c>
      <c r="C11" s="748"/>
      <c r="D11" s="748">
        <f>'Development Budget'!G41</f>
        <v>667548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55779000</v>
      </c>
      <c r="E13" s="748">
        <f>'PreDev Flow of Funds'!Y14</f>
        <v>69798.3</v>
      </c>
      <c r="F13" s="748">
        <f>(D13-E13)/18</f>
        <v>3094955.6500000004</v>
      </c>
      <c r="G13" s="748">
        <f>$F$13</f>
        <v>3094955.6500000004</v>
      </c>
      <c r="H13" s="748">
        <f t="shared" ref="H13:W13" si="5">$F$13</f>
        <v>3094955.6500000004</v>
      </c>
      <c r="I13" s="748">
        <f t="shared" si="5"/>
        <v>3094955.6500000004</v>
      </c>
      <c r="J13" s="748">
        <f t="shared" si="5"/>
        <v>3094955.6500000004</v>
      </c>
      <c r="K13" s="748">
        <f t="shared" si="5"/>
        <v>3094955.6500000004</v>
      </c>
      <c r="L13" s="748">
        <f t="shared" si="5"/>
        <v>3094955.6500000004</v>
      </c>
      <c r="M13" s="748">
        <f t="shared" si="5"/>
        <v>3094955.6500000004</v>
      </c>
      <c r="N13" s="748">
        <f t="shared" si="5"/>
        <v>3094955.6500000004</v>
      </c>
      <c r="O13" s="748">
        <f t="shared" si="5"/>
        <v>3094955.6500000004</v>
      </c>
      <c r="P13" s="748">
        <f t="shared" si="5"/>
        <v>3094955.6500000004</v>
      </c>
      <c r="Q13" s="748">
        <f t="shared" si="5"/>
        <v>3094955.6500000004</v>
      </c>
      <c r="R13" s="748">
        <f t="shared" si="5"/>
        <v>3094955.6500000004</v>
      </c>
      <c r="S13" s="748">
        <f t="shared" si="5"/>
        <v>3094955.6500000004</v>
      </c>
      <c r="T13" s="748">
        <f t="shared" si="5"/>
        <v>3094955.6500000004</v>
      </c>
      <c r="U13" s="748">
        <f t="shared" si="5"/>
        <v>3094955.6500000004</v>
      </c>
      <c r="V13" s="748">
        <f t="shared" si="5"/>
        <v>3094955.6500000004</v>
      </c>
      <c r="W13" s="748">
        <f t="shared" si="5"/>
        <v>3094955.6500000004</v>
      </c>
      <c r="X13" s="748"/>
      <c r="Y13" s="748">
        <f t="shared" si="3"/>
        <v>55778999.999999985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55779000</v>
      </c>
      <c r="E15" s="748">
        <f>'PreDev Flow of Funds'!Y16+'PreDev Flow of Funds'!Y17+'PreDev Flow of Funds'!Y19</f>
        <v>72500</v>
      </c>
      <c r="F15" s="748">
        <f>(D15-E15)/18</f>
        <v>3094805.5555555555</v>
      </c>
      <c r="G15" s="748">
        <f>$F$15</f>
        <v>3094805.5555555555</v>
      </c>
      <c r="H15" s="748">
        <f t="shared" ref="H15:W15" si="7">$F$15</f>
        <v>3094805.5555555555</v>
      </c>
      <c r="I15" s="748">
        <f t="shared" si="7"/>
        <v>3094805.5555555555</v>
      </c>
      <c r="J15" s="748">
        <f t="shared" si="7"/>
        <v>3094805.5555555555</v>
      </c>
      <c r="K15" s="748">
        <f t="shared" si="7"/>
        <v>3094805.5555555555</v>
      </c>
      <c r="L15" s="748">
        <f t="shared" si="7"/>
        <v>3094805.5555555555</v>
      </c>
      <c r="M15" s="748">
        <f t="shared" si="7"/>
        <v>3094805.5555555555</v>
      </c>
      <c r="N15" s="748">
        <f t="shared" si="7"/>
        <v>3094805.5555555555</v>
      </c>
      <c r="O15" s="748">
        <f t="shared" si="7"/>
        <v>3094805.5555555555</v>
      </c>
      <c r="P15" s="748">
        <f t="shared" si="7"/>
        <v>3094805.5555555555</v>
      </c>
      <c r="Q15" s="748">
        <f t="shared" si="7"/>
        <v>3094805.5555555555</v>
      </c>
      <c r="R15" s="748">
        <f t="shared" si="7"/>
        <v>3094805.5555555555</v>
      </c>
      <c r="S15" s="748">
        <f t="shared" si="7"/>
        <v>3094805.5555555555</v>
      </c>
      <c r="T15" s="748">
        <f t="shared" si="7"/>
        <v>3094805.5555555555</v>
      </c>
      <c r="U15" s="748">
        <f t="shared" si="7"/>
        <v>3094805.5555555555</v>
      </c>
      <c r="V15" s="748">
        <f t="shared" si="7"/>
        <v>3094805.5555555555</v>
      </c>
      <c r="W15" s="748">
        <f t="shared" si="7"/>
        <v>3094805.5555555555</v>
      </c>
      <c r="X15" s="748"/>
      <c r="Y15" s="748">
        <f t="shared" si="3"/>
        <v>55778999.999999978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44503200</v>
      </c>
      <c r="E33" s="748">
        <v>0</v>
      </c>
      <c r="F33" s="748">
        <f>D33</f>
        <v>44503200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44503200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139447.5</v>
      </c>
      <c r="E43" s="748">
        <f>D43</f>
        <v>139447.5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139447.5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330447.5</v>
      </c>
      <c r="E52" s="748">
        <f>D52</f>
        <v>330447.5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330447.5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397075</v>
      </c>
      <c r="E58" s="748">
        <f>'PreDev Flow of Funds'!Y46</f>
        <v>96238.814999999988</v>
      </c>
      <c r="F58" s="748">
        <f>(D58-E58)/18</f>
        <v>16713.121388888889</v>
      </c>
      <c r="G58" s="748">
        <f>$F$58</f>
        <v>16713.121388888889</v>
      </c>
      <c r="H58" s="748">
        <f t="shared" ref="H58:W58" si="18">$F$58</f>
        <v>16713.121388888889</v>
      </c>
      <c r="I58" s="748">
        <f t="shared" si="18"/>
        <v>16713.121388888889</v>
      </c>
      <c r="J58" s="748">
        <f t="shared" si="18"/>
        <v>16713.121388888889</v>
      </c>
      <c r="K58" s="748">
        <f t="shared" si="18"/>
        <v>16713.121388888889</v>
      </c>
      <c r="L58" s="748">
        <f t="shared" si="18"/>
        <v>16713.121388888889</v>
      </c>
      <c r="M58" s="748">
        <f t="shared" si="18"/>
        <v>16713.121388888889</v>
      </c>
      <c r="N58" s="748">
        <f t="shared" si="18"/>
        <v>16713.121388888889</v>
      </c>
      <c r="O58" s="748">
        <f t="shared" si="18"/>
        <v>16713.121388888889</v>
      </c>
      <c r="P58" s="748">
        <f t="shared" si="18"/>
        <v>16713.121388888889</v>
      </c>
      <c r="Q58" s="748">
        <f t="shared" si="18"/>
        <v>16713.121388888889</v>
      </c>
      <c r="R58" s="748">
        <f t="shared" si="18"/>
        <v>16713.121388888889</v>
      </c>
      <c r="S58" s="748">
        <f t="shared" si="18"/>
        <v>16713.121388888889</v>
      </c>
      <c r="T58" s="748">
        <f t="shared" si="18"/>
        <v>16713.121388888889</v>
      </c>
      <c r="U58" s="748">
        <f t="shared" si="18"/>
        <v>16713.121388888889</v>
      </c>
      <c r="V58" s="748">
        <f t="shared" si="18"/>
        <v>16713.121388888889</v>
      </c>
      <c r="W58" s="748">
        <f t="shared" si="18"/>
        <v>16713.121388888889</v>
      </c>
      <c r="X58" s="748"/>
      <c r="Y58" s="748">
        <f t="shared" si="3"/>
        <v>397075.00000000023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142265.97253457556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15315048.074999997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50473540.771817796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-11704972.958755784</v>
      </c>
      <c r="E87" s="749">
        <f>E80-E84-E85-E86-E88-E89-E90-E91</f>
        <v>473894.99999999627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15315048.074999997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-1197749.0774999999</v>
      </c>
      <c r="K103" s="162">
        <f>J103+(C116*0.25)/2</f>
        <v>-2395498.1549999998</v>
      </c>
      <c r="L103" s="162">
        <f>K103+((C116-K103)/4)</f>
        <v>-4192121.7712499998</v>
      </c>
      <c r="M103" s="162">
        <f>L103+((C116-K103)/4)</f>
        <v>-5988745.3874999993</v>
      </c>
      <c r="N103" s="162">
        <f>M103+((C116-K103)/4)</f>
        <v>-7785369.0037499992</v>
      </c>
      <c r="O103" s="162">
        <f>N103+((C116-K103)/4)</f>
        <v>-9581992.6199999992</v>
      </c>
      <c r="P103" s="162">
        <f>O103</f>
        <v>-9581992.6199999992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9793022.7408333328</v>
      </c>
      <c r="K104" s="371">
        <f>((C117-1033493)/6)+J104</f>
        <v>19586045.481666666</v>
      </c>
      <c r="L104" s="371">
        <f>((C117-1033493)/6)+K104</f>
        <v>29379068.222499996</v>
      </c>
      <c r="M104" s="371">
        <f>((C117-1033493)/6)+L104</f>
        <v>39172090.963333331</v>
      </c>
      <c r="N104" s="371">
        <f>((C117-1033493)/6)+M104</f>
        <v>48965113.704166666</v>
      </c>
      <c r="O104" s="371">
        <f>((C117-1033493)/6)+N104</f>
        <v>58758136.445</v>
      </c>
      <c r="P104" s="371">
        <f>(286645+100000+646848)+O104</f>
        <v>59791629.445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8595273.6633333322</v>
      </c>
      <c r="K110" s="371">
        <f t="shared" ref="K110:P110" si="9">SUM(K103:K104)</f>
        <v>17190547.326666664</v>
      </c>
      <c r="L110" s="371">
        <f t="shared" si="9"/>
        <v>25186946.451249998</v>
      </c>
      <c r="M110" s="371">
        <f t="shared" si="9"/>
        <v>33183345.575833332</v>
      </c>
      <c r="N110" s="371">
        <f t="shared" si="9"/>
        <v>41179744.700416669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-9581992.6199999992</v>
      </c>
      <c r="D116" s="1773"/>
    </row>
    <row r="117" spans="2:19" ht="16.5" thickBot="1">
      <c r="B117" s="398" t="s">
        <v>602</v>
      </c>
      <c r="C117" s="1776">
        <f>C118-C114-C116-C115</f>
        <v>59791629.445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