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56D3E34A-BFA1-45E2-8A36-AFA08100209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<sst xmlns="http://schemas.openxmlformats.org/spreadsheetml/2006/main" count="1995" uniqueCount="1106">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</sst>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7" workbookViewId="0">
      <selection activeCell="C51" sqref="C51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8.5859839359856957E-2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8.5859839359856957E-2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-664813.61791475769</v>
      </c>
      <c r="E18" s="1754">
        <f ca="1">ABS(D18/D28)</f>
        <v>6.1011593256445834E-3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866.33663366336634</v>
      </c>
    </row>
    <row r="22" spans="1:6">
      <c r="A22" s="64"/>
      <c r="B22" s="4" t="s">
        <v>16</v>
      </c>
      <c r="C22" s="4"/>
      <c r="D22" s="1531">
        <f>'Development Budget'!G44</f>
        <v>81146435.312499985</v>
      </c>
      <c r="E22" s="1531">
        <f t="shared" ref="E22:E28" si="0">D22/$D$10</f>
        <v>401715.02629950485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627075</v>
      </c>
      <c r="E24" s="1531">
        <f t="shared" si="0"/>
        <v>3104.3316831683169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7116347.2185951974</v>
      </c>
      <c r="E25" s="1531">
        <f t="shared" si="0"/>
        <v>35229.44167621385</v>
      </c>
    </row>
    <row r="26" spans="1:6">
      <c r="A26" s="64"/>
      <c r="B26" s="4" t="s">
        <v>20</v>
      </c>
      <c r="C26" s="4"/>
      <c r="D26" s="1531">
        <f>'Development Budget'!G181</f>
        <v>5616195.8984028846</v>
      </c>
      <c r="E26" s="1531">
        <f t="shared" si="0"/>
        <v>27802.949992093487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11985836.381223708</v>
      </c>
      <c r="E27" s="1532">
        <f t="shared" si="0"/>
        <v>59335.823669424302</v>
      </c>
    </row>
    <row r="28" spans="1:6" ht="16.5" thickTop="1">
      <c r="A28" s="4"/>
      <c r="B28" s="4"/>
      <c r="C28" s="150" t="s">
        <v>14</v>
      </c>
      <c r="D28" s="1533">
        <f>SUM(D21:D27)</f>
        <v>108965129.81072177</v>
      </c>
      <c r="E28" s="1531">
        <f t="shared" si="0"/>
        <v>539431.3356966424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71573682.218291461</v>
      </c>
      <c r="E32" s="1586">
        <f t="shared" si="1"/>
        <v>354325.15949649236</v>
      </c>
    </row>
    <row r="33" spans="1:5">
      <c r="A33" s="64"/>
      <c r="B33" s="4" t="s">
        <v>1052</v>
      </c>
      <c r="C33" s="4"/>
      <c r="D33" s="1587">
        <f>GapCalc!D29</f>
        <v>5608717.1388645452</v>
      </c>
      <c r="E33" s="1586">
        <f>D33/$D$10</f>
        <v>27765.9264300225</v>
      </c>
    </row>
    <row r="34" spans="1:5">
      <c r="A34" s="65"/>
      <c r="B34" s="4" t="s">
        <v>26</v>
      </c>
      <c r="C34" s="4"/>
      <c r="D34" s="1587">
        <f>GapCalc!D30</f>
        <v>31782730.453565754</v>
      </c>
      <c r="E34" s="1586">
        <f>D34/$D$10</f>
        <v>157340.2497701275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108965129.81072176</v>
      </c>
      <c r="E36" s="1586">
        <f>D36/$D$10</f>
        <v>539431.3356966424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76536430.943889335</v>
      </c>
      <c r="E40" s="1586">
        <f t="shared" ref="E40" si="2">D40/$D$10</f>
        <v>378893.22249450168</v>
      </c>
    </row>
    <row r="41" spans="1:5">
      <c r="A41" s="60"/>
      <c r="B41" s="4" t="s">
        <v>1052</v>
      </c>
      <c r="C41" s="4"/>
      <c r="D41" s="1591">
        <f>GapCalc!D29+GapCalc!D38</f>
        <v>5608717.1388645452</v>
      </c>
      <c r="E41" s="1586">
        <f>D41/$D$10</f>
        <v>27765.9264300225</v>
      </c>
    </row>
    <row r="42" spans="1:5">
      <c r="A42" s="60"/>
      <c r="B42" s="1557" t="s">
        <v>26</v>
      </c>
      <c r="C42" s="4"/>
      <c r="D42" s="1592">
        <f>GapCalc!D30+GapCalc!D39</f>
        <v>31782730.453565754</v>
      </c>
      <c r="E42" s="1586">
        <f>D42/$D$10</f>
        <v>157340.2497701275</v>
      </c>
    </row>
    <row r="43" spans="1:5">
      <c r="A43" s="60"/>
      <c r="B43" s="1714" t="s">
        <v>1103</v>
      </c>
      <c r="C43" s="4"/>
      <c r="D43" s="1592">
        <f>IF(D32-D40&gt;0,0,D32-D40)</f>
        <v>-4962748.7255978733</v>
      </c>
      <c r="E43" s="1586">
        <f>D43/$D$10</f>
        <v>-24568.062998009274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108965129.81072177</v>
      </c>
      <c r="E45" s="1588">
        <f>D45/$D$10</f>
        <v>539431.3356966424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6" zoomScaleNormal="100" workbookViewId="0">
      <selection activeCell="D30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866.33663366336634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81146435.312499985</v>
      </c>
      <c r="E18" s="1531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627075</v>
      </c>
      <c r="E20" s="1531">
        <f t="shared" si="0"/>
        <v>3104.3316831683169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7116347.2185951974</v>
      </c>
      <c r="E21" s="1531">
        <f t="shared" si="0"/>
        <v>35229.44167621385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5616195.8984028846</v>
      </c>
      <c r="E22" s="1531">
        <f t="shared" si="0"/>
        <v>27802.949992093487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11985836.381223708</v>
      </c>
      <c r="E23" s="1532">
        <f t="shared" si="0"/>
        <v>59335.823669424302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108965129.81072177</v>
      </c>
      <c r="E24" s="1531">
        <f t="shared" si="0"/>
        <v>539431.3356966424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71573682.218291461</v>
      </c>
      <c r="E28" s="1586">
        <f t="shared" si="1"/>
        <v>354325.15949649236</v>
      </c>
      <c r="F28" s="62"/>
      <c r="G28" s="1419" t="s">
        <v>609</v>
      </c>
      <c r="H28" s="1608">
        <f>H32/D11</f>
        <v>27765.9264300225</v>
      </c>
      <c r="I28" s="703"/>
    </row>
    <row r="29" spans="1:10" ht="15.75">
      <c r="A29" s="64"/>
      <c r="B29" s="4" t="s">
        <v>1052</v>
      </c>
      <c r="C29" s="4"/>
      <c r="D29" s="1587">
        <v>5608717.1388645452</v>
      </c>
      <c r="E29" s="1586">
        <f>D29/$D$11</f>
        <v>27765.9264300225</v>
      </c>
      <c r="F29" s="520"/>
      <c r="G29" s="1420" t="s">
        <v>972</v>
      </c>
      <c r="H29" s="1609">
        <f>H33/D11</f>
        <v>157340.2497701275</v>
      </c>
      <c r="I29" s="703"/>
    </row>
    <row r="30" spans="1:10" ht="16.5" thickBot="1">
      <c r="A30" s="65"/>
      <c r="B30" s="4" t="s">
        <v>26</v>
      </c>
      <c r="C30" s="4"/>
      <c r="D30" s="1587">
        <v>31782730.453565754</v>
      </c>
      <c r="E30" s="1586">
        <f>D30/$D$11</f>
        <v>157340.2497701275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5608717.1388645452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108965129.81072176</v>
      </c>
      <c r="E33" s="1586">
        <f>D33/$D$11</f>
        <v>539431.3356966424</v>
      </c>
      <c r="F33" s="62"/>
      <c r="G33" s="1441" t="s">
        <v>972</v>
      </c>
      <c r="H33" s="1611">
        <f>D30+D39</f>
        <v>31782730.453565754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37391447.592430301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0.34315058090034156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76536430.943889335</v>
      </c>
      <c r="E37" s="1586">
        <f t="shared" ref="E37" si="2">D37/$D$11</f>
        <v>378893.22249450168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5608717.1388645452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31782730.453565754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4962748.7255978733</v>
      </c>
      <c r="E41" s="1588">
        <f>D41/$D$11</f>
        <v>24568.062998009274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76536430.943889335</v>
      </c>
      <c r="E42" s="1586">
        <f>D42/$D$11</f>
        <v>378893.22249450168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-744412.30883968098</v>
      </c>
      <c r="I43" s="1596">
        <f>D38+H43</f>
        <v>-744412.30883968098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-4218336.4167581918</v>
      </c>
      <c r="I44" s="1596">
        <f>D39+H44</f>
        <v>-4218336.4167581918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31217638.87833821</v>
      </c>
      <c r="J46" s="1582" t="s">
        <v>1084</v>
      </c>
      <c r="K46" s="1583">
        <f>'Cash Flow'!C76</f>
        <v>8.5859839359856957E-2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10899919.188679136</v>
      </c>
      <c r="J47" s="1584" t="s">
        <v>1099</v>
      </c>
      <c r="K47" s="1607">
        <f>'Cash Flow'!C70</f>
        <v>50884751.371691279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-565091.57522754371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5508995.0961773312</v>
      </c>
      <c r="J51" s="1585" t="s">
        <v>1084</v>
      </c>
      <c r="K51" s="1618">
        <f>'Cash Flow'!H76</f>
        <v>8.5859839359856957E-2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5608717.1388645452</v>
      </c>
      <c r="J52" s="1584" t="s">
        <v>1098</v>
      </c>
      <c r="K52" s="1607">
        <f>'Cash Flow'!H70</f>
        <v>8979662.0067690499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-99722.04268721398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-664813.61791475769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44780744.377014361</v>
      </c>
      <c r="J58" s="1582" t="s">
        <v>1084</v>
      </c>
      <c r="K58" s="1583">
        <f>'Cash Flow'!C103</f>
        <v>0.1296612414756966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72992613.334533408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12998013.923448607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6177505.2635658672</v>
      </c>
      <c r="J63" s="1585" t="s">
        <v>1084</v>
      </c>
      <c r="K63" s="1618">
        <f>'Cash Flow'!H103</f>
        <v>7.9530065972463107E-2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5608717.1388645452</v>
      </c>
      <c r="J64" s="1584" t="s">
        <v>1098</v>
      </c>
      <c r="K64" s="1607">
        <f>'Cash Flow'!H97</f>
        <v>10069333.579612363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568788.12470132206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13566802.048149928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" zoomScale="130" zoomScaleNormal="130" workbookViewId="0">
      <selection activeCell="N20" sqref="N2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9600</v>
      </c>
      <c r="K50" s="292">
        <f>E50*I50</f>
        <v>57600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16080</v>
      </c>
      <c r="K51" s="292">
        <f>E51*I51</f>
        <v>74880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112000</v>
      </c>
      <c r="K52" s="292">
        <f>E52*I52</f>
        <v>508480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6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4962748.7255978733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13130000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866.33663366336634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81146435.312499985</v>
      </c>
      <c r="H44" s="1324"/>
      <c r="I44" s="1325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81146435.312499985</v>
      </c>
      <c r="H46" s="1333"/>
      <c r="I46" s="1325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527075</v>
      </c>
      <c r="H90" s="1111"/>
      <c r="I90" s="950">
        <f t="shared" si="3"/>
        <v>2609.2821782178216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527075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627075</v>
      </c>
      <c r="H97" s="1101"/>
      <c r="I97" s="950">
        <f t="shared" si="3"/>
        <v>3104.3316831683169</v>
      </c>
      <c r="J97" s="1102"/>
      <c r="K97" s="1166">
        <f>I97/I250</f>
        <v>5.7548226766605303E-3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627075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171365.21242196797</v>
      </c>
      <c r="H102" s="1111"/>
      <c r="I102" s="950">
        <f t="shared" si="3"/>
        <v>848.34263575231671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171365.21242196797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156365.21242196797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3089030.0001664204</v>
      </c>
      <c r="N103" s="1172">
        <v>3127304.2484393595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171365.21242196797</v>
      </c>
      <c r="H114" s="1101"/>
      <c r="I114" s="950">
        <f t="shared" si="3"/>
        <v>848.34263575231671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171365.21242196797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5045944.5963895489</v>
      </c>
      <c r="H116" s="1177"/>
      <c r="I116" s="950">
        <f t="shared" si="3"/>
        <v>24979.923744502717</v>
      </c>
      <c r="J116" s="1178"/>
      <c r="K116" s="1179" t="s">
        <v>823</v>
      </c>
      <c r="L116" s="1073"/>
      <c r="M116" s="1180">
        <f>0.5*Data!C20*Data!C17/12*Data!C19</f>
        <v>5045944.5963895489</v>
      </c>
      <c r="N116" s="1181">
        <v>5045944.5963895489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5045944.5963895489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715736.82218291459</v>
      </c>
      <c r="H117" s="1094"/>
      <c r="I117" s="950">
        <f t="shared" si="3"/>
        <v>3543.2515949649237</v>
      </c>
      <c r="J117" s="1015"/>
      <c r="K117" s="1184" t="s">
        <v>825</v>
      </c>
      <c r="L117" s="1185"/>
      <c r="M117" s="1186">
        <f>0.01*Data!C20</f>
        <v>715736.82218291459</v>
      </c>
      <c r="N117" s="1172">
        <v>715736.82218291459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715736.82218291459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117360.5233274372</v>
      </c>
      <c r="H125" s="1111"/>
      <c r="I125" s="950">
        <f t="shared" si="3"/>
        <v>580.99268973978815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117360.5233274372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107360.5233274372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107360.5233274372</v>
      </c>
      <c r="N126" s="1172">
        <v>107360.5233274372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7006347.2185951974</v>
      </c>
      <c r="H148" s="1128"/>
      <c r="I148" s="950">
        <f t="shared" si="6"/>
        <v>34684.887220768302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7006347.2185951974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765364.30943889334</v>
      </c>
      <c r="H151" s="1093"/>
      <c r="I151" s="950">
        <f t="shared" ref="I151:I158" si="7">G151/$F$9</f>
        <v>3788.9322249450165</v>
      </c>
      <c r="J151" s="1094"/>
      <c r="K151" s="1244" t="s">
        <v>863</v>
      </c>
      <c r="L151" s="1245"/>
      <c r="M151" s="1558">
        <f>Data!C31*Data!C30</f>
        <v>765364.30943889334</v>
      </c>
      <c r="N151" s="1345">
        <v>765364.30943889334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6441631.399646231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5616195.8984028846</v>
      </c>
      <c r="H178" s="1093"/>
      <c r="I178" s="950">
        <f t="shared" si="6"/>
        <v>27802.949992093487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5616195.8984028846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5616195.8984028846</v>
      </c>
      <c r="H181" s="1128"/>
      <c r="I181" s="950">
        <f t="shared" si="6"/>
        <v>27802.949992093487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5616195.8984028846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719429.97088506503</v>
      </c>
      <c r="H233" s="1111"/>
      <c r="I233" s="950">
        <f t="shared" si="8"/>
        <v>3561.5345093320052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719429.97088506503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1158179.9708850649</v>
      </c>
      <c r="H234" s="1282"/>
      <c r="I234" s="950">
        <f t="shared" si="8"/>
        <v>5733.5642123023017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1158179.9708850649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108965129.81072177</v>
      </c>
      <c r="H250" s="1298"/>
      <c r="I250" s="1299">
        <f>G250/F9</f>
        <v>539431.3356966424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553.51584786509079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350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71573682.218291461</v>
      </c>
      <c r="D20" s="1375">
        <f>MIN(D22,GapCalc!D24)</f>
        <v>70827334.376969159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70827334.376969159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-5313195.8984028595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5313195.8984028846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99260575.199999973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76536430.943889335</v>
      </c>
      <c r="D30" s="1376">
        <f>-PV($C$24/12,$C$29*12,C27/12)</f>
        <v>76536430.943889335</v>
      </c>
      <c r="E30" s="1384"/>
      <c r="F30" t="s">
        <v>438</v>
      </c>
      <c r="G30" s="1381"/>
      <c r="H30" s="1376">
        <f>PV(G23,G29,-'Cash Flow'!E41*H28,)</f>
        <v>8565603.340761032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5313195.8984028846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87172103.848577425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87384875.045826107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312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-623279.52191653801</v>
      </c>
      <c r="F19" s="89">
        <f>E19*(1+$D$19)</f>
        <v>-631070.51594049472</v>
      </c>
      <c r="G19" s="89">
        <f t="shared" ref="G19:AH19" si="6">F19*(1+$D$19)</f>
        <v>-638958.89738975093</v>
      </c>
      <c r="H19" s="89">
        <f t="shared" si="6"/>
        <v>-646945.88360712281</v>
      </c>
      <c r="I19" s="89">
        <f t="shared" si="6"/>
        <v>-655032.70715221181</v>
      </c>
      <c r="J19" s="89">
        <f t="shared" si="6"/>
        <v>-663220.61599161441</v>
      </c>
      <c r="K19" s="89">
        <f t="shared" si="6"/>
        <v>-671510.87369150959</v>
      </c>
      <c r="L19" s="89">
        <f t="shared" si="6"/>
        <v>-679904.7596126534</v>
      </c>
      <c r="M19" s="89">
        <f t="shared" si="6"/>
        <v>-688403.56910781155</v>
      </c>
      <c r="N19" s="89">
        <f t="shared" si="6"/>
        <v>-697008.61372165917</v>
      </c>
      <c r="O19" s="89">
        <f t="shared" si="6"/>
        <v>-705721.22139317985</v>
      </c>
      <c r="P19" s="89">
        <f t="shared" si="6"/>
        <v>-714542.73666059459</v>
      </c>
      <c r="Q19" s="89">
        <f t="shared" si="6"/>
        <v>-723474.52086885204</v>
      </c>
      <c r="R19" s="89">
        <f t="shared" si="6"/>
        <v>-732517.9523797126</v>
      </c>
      <c r="S19" s="90">
        <f t="shared" si="6"/>
        <v>-741674.42678445892</v>
      </c>
      <c r="T19" s="89">
        <f t="shared" si="6"/>
        <v>-750945.35711926466</v>
      </c>
      <c r="U19" s="89">
        <f t="shared" si="6"/>
        <v>-760332.17408325546</v>
      </c>
      <c r="V19" s="89">
        <f t="shared" si="6"/>
        <v>-769836.32625929615</v>
      </c>
      <c r="W19" s="89">
        <f t="shared" si="6"/>
        <v>-779459.28033753729</v>
      </c>
      <c r="X19" s="89">
        <f t="shared" si="6"/>
        <v>-789202.52134175645</v>
      </c>
      <c r="Y19" s="89">
        <f t="shared" si="6"/>
        <v>-799067.55285852833</v>
      </c>
      <c r="Z19" s="89">
        <f t="shared" si="6"/>
        <v>-809055.89726925991</v>
      </c>
      <c r="AA19" s="89">
        <f t="shared" si="6"/>
        <v>-819169.09598512563</v>
      </c>
      <c r="AB19" s="89">
        <f t="shared" si="6"/>
        <v>-829408.70968493971</v>
      </c>
      <c r="AC19" s="89">
        <f t="shared" si="6"/>
        <v>-839776.31855600141</v>
      </c>
      <c r="AD19" s="89">
        <f t="shared" si="6"/>
        <v>-850273.52253795136</v>
      </c>
      <c r="AE19" s="89">
        <f t="shared" si="6"/>
        <v>-860901.94156967569</v>
      </c>
      <c r="AF19" s="89">
        <f t="shared" si="6"/>
        <v>-871663.21583929658</v>
      </c>
      <c r="AG19" s="89">
        <f t="shared" si="6"/>
        <v>-882559.00603728776</v>
      </c>
      <c r="AH19" s="89">
        <f t="shared" si="6"/>
        <v>-893590.99361275381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6375835.0780834612</v>
      </c>
      <c r="F21" s="95">
        <f t="shared" si="8"/>
        <v>6532416.949059505</v>
      </c>
      <c r="G21" s="95">
        <f t="shared" si="8"/>
        <v>6692586.5542352488</v>
      </c>
      <c r="H21" s="95">
        <f t="shared" si="8"/>
        <v>6856419.9573084991</v>
      </c>
      <c r="I21" s="95">
        <f t="shared" si="8"/>
        <v>7023994.6191413002</v>
      </c>
      <c r="J21" s="95">
        <f t="shared" si="8"/>
        <v>7195389.4146916615</v>
      </c>
      <c r="K21" s="95">
        <f t="shared" si="8"/>
        <v>7370684.6497344067</v>
      </c>
      <c r="L21" s="95">
        <f t="shared" si="8"/>
        <v>7549962.077343612</v>
      </c>
      <c r="M21" s="95">
        <f t="shared" si="8"/>
        <v>7733304.91410763</v>
      </c>
      <c r="N21" s="95">
        <f t="shared" si="8"/>
        <v>7920797.8560461719</v>
      </c>
      <c r="O21" s="95">
        <f t="shared" si="8"/>
        <v>8112527.0941973673</v>
      </c>
      <c r="P21" s="95">
        <f t="shared" si="8"/>
        <v>8308580.3298409879</v>
      </c>
      <c r="Q21" s="95">
        <f t="shared" si="8"/>
        <v>8509046.789322285</v>
      </c>
      <c r="R21" s="95">
        <f t="shared" si="8"/>
        <v>8714017.2384391632</v>
      </c>
      <c r="S21" s="96">
        <f t="shared" si="8"/>
        <v>8923583.9963534046</v>
      </c>
      <c r="T21" s="95">
        <f t="shared" si="8"/>
        <v>9137840.9489847589</v>
      </c>
      <c r="U21" s="95">
        <f t="shared" si="8"/>
        <v>9356883.5618446525</v>
      </c>
      <c r="V21" s="95">
        <f t="shared" si="8"/>
        <v>9580808.8922640849</v>
      </c>
      <c r="W21" s="95">
        <f t="shared" si="8"/>
        <v>9809715.6009681132</v>
      </c>
      <c r="X21" s="95">
        <f t="shared" si="8"/>
        <v>10043703.962946888</v>
      </c>
      <c r="Y21" s="95">
        <f t="shared" si="8"/>
        <v>10282875.877570948</v>
      </c>
      <c r="Z21" s="95">
        <f t="shared" si="8"/>
        <v>10527334.877895746</v>
      </c>
      <c r="AA21" s="95">
        <f t="shared" si="8"/>
        <v>10777186.139097916</v>
      </c>
      <c r="AB21" s="95">
        <f t="shared" si="8"/>
        <v>11032536.485982953</v>
      </c>
      <c r="AC21" s="95">
        <f t="shared" si="8"/>
        <v>11293494.399501132</v>
      </c>
      <c r="AD21" s="95">
        <f t="shared" si="8"/>
        <v>11560170.022205569</v>
      </c>
      <c r="AE21" s="95">
        <f t="shared" si="8"/>
        <v>11832675.162583116</v>
      </c>
      <c r="AF21" s="95">
        <f t="shared" si="8"/>
        <v>12111123.298185673</v>
      </c>
      <c r="AG21" s="95">
        <f t="shared" si="8"/>
        <v>12395629.577486055</v>
      </c>
      <c r="AH21" s="95">
        <f t="shared" si="8"/>
        <v>12686310.820379091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-5313195.8984028846</v>
      </c>
      <c r="F22" s="95">
        <f t="shared" ref="F22:AH22" si="9">$E$22</f>
        <v>-5313195.8984028846</v>
      </c>
      <c r="G22" s="95">
        <f t="shared" si="9"/>
        <v>-5313195.8984028846</v>
      </c>
      <c r="H22" s="95">
        <f t="shared" si="9"/>
        <v>-5313195.8984028846</v>
      </c>
      <c r="I22" s="95">
        <f t="shared" si="9"/>
        <v>-5313195.8984028846</v>
      </c>
      <c r="J22" s="95">
        <f t="shared" si="9"/>
        <v>-5313195.8984028846</v>
      </c>
      <c r="K22" s="95">
        <f t="shared" si="9"/>
        <v>-5313195.8984028846</v>
      </c>
      <c r="L22" s="95">
        <f t="shared" si="9"/>
        <v>-5313195.8984028846</v>
      </c>
      <c r="M22" s="95">
        <f t="shared" si="9"/>
        <v>-5313195.8984028846</v>
      </c>
      <c r="N22" s="95">
        <f t="shared" si="9"/>
        <v>-5313195.8984028846</v>
      </c>
      <c r="O22" s="95">
        <f t="shared" si="9"/>
        <v>-5313195.8984028846</v>
      </c>
      <c r="P22" s="95">
        <f t="shared" si="9"/>
        <v>-5313195.8984028846</v>
      </c>
      <c r="Q22" s="95">
        <f t="shared" si="9"/>
        <v>-5313195.8984028846</v>
      </c>
      <c r="R22" s="95">
        <f t="shared" si="9"/>
        <v>-5313195.8984028846</v>
      </c>
      <c r="S22" s="96">
        <f t="shared" si="9"/>
        <v>-5313195.8984028846</v>
      </c>
      <c r="T22" s="95">
        <f t="shared" si="9"/>
        <v>-5313195.8984028846</v>
      </c>
      <c r="U22" s="95">
        <f t="shared" si="9"/>
        <v>-5313195.8984028846</v>
      </c>
      <c r="V22" s="95">
        <f t="shared" si="9"/>
        <v>-5313195.8984028846</v>
      </c>
      <c r="W22" s="95">
        <f t="shared" si="9"/>
        <v>-5313195.8984028846</v>
      </c>
      <c r="X22" s="95">
        <f t="shared" si="9"/>
        <v>-5313195.8984028846</v>
      </c>
      <c r="Y22" s="95">
        <f t="shared" si="9"/>
        <v>-5313195.8984028846</v>
      </c>
      <c r="Z22" s="95">
        <f t="shared" si="9"/>
        <v>-5313195.8984028846</v>
      </c>
      <c r="AA22" s="95">
        <f t="shared" si="9"/>
        <v>-5313195.8984028846</v>
      </c>
      <c r="AB22" s="95">
        <f t="shared" si="9"/>
        <v>-5313195.8984028846</v>
      </c>
      <c r="AC22" s="95">
        <f t="shared" si="9"/>
        <v>-5313195.8984028846</v>
      </c>
      <c r="AD22" s="95">
        <f t="shared" si="9"/>
        <v>-5313195.8984028846</v>
      </c>
      <c r="AE22" s="95">
        <f t="shared" si="9"/>
        <v>-5313195.8984028846</v>
      </c>
      <c r="AF22" s="95">
        <f t="shared" si="9"/>
        <v>-5313195.8984028846</v>
      </c>
      <c r="AG22" s="95">
        <f t="shared" si="9"/>
        <v>-5313195.8984028846</v>
      </c>
      <c r="AH22" s="95">
        <f t="shared" si="9"/>
        <v>-5313195.8984028846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1062639.1796805765</v>
      </c>
      <c r="F25" s="119">
        <f t="shared" ref="F25:AH25" si="11">+F21+F22+F23</f>
        <v>1219221.0506566204</v>
      </c>
      <c r="G25" s="119">
        <f t="shared" si="11"/>
        <v>1379390.6558323642</v>
      </c>
      <c r="H25" s="119">
        <f t="shared" si="11"/>
        <v>1543224.0589056145</v>
      </c>
      <c r="I25" s="119">
        <f t="shared" si="11"/>
        <v>1710798.7207384156</v>
      </c>
      <c r="J25" s="119">
        <f t="shared" si="11"/>
        <v>1882193.5162887769</v>
      </c>
      <c r="K25" s="119">
        <f t="shared" si="11"/>
        <v>2057488.7513315221</v>
      </c>
      <c r="L25" s="119">
        <f t="shared" si="11"/>
        <v>2236766.1789407274</v>
      </c>
      <c r="M25" s="119">
        <f t="shared" si="11"/>
        <v>2420109.0157047454</v>
      </c>
      <c r="N25" s="119">
        <f t="shared" si="11"/>
        <v>2607601.9576432873</v>
      </c>
      <c r="O25" s="119">
        <f t="shared" si="11"/>
        <v>2799331.1957944827</v>
      </c>
      <c r="P25" s="119">
        <f t="shared" si="11"/>
        <v>2995384.4314381033</v>
      </c>
      <c r="Q25" s="119">
        <f t="shared" si="11"/>
        <v>3195850.8909194004</v>
      </c>
      <c r="R25" s="119">
        <f t="shared" si="11"/>
        <v>3400821.3400362786</v>
      </c>
      <c r="S25" s="160">
        <f t="shared" si="11"/>
        <v>3610388.09795052</v>
      </c>
      <c r="T25" s="119">
        <f t="shared" si="11"/>
        <v>3824645.0505818743</v>
      </c>
      <c r="U25" s="119">
        <f t="shared" si="11"/>
        <v>4043687.6634417679</v>
      </c>
      <c r="V25" s="119">
        <f t="shared" si="11"/>
        <v>4267612.9938612003</v>
      </c>
      <c r="W25" s="119">
        <f t="shared" si="11"/>
        <v>4496519.7025652286</v>
      </c>
      <c r="X25" s="119">
        <f t="shared" si="11"/>
        <v>4730508.0645440035</v>
      </c>
      <c r="Y25" s="119">
        <f t="shared" si="11"/>
        <v>4969679.979168063</v>
      </c>
      <c r="Z25" s="119">
        <f t="shared" si="11"/>
        <v>5214138.9794928618</v>
      </c>
      <c r="AA25" s="119">
        <f t="shared" si="11"/>
        <v>5463990.2406950314</v>
      </c>
      <c r="AB25" s="119">
        <f t="shared" si="11"/>
        <v>5719340.587580068</v>
      </c>
      <c r="AC25" s="119">
        <f t="shared" si="11"/>
        <v>5980298.5010982472</v>
      </c>
      <c r="AD25" s="119">
        <f t="shared" si="11"/>
        <v>6246974.1238026842</v>
      </c>
      <c r="AE25" s="119">
        <f t="shared" si="11"/>
        <v>6519479.2641802318</v>
      </c>
      <c r="AF25" s="119">
        <f t="shared" si="11"/>
        <v>6797927.399782788</v>
      </c>
      <c r="AG25" s="119">
        <f t="shared" si="11"/>
        <v>7082433.6790831704</v>
      </c>
      <c r="AH25" s="119">
        <f t="shared" si="11"/>
        <v>7373114.9219762068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1.2294703741345414</v>
      </c>
      <c r="G27" s="122">
        <f t="shared" si="12"/>
        <v>1.2596159980186314</v>
      </c>
      <c r="H27" s="122">
        <f t="shared" si="12"/>
        <v>1.2904511876495084</v>
      </c>
      <c r="I27" s="122">
        <f t="shared" si="12"/>
        <v>1.3219905219855852</v>
      </c>
      <c r="J27" s="122">
        <f t="shared" si="12"/>
        <v>1.3542488461331819</v>
      </c>
      <c r="K27" s="122">
        <f t="shared" si="12"/>
        <v>1.3872412744935663</v>
      </c>
      <c r="L27" s="122">
        <f t="shared" si="12"/>
        <v>1.4209831938651247</v>
      </c>
      <c r="M27" s="122">
        <f t="shared" si="12"/>
        <v>1.4554902664952023</v>
      </c>
      <c r="N27" s="122">
        <f t="shared" si="12"/>
        <v>1.4907784330758662</v>
      </c>
      <c r="O27" s="122">
        <f t="shared" si="12"/>
        <v>1.5268639156775576</v>
      </c>
      <c r="P27" s="122">
        <f t="shared" si="12"/>
        <v>1.5637632206142631</v>
      </c>
      <c r="Q27" s="122">
        <f t="shared" si="12"/>
        <v>1.6014931412335189</v>
      </c>
      <c r="R27" s="122">
        <f t="shared" si="12"/>
        <v>1.6400707606242311</v>
      </c>
      <c r="S27" s="161">
        <f t="shared" si="12"/>
        <v>1.6795134542349137</v>
      </c>
      <c r="T27" s="122">
        <f t="shared" si="12"/>
        <v>1.719838892394602</v>
      </c>
      <c r="U27" s="122">
        <f t="shared" si="12"/>
        <v>1.7610650427282903</v>
      </c>
      <c r="V27" s="122">
        <f t="shared" si="12"/>
        <v>1.803210172458354</v>
      </c>
      <c r="W27" s="122">
        <f t="shared" si="12"/>
        <v>1.8462928505829901</v>
      </c>
      <c r="X27" s="122">
        <f t="shared" si="12"/>
        <v>1.8903319499222617</v>
      </c>
      <c r="Y27" s="122">
        <f t="shared" si="12"/>
        <v>1.935346649021904</v>
      </c>
      <c r="Z27" s="122">
        <f t="shared" si="12"/>
        <v>1.981356433904536</v>
      </c>
      <c r="AA27" s="122">
        <f t="shared" si="12"/>
        <v>2.0283810996574538</v>
      </c>
      <c r="AB27" s="122">
        <f t="shared" si="12"/>
        <v>2.076440751845658</v>
      </c>
      <c r="AC27" s="122">
        <f t="shared" si="12"/>
        <v>2.1255558077382184</v>
      </c>
      <c r="AD27" s="122">
        <f t="shared" si="12"/>
        <v>2.1757469973355374</v>
      </c>
      <c r="AE27" s="122">
        <f t="shared" si="12"/>
        <v>2.2270353641844731</v>
      </c>
      <c r="AF27" s="122">
        <f t="shared" si="12"/>
        <v>2.2794422659676834</v>
      </c>
      <c r="AG27" s="122">
        <f t="shared" si="12"/>
        <v>2.332989374852922</v>
      </c>
      <c r="AH27" s="122">
        <f t="shared" si="12"/>
        <v>2.3876986775873483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1062639.1796805765</v>
      </c>
      <c r="F41" s="129">
        <f t="shared" ref="F41:S41" si="20">F25+F37</f>
        <v>1219221.0506566204</v>
      </c>
      <c r="G41" s="129">
        <f t="shared" si="20"/>
        <v>1379390.6558323642</v>
      </c>
      <c r="H41" s="129">
        <f t="shared" si="20"/>
        <v>1543224.0589056145</v>
      </c>
      <c r="I41" s="129">
        <f t="shared" si="20"/>
        <v>1710798.7207384156</v>
      </c>
      <c r="J41" s="129">
        <f t="shared" si="20"/>
        <v>1882193.5162887769</v>
      </c>
      <c r="K41" s="129">
        <f t="shared" si="20"/>
        <v>2057488.7513315221</v>
      </c>
      <c r="L41" s="129">
        <f t="shared" si="20"/>
        <v>2236766.1789407274</v>
      </c>
      <c r="M41" s="129">
        <f t="shared" si="20"/>
        <v>2420109.0157047454</v>
      </c>
      <c r="N41" s="129">
        <f t="shared" si="20"/>
        <v>2607601.9576432873</v>
      </c>
      <c r="O41" s="129">
        <f t="shared" si="20"/>
        <v>2799331.1957944827</v>
      </c>
      <c r="P41" s="129">
        <f t="shared" si="20"/>
        <v>2995384.4314381033</v>
      </c>
      <c r="Q41" s="129">
        <f t="shared" si="20"/>
        <v>3195850.8909194004</v>
      </c>
      <c r="R41" s="129">
        <f t="shared" si="20"/>
        <v>3400821.3400362786</v>
      </c>
      <c r="S41" s="130">
        <f t="shared" si="20"/>
        <v>3610388.09795052</v>
      </c>
      <c r="T41" s="130">
        <f t="shared" ref="T41:AH41" si="21">T25+T37</f>
        <v>3824645.0505818743</v>
      </c>
      <c r="U41" s="130">
        <f t="shared" si="21"/>
        <v>4043687.6634417679</v>
      </c>
      <c r="V41" s="130">
        <f t="shared" si="21"/>
        <v>4267612.9938612003</v>
      </c>
      <c r="W41" s="130">
        <f t="shared" si="21"/>
        <v>4496519.7025652286</v>
      </c>
      <c r="X41" s="130">
        <f t="shared" si="21"/>
        <v>4730508.0645440035</v>
      </c>
      <c r="Y41" s="130">
        <f t="shared" si="21"/>
        <v>4969679.979168063</v>
      </c>
      <c r="Z41" s="130">
        <f t="shared" si="21"/>
        <v>5214138.9794928618</v>
      </c>
      <c r="AA41" s="130">
        <f t="shared" si="21"/>
        <v>5463990.2406950314</v>
      </c>
      <c r="AB41" s="130">
        <f t="shared" si="21"/>
        <v>5719340.587580068</v>
      </c>
      <c r="AC41" s="130">
        <f t="shared" si="21"/>
        <v>5980298.5010982472</v>
      </c>
      <c r="AD41" s="130">
        <f t="shared" si="21"/>
        <v>6246974.1238026842</v>
      </c>
      <c r="AE41" s="130">
        <f t="shared" si="21"/>
        <v>6519479.2641802318</v>
      </c>
      <c r="AF41" s="130">
        <f t="shared" si="21"/>
        <v>6797927.399782788</v>
      </c>
      <c r="AG41" s="130">
        <f t="shared" si="21"/>
        <v>7082433.6790831704</v>
      </c>
      <c r="AH41" s="130">
        <f t="shared" si="21"/>
        <v>7373114.9219762068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903243.30272849009</v>
      </c>
      <c r="F42" s="129">
        <f t="shared" ref="F42:S42" si="22">((F41*$C$42))</f>
        <v>1036337.8930581274</v>
      </c>
      <c r="G42" s="129">
        <f t="shared" si="22"/>
        <v>1172482.0574575095</v>
      </c>
      <c r="H42" s="129">
        <f t="shared" si="22"/>
        <v>1311740.4500697723</v>
      </c>
      <c r="I42" s="129">
        <f t="shared" si="22"/>
        <v>1454178.9126276532</v>
      </c>
      <c r="J42" s="129">
        <f t="shared" si="22"/>
        <v>1599864.4888454603</v>
      </c>
      <c r="K42" s="129">
        <f t="shared" si="22"/>
        <v>1748865.4386317937</v>
      </c>
      <c r="L42" s="129">
        <f t="shared" si="22"/>
        <v>1901251.2520996183</v>
      </c>
      <c r="M42" s="129">
        <f t="shared" si="22"/>
        <v>2057092.6633490336</v>
      </c>
      <c r="N42" s="129">
        <f t="shared" si="22"/>
        <v>2216461.6639967943</v>
      </c>
      <c r="O42" s="129">
        <f t="shared" si="22"/>
        <v>2379431.5164253102</v>
      </c>
      <c r="P42" s="129">
        <f t="shared" si="22"/>
        <v>2546076.7667223876</v>
      </c>
      <c r="Q42" s="129">
        <f t="shared" si="22"/>
        <v>2716473.2572814901</v>
      </c>
      <c r="R42" s="129">
        <f t="shared" si="22"/>
        <v>2890698.1390308365</v>
      </c>
      <c r="S42" s="129">
        <f t="shared" si="22"/>
        <v>3068829.8832579418</v>
      </c>
      <c r="T42" s="129">
        <f t="shared" ref="T42:AH42" si="23">((T41*$C$42))</f>
        <v>3250948.2929945933</v>
      </c>
      <c r="U42" s="129">
        <f t="shared" si="23"/>
        <v>3437134.5139255025</v>
      </c>
      <c r="V42" s="129">
        <f t="shared" si="23"/>
        <v>3627471.0447820202</v>
      </c>
      <c r="W42" s="129">
        <f t="shared" si="23"/>
        <v>3822041.7471804442</v>
      </c>
      <c r="X42" s="129">
        <f t="shared" si="23"/>
        <v>4020931.8548624027</v>
      </c>
      <c r="Y42" s="129">
        <f t="shared" si="23"/>
        <v>4224227.9822928533</v>
      </c>
      <c r="Z42" s="129">
        <f t="shared" si="23"/>
        <v>4432018.1325689321</v>
      </c>
      <c r="AA42" s="129">
        <f t="shared" si="23"/>
        <v>4644391.7045907769</v>
      </c>
      <c r="AB42" s="129">
        <f t="shared" si="23"/>
        <v>4861439.4994430579</v>
      </c>
      <c r="AC42" s="129">
        <f t="shared" si="23"/>
        <v>5083253.7259335099</v>
      </c>
      <c r="AD42" s="129">
        <f t="shared" si="23"/>
        <v>5309928.0052322811</v>
      </c>
      <c r="AE42" s="129">
        <f t="shared" si="23"/>
        <v>5541557.3745531971</v>
      </c>
      <c r="AF42" s="129">
        <f t="shared" si="23"/>
        <v>5778238.28981537</v>
      </c>
      <c r="AG42" s="129">
        <f t="shared" si="23"/>
        <v>6020068.6272206949</v>
      </c>
      <c r="AH42" s="129">
        <f t="shared" si="23"/>
        <v>6267147.6836797753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159395.87695208649</v>
      </c>
      <c r="F43" s="108">
        <f t="shared" ref="F43:S43" si="24">$C$43*(F41)</f>
        <v>182883.15759849307</v>
      </c>
      <c r="G43" s="108">
        <f t="shared" si="24"/>
        <v>206908.59837485463</v>
      </c>
      <c r="H43" s="108">
        <f t="shared" si="24"/>
        <v>231483.60883584217</v>
      </c>
      <c r="I43" s="108">
        <f t="shared" si="24"/>
        <v>256619.80811076233</v>
      </c>
      <c r="J43" s="108">
        <f t="shared" si="24"/>
        <v>282329.02744331653</v>
      </c>
      <c r="K43" s="108">
        <f t="shared" si="24"/>
        <v>308623.3126997283</v>
      </c>
      <c r="L43" s="108">
        <f t="shared" si="24"/>
        <v>335514.92684110912</v>
      </c>
      <c r="M43" s="108">
        <f t="shared" si="24"/>
        <v>363016.3523557118</v>
      </c>
      <c r="N43" s="108">
        <f t="shared" si="24"/>
        <v>391140.29364649305</v>
      </c>
      <c r="O43" s="108">
        <f t="shared" si="24"/>
        <v>419899.67936917237</v>
      </c>
      <c r="P43" s="108">
        <f t="shared" si="24"/>
        <v>449307.66471571551</v>
      </c>
      <c r="Q43" s="108">
        <f t="shared" si="24"/>
        <v>479377.63363791001</v>
      </c>
      <c r="R43" s="108">
        <f t="shared" si="24"/>
        <v>510123.20100544178</v>
      </c>
      <c r="S43" s="108">
        <f t="shared" si="24"/>
        <v>541558.21469257795</v>
      </c>
      <c r="T43" s="108">
        <f t="shared" ref="T43:AH43" si="25">$C$43*(T41)</f>
        <v>573696.75758728117</v>
      </c>
      <c r="U43" s="108">
        <f t="shared" si="25"/>
        <v>606553.14951626514</v>
      </c>
      <c r="V43" s="108">
        <f t="shared" si="25"/>
        <v>640141.94907918002</v>
      </c>
      <c r="W43" s="108">
        <f t="shared" si="25"/>
        <v>674477.95538478426</v>
      </c>
      <c r="X43" s="108">
        <f t="shared" si="25"/>
        <v>709576.20968160045</v>
      </c>
      <c r="Y43" s="108">
        <f t="shared" si="25"/>
        <v>745451.99687520938</v>
      </c>
      <c r="Z43" s="108">
        <f t="shared" si="25"/>
        <v>782120.84692392929</v>
      </c>
      <c r="AA43" s="108">
        <f t="shared" si="25"/>
        <v>819598.53610425466</v>
      </c>
      <c r="AB43" s="108">
        <f t="shared" si="25"/>
        <v>857901.08813701023</v>
      </c>
      <c r="AC43" s="108">
        <f t="shared" si="25"/>
        <v>897044.77516473702</v>
      </c>
      <c r="AD43" s="108">
        <f t="shared" si="25"/>
        <v>937046.11857040261</v>
      </c>
      <c r="AE43" s="108">
        <f t="shared" si="25"/>
        <v>977921.88962703478</v>
      </c>
      <c r="AF43" s="108">
        <f t="shared" si="25"/>
        <v>1019689.1099674181</v>
      </c>
      <c r="AG43" s="108">
        <f t="shared" si="25"/>
        <v>1062365.0518624755</v>
      </c>
      <c r="AH43" s="108">
        <f t="shared" si="25"/>
        <v>1105967.238296431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5.9520839755600359E-2</v>
      </c>
      <c r="F46" s="1529">
        <f>F21/Data!$C$38</f>
        <v>6.0982590935933383E-2</v>
      </c>
      <c r="G46" s="1529">
        <f>G21/Data!$C$38</f>
        <v>6.2477834976381326E-2</v>
      </c>
      <c r="H46" s="1529">
        <f>H21/Data!$C$38</f>
        <v>6.4007281960425474E-2</v>
      </c>
      <c r="I46" s="1529">
        <f>I21/Data!$C$38</f>
        <v>6.5571655014605421E-2</v>
      </c>
      <c r="J46" s="1529">
        <f>J21/Data!$C$38</f>
        <v>6.7171690466583181E-2</v>
      </c>
      <c r="K46" s="1529">
        <f>K21/Data!$C$38</f>
        <v>6.8808138001238653E-2</v>
      </c>
      <c r="L46" s="1529">
        <f>L21/Data!$C$38</f>
        <v>7.0481760814539413E-2</v>
      </c>
      <c r="M46" s="1529">
        <f>M21/Data!$C$38</f>
        <v>7.2193335764914171E-2</v>
      </c>
      <c r="N46" s="1529">
        <f>N21/Data!$C$38</f>
        <v>7.3943653521844691E-2</v>
      </c>
      <c r="O46" s="1529">
        <f>O21/Data!$C$38</f>
        <v>7.5733518711377013E-2</v>
      </c>
      <c r="P46" s="1529">
        <f>P21/Data!$C$38</f>
        <v>7.7563750058235917E-2</v>
      </c>
      <c r="Q46" s="1529">
        <f>Q21/Data!$C$38</f>
        <v>7.9435180524211127E-2</v>
      </c>
      <c r="R46" s="1529">
        <f>R21/Data!$C$38</f>
        <v>8.134865744246704E-2</v>
      </c>
      <c r="S46" s="1529">
        <f>S21/Data!$C$38</f>
        <v>8.3305042647409289E-2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3.3434483586395496E-2</v>
      </c>
      <c r="F47" s="142">
        <f>F41/GapCalc!$H$33</f>
        <v>3.8361117287826797E-2</v>
      </c>
      <c r="G47" s="142">
        <f>G41/GapCalc!$H$33</f>
        <v>4.340063412259812E-2</v>
      </c>
      <c r="H47" s="142">
        <f>H41/GapCalc!$H$33</f>
        <v>4.8555427330582851E-2</v>
      </c>
      <c r="I47" s="142">
        <f>I41/GapCalc!$H$33</f>
        <v>5.3827934111509872E-2</v>
      </c>
      <c r="J47" s="142">
        <f>J41/GapCalc!$H$33</f>
        <v>5.9220636157697099E-2</v>
      </c>
      <c r="K47" s="142">
        <f>K41/GapCalc!$H$33</f>
        <v>6.4736060180150101E-2</v>
      </c>
      <c r="L47" s="142">
        <f>L41/GapCalc!$H$33</f>
        <v>7.0376778427159364E-2</v>
      </c>
      <c r="M47" s="142">
        <f>M41/GapCalc!$H$33</f>
        <v>7.6145409194483787E-2</v>
      </c>
      <c r="N47" s="142">
        <f>N41/GapCalc!$H$33</f>
        <v>8.2044617326159794E-2</v>
      </c>
      <c r="O47" s="142">
        <f>O41/GapCalc!$H$33</f>
        <v>8.8077114704926851E-2</v>
      </c>
      <c r="P47" s="142">
        <f>P41/GapCalc!$H$33</f>
        <v>9.4245660731205258E-2</v>
      </c>
      <c r="Q47" s="142">
        <f>Q41/GapCalc!$H$33</f>
        <v>0.10055306278950785</v>
      </c>
      <c r="R47" s="142">
        <f>R41/GapCalc!$H$33</f>
        <v>0.1070021767011127</v>
      </c>
      <c r="S47" s="142">
        <f>S41/GapCalc!$H$33</f>
        <v>0.1135959071617607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2.8419311048436174E-2</v>
      </c>
      <c r="F48" s="142">
        <f>F43/GapCalc!$H$32</f>
        <v>3.2606949694652776E-2</v>
      </c>
      <c r="G48" s="142">
        <f>G43/GapCalc!$H$32</f>
        <v>3.6890539004208397E-2</v>
      </c>
      <c r="H48" s="142">
        <f>H43/GapCalc!$H$32</f>
        <v>4.1272113230995416E-2</v>
      </c>
      <c r="I48" s="142">
        <f>I43/GapCalc!$H$32</f>
        <v>4.5753743994783387E-2</v>
      </c>
      <c r="J48" s="142">
        <f>J43/GapCalc!$H$32</f>
        <v>5.0337540734042535E-2</v>
      </c>
      <c r="K48" s="142">
        <f>K43/GapCalc!$H$32</f>
        <v>5.5025651153127582E-2</v>
      </c>
      <c r="L48" s="142">
        <f>L43/GapCalc!$H$32</f>
        <v>5.9820261663085461E-2</v>
      </c>
      <c r="M48" s="142">
        <f>M43/GapCalc!$H$32</f>
        <v>6.4723597815311201E-2</v>
      </c>
      <c r="N48" s="142">
        <f>N43/GapCalc!$H$32</f>
        <v>6.9737924727235806E-2</v>
      </c>
      <c r="O48" s="142">
        <f>O43/GapCalc!$H$32</f>
        <v>7.4865547499187807E-2</v>
      </c>
      <c r="P48" s="142">
        <f>P43/GapCalc!$H$32</f>
        <v>8.0108811621524459E-2</v>
      </c>
      <c r="Q48" s="142">
        <f>Q43/GapCalc!$H$32</f>
        <v>8.5470103371081657E-2</v>
      </c>
      <c r="R48" s="142">
        <f>R43/GapCalc!$H$32</f>
        <v>9.0951850195945788E-2</v>
      </c>
      <c r="S48" s="142">
        <f>S43/GapCalc!$H$32</f>
        <v>9.6556521087496586E-2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31217638.87833821</v>
      </c>
      <c r="D66" s="1544"/>
      <c r="E66" s="1564" t="s">
        <v>285</v>
      </c>
      <c r="G66" s="1520" t="s">
        <v>1073</v>
      </c>
      <c r="H66" s="1565">
        <f>H70/1.63</f>
        <v>5508995.0961773312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9226712.543418806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1628243.3900150834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4218336.4167581918</v>
      </c>
      <c r="D68" s="1545" t="s">
        <v>68</v>
      </c>
      <c r="G68" s="1521" t="s">
        <v>1079</v>
      </c>
      <c r="H68" s="1568">
        <f>IF(GapCalc!D41*C43&lt; 0,0,GapCalc!D41*C43)</f>
        <v>744412.30883968098</v>
      </c>
      <c r="I68" s="1545" t="s">
        <v>68</v>
      </c>
    </row>
    <row r="69" spans="2:10">
      <c r="B69" s="1521" t="s">
        <v>1059</v>
      </c>
      <c r="C69" s="1568">
        <f>'Debt Calc'!E60</f>
        <v>37439702.411514282</v>
      </c>
      <c r="D69" s="1546">
        <v>0.9</v>
      </c>
      <c r="G69" s="1521" t="s">
        <v>1075</v>
      </c>
      <c r="H69" s="1568">
        <f>'Debt Calc'!E59*C43</f>
        <v>6607006.307914285</v>
      </c>
      <c r="I69" s="1546">
        <v>0.9</v>
      </c>
    </row>
    <row r="70" spans="2:10">
      <c r="B70" s="1523" t="s">
        <v>1042</v>
      </c>
      <c r="C70" s="1577">
        <f>C67+C68+C69</f>
        <v>50884751.371691279</v>
      </c>
      <c r="D70" s="1545" t="s">
        <v>68</v>
      </c>
      <c r="G70" s="1523" t="s">
        <v>1042</v>
      </c>
      <c r="H70" s="1577">
        <f>H67+H68+H69</f>
        <v>8979662.0067690499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1.6300000000000001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31782730.453565754</v>
      </c>
      <c r="D74" s="1549"/>
      <c r="F74" s="1559"/>
      <c r="G74" s="1578" t="s">
        <v>1082</v>
      </c>
      <c r="H74" s="1581">
        <f>GapCalc!H32</f>
        <v>5608717.1388645452</v>
      </c>
      <c r="I74" s="1549"/>
    </row>
    <row r="75" spans="2:10">
      <c r="B75" s="70" t="s">
        <v>1081</v>
      </c>
      <c r="C75" s="1579">
        <f>(C70-C74)/C74</f>
        <v>0.60101887551899869</v>
      </c>
      <c r="G75" s="70" t="s">
        <v>1081</v>
      </c>
      <c r="H75" s="1579">
        <f>(H70-H74)/H74</f>
        <v>0.60101887551899869</v>
      </c>
    </row>
    <row r="76" spans="2:10">
      <c r="B76" s="70" t="s">
        <v>1045</v>
      </c>
      <c r="C76" s="1579">
        <f>C75/7</f>
        <v>8.5859839359856957E-2</v>
      </c>
      <c r="G76" s="70" t="s">
        <v>1045</v>
      </c>
      <c r="H76" s="1579">
        <f>H75/7</f>
        <v>8.5859839359856957E-2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10899919.188679136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15401518.122864254</v>
      </c>
      <c r="D81" s="1545" t="s">
        <v>68</v>
      </c>
    </row>
    <row r="82" spans="2:10">
      <c r="B82" s="1521" t="s">
        <v>1059</v>
      </c>
      <c r="C82" s="1568">
        <f>C68</f>
        <v>4218336.4167581918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19619854.539622445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44780744.377014361</v>
      </c>
      <c r="D93" s="1544"/>
      <c r="E93" s="1564" t="s">
        <v>288</v>
      </c>
      <c r="G93" s="1520" t="s">
        <v>1073</v>
      </c>
      <c r="H93" s="1565">
        <f>H97/1.63</f>
        <v>6177505.2635658672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15401518.122864254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2717914.962858397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4218336.4167581918</v>
      </c>
      <c r="D95" s="1545" t="s">
        <v>68</v>
      </c>
      <c r="G95" s="1521" t="s">
        <v>1079</v>
      </c>
      <c r="H95" s="1568">
        <f>IF(GapCalc!D41*C43&lt; 0,0,GapCalc!D41*C43)</f>
        <v>744412.30883968098</v>
      </c>
      <c r="I95" s="1545" t="s">
        <v>68</v>
      </c>
    </row>
    <row r="96" spans="2:10">
      <c r="B96" s="1521" t="s">
        <v>1059</v>
      </c>
      <c r="C96" s="1568">
        <f>'Debt Calc'!H60</f>
        <v>53372758.794910967</v>
      </c>
      <c r="D96" s="1546">
        <v>0.9</v>
      </c>
      <c r="G96" s="1521" t="s">
        <v>1075</v>
      </c>
      <c r="H96" s="1568">
        <f>'Debt Calc'!E59*C43</f>
        <v>6607006.307914285</v>
      </c>
      <c r="I96" s="1546">
        <v>0.9</v>
      </c>
    </row>
    <row r="97" spans="2:9">
      <c r="B97" s="1523" t="s">
        <v>1042</v>
      </c>
      <c r="C97" s="1577">
        <f>C94+C95+C96</f>
        <v>72992613.334533408</v>
      </c>
      <c r="D97" s="1545" t="s">
        <v>68</v>
      </c>
      <c r="G97" s="1523" t="s">
        <v>1042</v>
      </c>
      <c r="H97" s="1577">
        <f>H94+H95+H96</f>
        <v>10069333.579612363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31782730.453565754</v>
      </c>
      <c r="D101" s="1549"/>
      <c r="G101" s="1578" t="s">
        <v>1082</v>
      </c>
      <c r="H101" s="1581">
        <f>GapCalc!H32</f>
        <v>5608717.1388645452</v>
      </c>
      <c r="I101" s="1549"/>
    </row>
    <row r="102" spans="2:9">
      <c r="B102" s="70" t="s">
        <v>1081</v>
      </c>
      <c r="C102" s="1579">
        <f>(C97-C101)/C101</f>
        <v>1.296612414756966</v>
      </c>
      <c r="G102" s="70" t="s">
        <v>1081</v>
      </c>
      <c r="H102" s="1579">
        <f>(H97-H101)/H101</f>
        <v>0.79530065972463104</v>
      </c>
    </row>
    <row r="103" spans="2:9">
      <c r="B103" s="70" t="s">
        <v>1045</v>
      </c>
      <c r="C103" s="1579">
        <f>C102/10</f>
        <v>0.1296612414756966</v>
      </c>
      <c r="G103" s="70" t="s">
        <v>1045</v>
      </c>
      <c r="H103" s="1579">
        <f>H102/10</f>
        <v>7.9530065972463107E-2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196860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196860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5313195.8984028846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76536430.943889335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76536400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23404462.497368447</v>
      </c>
    </row>
    <row r="15" spans="2:36">
      <c r="B15" s="556"/>
      <c r="C15" s="560" t="s">
        <v>634</v>
      </c>
      <c r="H15" s="561">
        <f>12*PMT(Data!C24/12,Data!C29*12,-'Debt Calc'!H14)</f>
        <v>5313193.7502631582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-5832542.9638904594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-5832542.9638904594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76536400</v>
      </c>
      <c r="E21" s="561">
        <f>$H$15</f>
        <v>5313193.7502631582</v>
      </c>
      <c r="F21" s="561">
        <f>E21-G21</f>
        <v>0</v>
      </c>
      <c r="G21" s="561">
        <f>D21-H21</f>
        <v>5313193.7502631545</v>
      </c>
      <c r="H21" s="561">
        <f>D21-E21</f>
        <v>71223206.249736845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71223206.249736845</v>
      </c>
      <c r="E22" s="561">
        <f t="shared" ref="E22:E50" si="1">$H$15</f>
        <v>5313193.7502631582</v>
      </c>
      <c r="F22" s="561">
        <f t="shared" ref="F22:F50" si="2">E22-G22</f>
        <v>0</v>
      </c>
      <c r="G22" s="561">
        <f t="shared" ref="G22:G50" si="3">D22-H22</f>
        <v>5313193.7502631545</v>
      </c>
      <c r="H22" s="561">
        <f t="shared" ref="H22:H39" si="4">D22-E22</f>
        <v>65910012.499473691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65910012.499473691</v>
      </c>
      <c r="E23" s="561">
        <f t="shared" si="1"/>
        <v>5313193.7502631582</v>
      </c>
      <c r="F23" s="561">
        <f t="shared" si="2"/>
        <v>0</v>
      </c>
      <c r="G23" s="561">
        <f t="shared" si="3"/>
        <v>5313193.7502631545</v>
      </c>
      <c r="H23" s="561">
        <f t="shared" si="4"/>
        <v>60596818.749210536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60596818.749210536</v>
      </c>
      <c r="E24" s="561">
        <f t="shared" si="1"/>
        <v>5313193.7502631582</v>
      </c>
      <c r="F24" s="561">
        <f t="shared" si="2"/>
        <v>0</v>
      </c>
      <c r="G24" s="561">
        <f t="shared" si="3"/>
        <v>5313193.7502631545</v>
      </c>
      <c r="H24" s="561">
        <f t="shared" si="4"/>
        <v>55283624.998947382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55283624.998947382</v>
      </c>
      <c r="E25" s="561">
        <f t="shared" si="1"/>
        <v>5313193.7502631582</v>
      </c>
      <c r="F25" s="561">
        <f t="shared" si="2"/>
        <v>0</v>
      </c>
      <c r="G25" s="561">
        <f t="shared" si="3"/>
        <v>5313193.7502631545</v>
      </c>
      <c r="H25" s="561">
        <f t="shared" si="4"/>
        <v>49970431.248684227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49970431.248684227</v>
      </c>
      <c r="E26" s="561">
        <f t="shared" si="1"/>
        <v>5313193.7502631582</v>
      </c>
      <c r="F26" s="561">
        <f t="shared" si="2"/>
        <v>0</v>
      </c>
      <c r="G26" s="561">
        <f t="shared" si="3"/>
        <v>5313193.7502631545</v>
      </c>
      <c r="H26" s="561">
        <f t="shared" si="4"/>
        <v>44657237.498421073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44657237.498421073</v>
      </c>
      <c r="E27" s="561">
        <f t="shared" si="1"/>
        <v>5313193.7502631582</v>
      </c>
      <c r="F27" s="561">
        <f t="shared" si="2"/>
        <v>0</v>
      </c>
      <c r="G27" s="561">
        <f t="shared" si="3"/>
        <v>5313193.7502631545</v>
      </c>
      <c r="H27" s="561">
        <f t="shared" si="4"/>
        <v>39344043.748157918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39344043.748157918</v>
      </c>
      <c r="E28" s="561">
        <f t="shared" si="1"/>
        <v>5313193.7502631582</v>
      </c>
      <c r="F28" s="561">
        <f t="shared" si="2"/>
        <v>0</v>
      </c>
      <c r="G28" s="561">
        <f t="shared" si="3"/>
        <v>5313193.7502631545</v>
      </c>
      <c r="H28" s="561">
        <f t="shared" si="4"/>
        <v>34030849.997894764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34030849.997894764</v>
      </c>
      <c r="E29" s="561">
        <f t="shared" si="1"/>
        <v>5313193.7502631582</v>
      </c>
      <c r="F29" s="561">
        <f t="shared" si="2"/>
        <v>0</v>
      </c>
      <c r="G29" s="561">
        <f t="shared" si="3"/>
        <v>5313193.7502631582</v>
      </c>
      <c r="H29" s="561">
        <f t="shared" si="4"/>
        <v>28717656.247631606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28717656.247631606</v>
      </c>
      <c r="E30" s="561">
        <f t="shared" si="1"/>
        <v>5313193.7502631582</v>
      </c>
      <c r="F30" s="561">
        <f t="shared" si="2"/>
        <v>0</v>
      </c>
      <c r="G30" s="561">
        <f t="shared" si="3"/>
        <v>5313193.7502631582</v>
      </c>
      <c r="H30" s="561">
        <f>D30-E30</f>
        <v>23404462.497368447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23404462.497368447</v>
      </c>
      <c r="E31" s="561">
        <f t="shared" si="1"/>
        <v>5313193.7502631582</v>
      </c>
      <c r="F31" s="561">
        <f t="shared" si="2"/>
        <v>0</v>
      </c>
      <c r="G31" s="561">
        <f t="shared" si="3"/>
        <v>5313193.7502631582</v>
      </c>
      <c r="H31" s="561">
        <f t="shared" si="4"/>
        <v>18091268.747105289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18091268.747105289</v>
      </c>
      <c r="E32" s="561">
        <f t="shared" si="1"/>
        <v>5313193.7502631582</v>
      </c>
      <c r="F32" s="561">
        <f t="shared" si="2"/>
        <v>0</v>
      </c>
      <c r="G32" s="561">
        <f t="shared" si="3"/>
        <v>5313193.7502631582</v>
      </c>
      <c r="H32" s="561">
        <f t="shared" si="4"/>
        <v>12778074.996842131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12778074.996842131</v>
      </c>
      <c r="E33" s="561">
        <f t="shared" si="1"/>
        <v>5313193.7502631582</v>
      </c>
      <c r="F33" s="561">
        <f t="shared" si="2"/>
        <v>0</v>
      </c>
      <c r="G33" s="561">
        <f t="shared" si="3"/>
        <v>5313193.7502631582</v>
      </c>
      <c r="H33" s="561">
        <f t="shared" si="4"/>
        <v>7464881.2465789728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7464881.2465789728</v>
      </c>
      <c r="E34" s="561">
        <f t="shared" si="1"/>
        <v>5313193.7502631582</v>
      </c>
      <c r="F34" s="561">
        <f t="shared" si="2"/>
        <v>0</v>
      </c>
      <c r="G34" s="561">
        <f t="shared" si="3"/>
        <v>5313193.7502631582</v>
      </c>
      <c r="H34" s="561">
        <f t="shared" si="4"/>
        <v>2151687.4963158146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2151687.4963158146</v>
      </c>
      <c r="E35" s="561">
        <f t="shared" si="1"/>
        <v>5313193.7502631582</v>
      </c>
      <c r="F35" s="561">
        <f t="shared" si="2"/>
        <v>0</v>
      </c>
      <c r="G35" s="561">
        <f t="shared" si="3"/>
        <v>5313193.7502631582</v>
      </c>
      <c r="H35" s="561">
        <f t="shared" si="4"/>
        <v>-3161506.2539473437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-3161506.2539473437</v>
      </c>
      <c r="E36" s="561">
        <f t="shared" si="1"/>
        <v>5313193.7502631582</v>
      </c>
      <c r="F36" s="561">
        <f t="shared" si="2"/>
        <v>0</v>
      </c>
      <c r="G36" s="561">
        <f t="shared" si="3"/>
        <v>5313193.7502631582</v>
      </c>
      <c r="H36" s="561">
        <f t="shared" si="4"/>
        <v>-8474700.0042105019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-8474700.0042105019</v>
      </c>
      <c r="E37" s="561">
        <f t="shared" si="1"/>
        <v>5313193.7502631582</v>
      </c>
      <c r="F37" s="561">
        <f t="shared" si="2"/>
        <v>0</v>
      </c>
      <c r="G37" s="561">
        <f t="shared" si="3"/>
        <v>5313193.7502631582</v>
      </c>
      <c r="H37" s="561">
        <f t="shared" si="4"/>
        <v>-13787893.75447366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-13787893.75447366</v>
      </c>
      <c r="E38" s="561">
        <f t="shared" si="1"/>
        <v>5313193.7502631582</v>
      </c>
      <c r="F38" s="561">
        <f t="shared" si="2"/>
        <v>0</v>
      </c>
      <c r="G38" s="561">
        <f t="shared" si="3"/>
        <v>5313193.7502631582</v>
      </c>
      <c r="H38" s="561">
        <f>D38-E38</f>
        <v>-19101087.504736818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-19101087.504736818</v>
      </c>
      <c r="E39" s="561">
        <f t="shared" si="1"/>
        <v>5313193.7502631582</v>
      </c>
      <c r="F39" s="561">
        <f t="shared" si="2"/>
        <v>0</v>
      </c>
      <c r="G39" s="561">
        <f t="shared" si="3"/>
        <v>5313193.7502631582</v>
      </c>
      <c r="H39" s="561">
        <f t="shared" si="4"/>
        <v>-24414281.254999977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-24414281.254999977</v>
      </c>
      <c r="E40" s="561">
        <f t="shared" si="1"/>
        <v>5313193.7502631582</v>
      </c>
      <c r="F40" s="561">
        <f t="shared" si="2"/>
        <v>29727475.005263135</v>
      </c>
      <c r="G40" s="561">
        <f t="shared" si="3"/>
        <v>-24414281.254999977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5313193.7502631582</v>
      </c>
      <c r="F41" s="561">
        <f t="shared" si="2"/>
        <v>5313193.7502631582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5313193.7502631582</v>
      </c>
      <c r="F42" s="561">
        <f t="shared" si="2"/>
        <v>5313193.7502631582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5313193.7502631582</v>
      </c>
      <c r="F43" s="561">
        <f t="shared" si="2"/>
        <v>5313193.7502631582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5313193.7502631582</v>
      </c>
      <c r="F44" s="561">
        <f t="shared" si="2"/>
        <v>5313193.7502631582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5313193.7502631582</v>
      </c>
      <c r="F45" s="561">
        <f t="shared" si="2"/>
        <v>5313193.7502631582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5313193.7502631582</v>
      </c>
      <c r="F46" s="561">
        <f t="shared" si="2"/>
        <v>5313193.7502631582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5313193.7502631582</v>
      </c>
      <c r="F47" s="561">
        <f t="shared" si="2"/>
        <v>5313193.7502631582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5313193.7502631582</v>
      </c>
      <c r="F48" s="561">
        <f t="shared" si="2"/>
        <v>5313193.7502631582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5313193.7502631582</v>
      </c>
      <c r="F49" s="561">
        <f t="shared" si="2"/>
        <v>5313193.7502631582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5313193.7502631582</v>
      </c>
      <c r="F50" s="561">
        <f t="shared" si="2"/>
        <v>5313193.7502631582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191853059.57910934</v>
      </c>
      <c r="F55" s="561"/>
      <c r="G55" s="1663" t="s">
        <v>1064</v>
      </c>
      <c r="H55" s="1667">
        <f>'Cash Flow'!N15/0.05</f>
        <v>206604761.23830923</v>
      </c>
    </row>
    <row r="56" spans="2:28">
      <c r="D56" s="1653" t="s">
        <v>1065</v>
      </c>
      <c r="E56" s="1665">
        <f>'Cash Flow'!K21/1.2</f>
        <v>6142237.2081120061</v>
      </c>
      <c r="F56" s="561"/>
      <c r="G56" s="1661" t="s">
        <v>1065</v>
      </c>
      <c r="H56" s="1668">
        <f>'Cash Flow'!N21/1.2</f>
        <v>6600664.8800384765</v>
      </c>
    </row>
    <row r="57" spans="2:28">
      <c r="D57" s="1653" t="s">
        <v>1066</v>
      </c>
      <c r="E57" s="1665">
        <f>E55*0.6</f>
        <v>115111835.7474656</v>
      </c>
      <c r="F57" s="561"/>
      <c r="G57" s="1661" t="s">
        <v>1066</v>
      </c>
      <c r="H57" s="1668">
        <f>H55*0.6</f>
        <v>123962856.74298553</v>
      </c>
    </row>
    <row r="58" spans="2:28">
      <c r="D58" s="1653" t="s">
        <v>1067</v>
      </c>
      <c r="E58" s="1665">
        <f>-PV(6.5%,34,E56)</f>
        <v>83390752.467586488</v>
      </c>
      <c r="F58" s="561"/>
      <c r="G58" s="1661" t="s">
        <v>1067</v>
      </c>
      <c r="H58" s="1668">
        <f>-PV(6.5%,30,H56)</f>
        <v>86195943.432557821</v>
      </c>
    </row>
    <row r="59" spans="2:28">
      <c r="D59" s="1652" t="s">
        <v>1068</v>
      </c>
      <c r="E59" s="1665">
        <f>E58-H27</f>
        <v>44046708.719428569</v>
      </c>
      <c r="F59" s="561"/>
      <c r="G59" s="1660" t="s">
        <v>1068</v>
      </c>
      <c r="H59" s="1668">
        <f>H58-H30</f>
        <v>62791480.935189374</v>
      </c>
    </row>
    <row r="60" spans="2:28" ht="13.5" thickBot="1">
      <c r="D60" s="1654" t="s">
        <v>1069</v>
      </c>
      <c r="E60" s="1666">
        <f>E59*GapCalc!I33</f>
        <v>37439702.411514282</v>
      </c>
      <c r="F60" s="561"/>
      <c r="G60" s="1662" t="s">
        <v>1069</v>
      </c>
      <c r="H60" s="1669">
        <f>H59*GapCalc!I33</f>
        <v>53372758.794910967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64797148.25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777175.70016753499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0</v>
      </c>
      <c r="C8" s="1417">
        <f>C7*D7</f>
        <v>623279.52191653801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623279.52191653801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8701488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165</v>
      </c>
      <c r="D19" s="57">
        <f>SUM(D15:D18)</f>
        <v>8271714.5999999996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623279.52191653801</v>
      </c>
      <c r="Y56" s="1309">
        <f>X56/'Rental Income'!D15</f>
        <v>3085.5421877056338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695863.65524987143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7">
        <f>SUM(X68,X64,X54,X39,X31)</f>
        <v>1098126.301916538</v>
      </c>
      <c r="Y70" s="1307">
        <f>X70/D10</f>
        <v>5436.2688213689999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-563.73117863100015</v>
      </c>
    </row>
    <row r="75" spans="1:25">
      <c r="A75" s="44" t="s">
        <v>260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171365.21242196797</v>
      </c>
      <c r="C9" s="446">
        <f>'Dev Summary_5-20'!B10</f>
        <v>50000</v>
      </c>
      <c r="D9" s="446">
        <f t="shared" si="0"/>
        <v>121365.21242196797</v>
      </c>
      <c r="E9" s="477">
        <f t="shared" si="1"/>
        <v>0.70822549516712585</v>
      </c>
      <c r="F9" s="477"/>
      <c r="G9" s="473" t="e">
        <f t="shared" si="2"/>
        <v>#REF!</v>
      </c>
      <c r="I9" s="53">
        <f t="shared" si="3"/>
        <v>1557.8655674724362</v>
      </c>
      <c r="J9" s="53">
        <f t="shared" si="4"/>
        <v>0.87049279905500343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527075</v>
      </c>
      <c r="C14" s="467">
        <f>'Dev Summary_5-20'!B14</f>
        <v>282276.62941911275</v>
      </c>
      <c r="D14" s="467">
        <f t="shared" si="0"/>
        <v>244798.37058088725</v>
      </c>
      <c r="E14" s="478">
        <f t="shared" si="1"/>
        <v>0.46444693939361048</v>
      </c>
      <c r="F14" s="478"/>
      <c r="G14" s="474" t="e">
        <f t="shared" si="2"/>
        <v>#REF!</v>
      </c>
      <c r="I14" s="53">
        <f t="shared" si="3"/>
        <v>4791.590909090909</v>
      </c>
      <c r="J14" s="53">
        <f t="shared" si="4"/>
        <v>2.6774103423752922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76536430.943889335</v>
      </c>
      <c r="C21" s="48">
        <v>18731659</v>
      </c>
      <c r="D21" s="48">
        <f>B21-C21</f>
        <v>57804771.943889335</v>
      </c>
      <c r="E21" s="55">
        <f>D21/B21</f>
        <v>0.75525826369232418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4962748.7255978733</v>
      </c>
      <c r="C28" s="50"/>
      <c r="D28" s="50">
        <f t="shared" si="5"/>
        <v>4962748.7255978733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89261078.843749985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80834.970959374987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72751.473863437495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649517.04533593741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89261078.843749985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20530.048134062497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823633.53829281242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71408863.074999988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98157.90903124999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71408863.074999988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105245.40903124999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527075</v>
      </c>
      <c r="E58" s="748">
        <f>'PreDev Flow of Funds'!Y46</f>
        <v>96238.814999999988</v>
      </c>
      <c r="F58" s="748">
        <f>(D58-E58)/18</f>
        <v>23935.343611111111</v>
      </c>
      <c r="G58" s="748">
        <f>$F$58</f>
        <v>23935.343611111111</v>
      </c>
      <c r="H58" s="748">
        <f t="shared" ref="H58:W58" si="18">$F$58</f>
        <v>23935.343611111111</v>
      </c>
      <c r="I58" s="748">
        <f t="shared" si="18"/>
        <v>23935.343611111111</v>
      </c>
      <c r="J58" s="748">
        <f t="shared" si="18"/>
        <v>23935.343611111111</v>
      </c>
      <c r="K58" s="748">
        <f t="shared" si="18"/>
        <v>23935.343611111111</v>
      </c>
      <c r="L58" s="748">
        <f t="shared" si="18"/>
        <v>23935.343611111111</v>
      </c>
      <c r="M58" s="748">
        <f t="shared" si="18"/>
        <v>23935.343611111111</v>
      </c>
      <c r="N58" s="748">
        <f t="shared" si="18"/>
        <v>23935.343611111111</v>
      </c>
      <c r="O58" s="748">
        <f t="shared" si="18"/>
        <v>23935.343611111111</v>
      </c>
      <c r="P58" s="748">
        <f t="shared" si="18"/>
        <v>23935.343611111111</v>
      </c>
      <c r="Q58" s="748">
        <f t="shared" si="18"/>
        <v>23935.343611111111</v>
      </c>
      <c r="R58" s="748">
        <f t="shared" si="18"/>
        <v>23935.343611111111</v>
      </c>
      <c r="S58" s="748">
        <f t="shared" si="18"/>
        <v>23935.343611111111</v>
      </c>
      <c r="T58" s="748">
        <f t="shared" si="18"/>
        <v>23935.343611111111</v>
      </c>
      <c r="U58" s="748">
        <f t="shared" si="18"/>
        <v>23935.343611111111</v>
      </c>
      <c r="V58" s="748">
        <f t="shared" si="18"/>
        <v>23935.343611111111</v>
      </c>
      <c r="W58" s="748">
        <f t="shared" si="18"/>
        <v>23935.343611111111</v>
      </c>
      <c r="X58" s="748"/>
      <c r="Y58" s="748">
        <f t="shared" si="3"/>
        <v>527075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171365.21242196797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71573682.218291461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-10048625.371135455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-8161416.2424999988</v>
      </c>
      <c r="D116" s="1773"/>
    </row>
    <row r="117" spans="2:19" ht="16.5" thickBot="1">
      <c r="B117" s="398" t="s">
        <v>602</v>
      </c>
      <c r="C117" s="1776">
        <f>C118-C114-C116-C115</f>
        <v>58371053.067500003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