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and Banking and Preentitlment\"/>
    </mc:Choice>
  </mc:AlternateContent>
  <xr:revisionPtr revIDLastSave="0" documentId="13_ncr:1_{AB290147-855D-44E9-A445-8BC2D3F68B2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E55" i="23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E43" i="28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<sst xmlns="http://schemas.openxmlformats.org/spreadsheetml/2006/main" count="1996" uniqueCount="1107">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</sst>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8" workbookViewId="0">
      <selection activeCell="F15" sqref="F15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1092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245772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245772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1096</v>
      </c>
      <c r="B14" s="1691"/>
      <c r="C14" s="1691"/>
      <c r="D14" s="1715" t="s">
        <v>1105</v>
      </c>
      <c r="E14" s="700"/>
    </row>
    <row r="15" spans="1:5">
      <c r="A15" s="1582" t="s">
        <v>1093</v>
      </c>
      <c r="B15" s="1678"/>
      <c r="C15" s="1685"/>
      <c r="D15" s="1679" cm="1">
        <f t="array" aca="1" ref="D15" ca="1">IF(D14="Year 7 Takeout", INDIRECT("GapCalc!K46"), INDIRECT("GapCalc!K58"))</f>
        <v>9.3620169040383144E-2</v>
      </c>
      <c r="E15" s="700"/>
    </row>
    <row r="16" spans="1:5">
      <c r="A16" s="1681" t="s">
        <v>1094</v>
      </c>
      <c r="B16" s="702"/>
      <c r="D16" s="1680" cm="1">
        <f t="array" aca="1" ref="D16" ca="1">IF(D14="Year 7 Takeout", INDIRECT("GapCalc!K51"), INDIRECT("GapCalc!K63"))</f>
        <v>9.3620169040383186E-2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1095</v>
      </c>
      <c r="B18" s="47"/>
      <c r="C18" s="47"/>
      <c r="D18" s="1684" cm="1">
        <f t="array" aca="1" ref="D18" ca="1">IF(D14="Year 7 Takeout", INDIRECT("GapCalc!I55"), INDIRECT("GapCalc!I67"))</f>
        <v>691147.36191234365</v>
      </c>
      <c r="E18" s="1754">
        <f ca="1">ABS(D18/D28)</f>
        <v>5.1080797984136561E-3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694.44444444444446</v>
      </c>
    </row>
    <row r="22" spans="1:6">
      <c r="A22" s="64"/>
      <c r="B22" s="4" t="s">
        <v>16</v>
      </c>
      <c r="C22" s="4"/>
      <c r="D22" s="1531">
        <f>'Development Budget'!G44</f>
        <v>101264161.87499999</v>
      </c>
      <c r="E22" s="1531">
        <f t="shared" ref="E22:E28" si="0">D22/$D$10</f>
        <v>401841.91220238089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757075</v>
      </c>
      <c r="E24" s="1531">
        <f t="shared" si="0"/>
        <v>3004.2658730158732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8961484.2873379979</v>
      </c>
      <c r="E25" s="1531">
        <f t="shared" si="0"/>
        <v>35561.445584674591</v>
      </c>
    </row>
    <row r="26" spans="1:6">
      <c r="A26" s="64"/>
      <c r="B26" s="4" t="s">
        <v>20</v>
      </c>
      <c r="C26" s="4"/>
      <c r="D26" s="1531">
        <f>'Development Budget'!G181</f>
        <v>7025139.6626465786</v>
      </c>
      <c r="E26" s="1531">
        <f t="shared" si="0"/>
        <v>27877.538343835629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14397629.952123389</v>
      </c>
      <c r="E27" s="1532">
        <f t="shared" si="0"/>
        <v>57133.452190965829</v>
      </c>
    </row>
    <row r="28" spans="1:6" ht="16.5" thickTop="1">
      <c r="A28" s="4"/>
      <c r="B28" s="4"/>
      <c r="C28" s="150" t="s">
        <v>14</v>
      </c>
      <c r="D28" s="1533">
        <f>SUM(D21:D27)</f>
        <v>135304730.77710795</v>
      </c>
      <c r="E28" s="1531">
        <f t="shared" si="0"/>
        <v>536923.5348297935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90848629.917484343</v>
      </c>
      <c r="E32" s="1586">
        <f t="shared" si="1"/>
        <v>360510.43618049345</v>
      </c>
    </row>
    <row r="33" spans="1:5">
      <c r="A33" s="64"/>
      <c r="B33" s="4" t="s">
        <v>1052</v>
      </c>
      <c r="C33" s="4"/>
      <c r="D33" s="1587">
        <f>GapCalc!D29</f>
        <v>6668415.1289435411</v>
      </c>
      <c r="E33" s="1586">
        <f>D33/$D$10</f>
        <v>26461.964797395005</v>
      </c>
    </row>
    <row r="34" spans="1:5">
      <c r="A34" s="65"/>
      <c r="B34" s="4" t="s">
        <v>26</v>
      </c>
      <c r="C34" s="4"/>
      <c r="D34" s="1587">
        <f>GapCalc!D30</f>
        <v>37787685.730680063</v>
      </c>
      <c r="E34" s="1586">
        <f>D34/$D$10</f>
        <v>149951.133851905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135304730.77710795</v>
      </c>
      <c r="E36" s="1586">
        <f>D36/$D$10</f>
        <v>536923.5348297935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95751851.708961919</v>
      </c>
      <c r="E40" s="1586">
        <f t="shared" ref="E40" si="2">D40/$D$10</f>
        <v>379967.66551175364</v>
      </c>
    </row>
    <row r="41" spans="1:5">
      <c r="A41" s="60"/>
      <c r="B41" s="4" t="s">
        <v>1052</v>
      </c>
      <c r="C41" s="4"/>
      <c r="D41" s="1591">
        <f>GapCalc!D29+GapCalc!D38</f>
        <v>6668415.1289435411</v>
      </c>
      <c r="E41" s="1586">
        <f>D41/$D$10</f>
        <v>26461.964797395005</v>
      </c>
    </row>
    <row r="42" spans="1:5">
      <c r="A42" s="60"/>
      <c r="B42" s="1557" t="s">
        <v>26</v>
      </c>
      <c r="C42" s="4"/>
      <c r="D42" s="1592">
        <f>GapCalc!D30+GapCalc!D39</f>
        <v>37787685.730680063</v>
      </c>
      <c r="E42" s="1586">
        <f>D42/$D$10</f>
        <v>149951.133851905</v>
      </c>
    </row>
    <row r="43" spans="1:5">
      <c r="A43" s="60"/>
      <c r="B43" s="1714" t="s">
        <v>1104</v>
      </c>
      <c r="C43" s="4"/>
      <c r="D43" s="1592">
        <f>IF(D32-D40&gt;0,0,D32-D40)</f>
        <v>-4903221.7914775759</v>
      </c>
      <c r="E43" s="1586">
        <f>D43/$D$10</f>
        <v>-19457.229331260223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135304730.77710795</v>
      </c>
      <c r="E45" s="1588">
        <f>D45/$D$10</f>
        <v>536923.5348297935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0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245772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245772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694.44444444444446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101264161.87499999</v>
      </c>
      <c r="E18" s="1531">
        <f t="shared" ref="E18:E24" si="0">D18/$D$11</f>
        <v>401841.91220238089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757075</v>
      </c>
      <c r="E20" s="1531">
        <f t="shared" si="0"/>
        <v>3004.2658730158732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8961484.2873379979</v>
      </c>
      <c r="E21" s="1531">
        <f t="shared" si="0"/>
        <v>35561.445584674591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7025139.6626465786</v>
      </c>
      <c r="E22" s="1531">
        <f t="shared" si="0"/>
        <v>27877.538343835629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14397629.952123389</v>
      </c>
      <c r="E23" s="1532">
        <f t="shared" si="0"/>
        <v>57133.452190965829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135304730.77710795</v>
      </c>
      <c r="E24" s="1531">
        <f t="shared" si="0"/>
        <v>536923.5348297935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90848629.917484343</v>
      </c>
      <c r="E28" s="1586">
        <f t="shared" si="1"/>
        <v>360510.43618049345</v>
      </c>
      <c r="F28" s="62"/>
      <c r="G28" s="1419" t="s">
        <v>609</v>
      </c>
      <c r="H28" s="1608">
        <f>H32/D11</f>
        <v>26461.964797395005</v>
      </c>
      <c r="I28" s="703"/>
    </row>
    <row r="29" spans="1:10" ht="15.75">
      <c r="A29" s="64"/>
      <c r="B29" s="4" t="s">
        <v>1052</v>
      </c>
      <c r="C29" s="4"/>
      <c r="D29" s="1587">
        <v>6668415.1289435411</v>
      </c>
      <c r="E29" s="1586">
        <f>D29/$D$11</f>
        <v>26461.964797395005</v>
      </c>
      <c r="F29" s="520"/>
      <c r="G29" s="1420" t="s">
        <v>972</v>
      </c>
      <c r="H29" s="1609">
        <f>H33/D11</f>
        <v>149951.133851905</v>
      </c>
      <c r="I29" s="703"/>
    </row>
    <row r="30" spans="1:10" ht="16.5" thickBot="1">
      <c r="A30" s="65"/>
      <c r="B30" s="4" t="s">
        <v>26</v>
      </c>
      <c r="C30" s="4"/>
      <c r="D30" s="1587">
        <v>37787685.730680063</v>
      </c>
      <c r="E30" s="1586">
        <f>D30/$D$11</f>
        <v>149951.133851905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6668415.1289435411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135304730.77710795</v>
      </c>
      <c r="E33" s="1586">
        <f>D33/$D$11</f>
        <v>536923.5348297935</v>
      </c>
      <c r="F33" s="62"/>
      <c r="G33" s="1441" t="s">
        <v>972</v>
      </c>
      <c r="H33" s="1611">
        <f>D30+D39</f>
        <v>37787685.730680063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44456100.859623604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0.32856279750378897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95751851.708961919</v>
      </c>
      <c r="E37" s="1586">
        <f t="shared" ref="E37" si="2">D37/$D$11</f>
        <v>379967.66551175364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6668415.1289435411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37787685.730680063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4903221.7914775759</v>
      </c>
      <c r="E41" s="1588">
        <f>D41/$D$11</f>
        <v>19457.229331260223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95751851.708961919</v>
      </c>
      <c r="E42" s="1586">
        <f>D42/$D$11</f>
        <v>379967.66551175364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-735483.26872163638</v>
      </c>
      <c r="I43" s="1596">
        <f>D38+H43</f>
        <v>-735483.26872163638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-4167738.5227559395</v>
      </c>
      <c r="I44" s="1596">
        <f>D39+H44</f>
        <v>-4167738.5227559395</v>
      </c>
      <c r="J44" s="690"/>
    </row>
    <row r="45" spans="1:12" ht="15.75">
      <c r="A45" s="60"/>
      <c r="D45" s="159"/>
      <c r="E45" s="159"/>
      <c r="G45" s="4"/>
      <c r="H45" s="1705" t="s">
        <v>1097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38375160.988305554</v>
      </c>
      <c r="J46" s="1582" t="s">
        <v>1084</v>
      </c>
      <c r="K46" s="1583">
        <f>'Cash Flow'!C76</f>
        <v>9.3620169040383144E-2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13020343.495678117</v>
      </c>
      <c r="J47" s="1584" t="s">
        <v>1100</v>
      </c>
      <c r="K47" s="1607">
        <f>'Cash Flow'!C70</f>
        <v>62551512.410938054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587475.25762549043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6772087.2332303943</v>
      </c>
      <c r="J51" s="1585" t="s">
        <v>1084</v>
      </c>
      <c r="K51" s="1618">
        <f>'Cash Flow'!H76</f>
        <v>9.3620169040383186E-2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6668415.1289435411</v>
      </c>
      <c r="J52" s="1584" t="s">
        <v>1099</v>
      </c>
      <c r="K52" s="1607">
        <f>'Cash Flow'!H70</f>
        <v>11038502.190165542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103672.10428685322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691147.36191234365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1098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55344062.46262905</v>
      </c>
      <c r="J58" s="1582" t="s">
        <v>1084</v>
      </c>
      <c r="K58" s="1583">
        <f>'Cash Flow'!C103</f>
        <v>0.13873074010680314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1099</v>
      </c>
      <c r="K59" s="1607">
        <f>'Cash Flow'!C97</f>
        <v>90210821.814085349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17556376.731948987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7608474.3215550976</v>
      </c>
      <c r="J63" s="1585" t="s">
        <v>1084</v>
      </c>
      <c r="K63" s="1618">
        <f>'Cash Flow'!H103</f>
        <v>8.5978420724079824E-2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6668415.1289435411</v>
      </c>
      <c r="J64" s="1584" t="s">
        <v>1099</v>
      </c>
      <c r="K64" s="1607">
        <f>'Cash Flow'!H97</f>
        <v>12401813.144134808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940059.1926115565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18496435.924560543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11" zoomScale="130" zoomScaleNormal="130" workbookViewId="0">
      <selection activeCell="O32" sqref="O32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0.1984126984126984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0.79365079365079361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55</v>
      </c>
      <c r="E9" s="278">
        <f>IF(D9="","",D9/D$15)</f>
        <v>0.21825396825396826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1088</v>
      </c>
      <c r="N9" s="298">
        <f>E46+E183</f>
        <v>50</v>
      </c>
      <c r="O9" s="332">
        <f t="shared" si="0"/>
        <v>0.1984126984126984</v>
      </c>
    </row>
    <row r="10" spans="2:19" ht="12.75" customHeight="1">
      <c r="B10" s="268"/>
      <c r="C10" s="209" t="s">
        <v>53</v>
      </c>
      <c r="D10" s="210">
        <f>SUM(E24,E33,E42,E51,E60,E78,E69,E87,E96,E116,E106)</f>
        <v>43</v>
      </c>
      <c r="E10" s="278">
        <f>IF(D10="","",D10/D$15)</f>
        <v>0.17063492063492064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154</v>
      </c>
      <c r="E11" s="278">
        <f>IF(D11="","",D11/D$15)</f>
        <v>0.61111111111111116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200</v>
      </c>
      <c r="O13" s="332">
        <f>N13/$N$18</f>
        <v>0.79365079365079361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250</v>
      </c>
      <c r="O16" s="283">
        <f>SUM(O7:O15)</f>
        <v>0.99206349206349198</v>
      </c>
    </row>
    <row r="17" spans="2:21" ht="12.75" customHeight="1">
      <c r="B17" s="268"/>
      <c r="C17" s="201" t="s">
        <v>62</v>
      </c>
      <c r="E17" s="284">
        <f>SUM(J28+J37,J46,J55,J64,J82,J91,J73,J100,J120,J110)</f>
        <v>204810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906717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0.1984126984126984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10000</v>
      </c>
      <c r="K41" s="292">
        <f>E41*I41</f>
        <v>48525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13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8710</v>
      </c>
      <c r="K42" s="292">
        <f>E42*I42</f>
        <v>27040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12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12000</v>
      </c>
      <c r="K43" s="292">
        <f>E43*I43</f>
        <v>29952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50</v>
      </c>
      <c r="F46" s="203"/>
      <c r="G46" s="203"/>
      <c r="H46" s="246"/>
      <c r="I46" s="247"/>
      <c r="J46" s="296">
        <f>SUM(J41:J45)</f>
        <v>30710</v>
      </c>
      <c r="K46" s="297">
        <f>SUM(K41:K45)</f>
        <v>105517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12000</v>
      </c>
      <c r="K50" s="292">
        <f>E50*I50</f>
        <v>72000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20100</v>
      </c>
      <c r="K51" s="292">
        <f>E51*I51</f>
        <v>93600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140000</v>
      </c>
      <c r="K52" s="292">
        <f>E52*I52</f>
        <v>635600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694"/>
      <c r="Q55" s="201" t="s">
        <v>1106</v>
      </c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219" zoomScaleNormal="100" workbookViewId="0">
      <selection activeCell="F95" sqref="F95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4903221.7914775759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16380000</v>
      </c>
      <c r="N18" s="1674">
        <v>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694.44444444444446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80891329.5</v>
      </c>
      <c r="H32" s="1039"/>
      <c r="I32" s="950">
        <f t="shared" si="0"/>
        <v>320997.33928571426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88980462.450000003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73731600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8089132.9500000002</v>
      </c>
      <c r="G36" s="854">
        <f>F36</f>
        <v>8089132.9500000002</v>
      </c>
      <c r="H36" s="950"/>
      <c r="I36" s="950">
        <f t="shared" si="0"/>
        <v>32099.73392857143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5662393.0650000004</v>
      </c>
      <c r="H37" s="1072"/>
      <c r="I37" s="950">
        <f t="shared" si="0"/>
        <v>22469.813750000001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5662393.0650000004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4044566.4750000001</v>
      </c>
      <c r="H38" s="1072"/>
      <c r="I38" s="950">
        <f t="shared" si="0"/>
        <v>16049.866964285715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4044566.4750000001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1213369.9424999999</v>
      </c>
      <c r="H40" s="1072"/>
      <c r="I40" s="950">
        <f t="shared" si="0"/>
        <v>4814.9600892857143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1213369.9424999999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1213369.9424999999</v>
      </c>
      <c r="H41" s="1072"/>
      <c r="I41" s="950">
        <f t="shared" si="0"/>
        <v>4814.9600892857143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1213369.9424999999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101264161.87499999</v>
      </c>
      <c r="H44" s="1324"/>
      <c r="I44" s="1325">
        <f t="shared" si="0"/>
        <v>401841.91220238089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101264161.87499999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101264161.87499999</v>
      </c>
      <c r="H46" s="1333"/>
      <c r="I46" s="1325">
        <f t="shared" si="0"/>
        <v>401841.91220238089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101264161.87499999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10126416.1875</v>
      </c>
      <c r="H47" s="1039"/>
      <c r="I47" s="950">
        <f t="shared" si="0"/>
        <v>40184.191220238092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10126416.1875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1091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2280079.5953124999</v>
      </c>
      <c r="H59" s="1128"/>
      <c r="I59" s="950">
        <f t="shared" si="0"/>
        <v>9047.9349020337304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253160.40468749998</v>
      </c>
      <c r="H67" s="1039"/>
      <c r="I67" s="950">
        <f t="shared" si="0"/>
        <v>1004.6047805059522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253160.40468749998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444160.40468749998</v>
      </c>
      <c r="H80" s="1101"/>
      <c r="I80" s="950">
        <f t="shared" si="0"/>
        <v>1762.5412884424602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444160.40468749998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657075</v>
      </c>
      <c r="H90" s="1111"/>
      <c r="I90" s="950">
        <f t="shared" si="3"/>
        <v>2607.4404761904761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657075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0</v>
      </c>
      <c r="G91" s="1110">
        <v>100000</v>
      </c>
      <c r="H91" s="1111"/>
      <c r="I91" s="950">
        <f t="shared" si="3"/>
        <v>396.82539682539681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0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v>0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2970324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757075</v>
      </c>
      <c r="H97" s="1101"/>
      <c r="I97" s="950">
        <f t="shared" si="3"/>
        <v>3004.2658730158732</v>
      </c>
      <c r="J97" s="1102"/>
      <c r="K97" s="1166">
        <f>I97/I250</f>
        <v>5.5953328139513115E-3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757075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355319.64783155709</v>
      </c>
      <c r="H102" s="1111"/>
      <c r="I102" s="950">
        <f t="shared" si="3"/>
        <v>1409.9986025061789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355319.64783155709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340319.64783155709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3670806.6508688768</v>
      </c>
      <c r="N103" s="1172">
        <v>6806392.9566311417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355319.64783155709</v>
      </c>
      <c r="H114" s="1101"/>
      <c r="I114" s="950">
        <f t="shared" si="3"/>
        <v>1409.9986025061789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355319.64783155709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6404828.4091826472</v>
      </c>
      <c r="H116" s="1177"/>
      <c r="I116" s="950">
        <f t="shared" si="3"/>
        <v>25415.985750724791</v>
      </c>
      <c r="J116" s="1178"/>
      <c r="K116" s="1179" t="s">
        <v>823</v>
      </c>
      <c r="L116" s="1073"/>
      <c r="M116" s="1180">
        <f>0.5*Data!C20*Data!C17/12*Data!C19</f>
        <v>6404828.4091826472</v>
      </c>
      <c r="N116" s="1181">
        <v>6404828.4091826472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6404828.4091826472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908486.29917484347</v>
      </c>
      <c r="H117" s="1094"/>
      <c r="I117" s="950">
        <f t="shared" si="3"/>
        <v>3605.1043618049343</v>
      </c>
      <c r="J117" s="1015"/>
      <c r="K117" s="1184" t="s">
        <v>825</v>
      </c>
      <c r="L117" s="1185"/>
      <c r="M117" s="1186">
        <f>0.01*Data!C20</f>
        <v>908486.29917484347</v>
      </c>
      <c r="N117" s="1172">
        <v>908486.29917484347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908486.29917484347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1376496.634104281</v>
      </c>
      <c r="H121" s="1117"/>
      <c r="I121" s="950">
        <f t="shared" si="3"/>
        <v>5462.2882305725434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1376496.634104281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1376496.634104281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146272.94487622651</v>
      </c>
      <c r="H125" s="1111"/>
      <c r="I125" s="950">
        <f t="shared" si="3"/>
        <v>580.44819395327977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146272.94487622651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136272.94487622651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136272.94487622651</v>
      </c>
      <c r="N126" s="1172">
        <v>136272.94487622651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8851484.2873379979</v>
      </c>
      <c r="H148" s="1128"/>
      <c r="I148" s="950">
        <f t="shared" si="6"/>
        <v>35124.937648166655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8851484.2873379979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957518.51708961918</v>
      </c>
      <c r="H151" s="1093"/>
      <c r="I151" s="950">
        <f t="shared" ref="I151:I158" si="7">G151/$F$9</f>
        <v>3799.6766551175365</v>
      </c>
      <c r="J151" s="1094"/>
      <c r="K151" s="1244" t="s">
        <v>863</v>
      </c>
      <c r="L151" s="1245"/>
      <c r="M151" s="1558">
        <f>Data!C31*Data!C30</f>
        <v>957518.51708961918</v>
      </c>
      <c r="N151" s="1345">
        <v>957518.51708961918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91059.686861470691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1071193.7372294138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3213581.211688241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1090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8176376.6925735902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7025139.6626465786</v>
      </c>
      <c r="H178" s="1093"/>
      <c r="I178" s="950">
        <f t="shared" si="6"/>
        <v>27877.538343835629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7025139.6626465786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7025139.6626465786</v>
      </c>
      <c r="H181" s="1128"/>
      <c r="I181" s="950">
        <f t="shared" si="6"/>
        <v>27877.538343835629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7025139.6626465786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900346.4501251817</v>
      </c>
      <c r="H233" s="1111"/>
      <c r="I233" s="950">
        <f t="shared" si="8"/>
        <v>3572.803373512626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900346.4501251817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1339096.4501251816</v>
      </c>
      <c r="H234" s="1282"/>
      <c r="I234" s="950">
        <f t="shared" si="8"/>
        <v>5313.874802084054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1339096.4501251816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135304730.77710795</v>
      </c>
      <c r="H250" s="1298"/>
      <c r="I250" s="1299">
        <f>G250/F9</f>
        <v>536923.5348297935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550.52947763418103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245772</v>
      </c>
      <c r="D5" t="s">
        <v>428</v>
      </c>
      <c r="G5" s="510"/>
    </row>
    <row r="6" spans="1:15">
      <c r="B6" s="1350" t="s">
        <v>12</v>
      </c>
      <c r="C6" s="700">
        <f>'Construction Calculation'!C14</f>
        <v>245772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40962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126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1102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90848629.917484343</v>
      </c>
      <c r="D20" s="1375">
        <f>MIN(D22,GapCalc!D24)</f>
        <v>87948075.005120173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87948075.005120173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-6647139.662646546</v>
      </c>
      <c r="E24" s="1384"/>
      <c r="G24" s="1377"/>
      <c r="H24" s="1385"/>
      <c r="K24" s="1425"/>
    </row>
    <row r="25" spans="1:13">
      <c r="A25" s="1371"/>
      <c r="B25" t="s">
        <v>1103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6647139.6626465786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124102497.59999999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95751851.708961919</v>
      </c>
      <c r="D30" s="1376">
        <f>-PV($C$24/12,$C$29*12,C27/12)</f>
        <v>95751851.708961919</v>
      </c>
      <c r="E30" s="1384"/>
      <c r="F30" t="s">
        <v>438</v>
      </c>
      <c r="G30" s="1381"/>
      <c r="H30" s="1376">
        <f>PV(G23,G29,-'Cash Flow'!E41*H28,)</f>
        <v>10716104.354064103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1103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6647139.6626465786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107119373.72294137</v>
      </c>
      <c r="D38" s="516" t="s">
        <v>1039</v>
      </c>
      <c r="E38" s="1391">
        <f>C37*GapCalc!D24</f>
        <v>108243784.62168637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109323932.32614084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10880604</v>
      </c>
      <c r="F12" s="89">
        <f>E12*(1+$D$12)</f>
        <v>11152619.1</v>
      </c>
      <c r="G12" s="89">
        <f t="shared" ref="G12:AH12" si="0">F12*(1+$D$12)</f>
        <v>11431434.577499999</v>
      </c>
      <c r="H12" s="89">
        <f t="shared" si="0"/>
        <v>11717220.441937497</v>
      </c>
      <c r="I12" s="89">
        <f t="shared" si="0"/>
        <v>12010150.952985933</v>
      </c>
      <c r="J12" s="89">
        <f t="shared" si="0"/>
        <v>12310404.72681058</v>
      </c>
      <c r="K12" s="89">
        <f t="shared" si="0"/>
        <v>12618164.844980843</v>
      </c>
      <c r="L12" s="89">
        <f t="shared" si="0"/>
        <v>12933618.966105362</v>
      </c>
      <c r="M12" s="89">
        <f t="shared" si="0"/>
        <v>13256959.440257994</v>
      </c>
      <c r="N12" s="89">
        <f t="shared" si="0"/>
        <v>13588383.426264443</v>
      </c>
      <c r="O12" s="89">
        <f t="shared" si="0"/>
        <v>13928093.011921052</v>
      </c>
      <c r="P12" s="89">
        <f t="shared" si="0"/>
        <v>14276295.337219076</v>
      </c>
      <c r="Q12" s="89">
        <f t="shared" si="0"/>
        <v>14633202.720649552</v>
      </c>
      <c r="R12" s="89">
        <f t="shared" si="0"/>
        <v>14999032.788665788</v>
      </c>
      <c r="S12" s="90">
        <f t="shared" si="0"/>
        <v>15374008.608382432</v>
      </c>
      <c r="T12" s="89">
        <f t="shared" si="0"/>
        <v>15758358.82359199</v>
      </c>
      <c r="U12" s="89">
        <f t="shared" si="0"/>
        <v>16152317.794181788</v>
      </c>
      <c r="V12" s="89">
        <f t="shared" si="0"/>
        <v>16556125.739036331</v>
      </c>
      <c r="W12" s="89">
        <f t="shared" si="0"/>
        <v>16970028.882512238</v>
      </c>
      <c r="X12" s="89">
        <f t="shared" si="0"/>
        <v>17394279.604575042</v>
      </c>
      <c r="Y12" s="89">
        <f t="shared" si="0"/>
        <v>17829136.594689418</v>
      </c>
      <c r="Z12" s="89">
        <f t="shared" si="0"/>
        <v>18274865.009556651</v>
      </c>
      <c r="AA12" s="89">
        <f t="shared" si="0"/>
        <v>18731736.634795565</v>
      </c>
      <c r="AB12" s="89">
        <f t="shared" si="0"/>
        <v>19200030.050665453</v>
      </c>
      <c r="AC12" s="89">
        <f t="shared" si="0"/>
        <v>19680030.801932089</v>
      </c>
      <c r="AD12" s="89">
        <f t="shared" si="0"/>
        <v>20172031.571980391</v>
      </c>
      <c r="AE12" s="89">
        <f t="shared" si="0"/>
        <v>20676332.361279897</v>
      </c>
      <c r="AF12" s="89">
        <f t="shared" si="0"/>
        <v>21193240.670311894</v>
      </c>
      <c r="AG12" s="89">
        <f t="shared" si="0"/>
        <v>21723071.687069688</v>
      </c>
      <c r="AH12" s="89">
        <f t="shared" si="0"/>
        <v>22266148.47924643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-544309.20000000007</v>
      </c>
      <c r="F14" s="100">
        <f t="shared" ref="F14:AH14" si="2">-((F12+F13)*$C$14)</f>
        <v>-557916.93000000005</v>
      </c>
      <c r="G14" s="100">
        <f t="shared" si="2"/>
        <v>-571864.85325000004</v>
      </c>
      <c r="H14" s="100">
        <f t="shared" si="2"/>
        <v>-586161.47458124987</v>
      </c>
      <c r="I14" s="100">
        <f t="shared" si="2"/>
        <v>-600815.5114457811</v>
      </c>
      <c r="J14" s="100">
        <f t="shared" si="2"/>
        <v>-615835.89923192549</v>
      </c>
      <c r="K14" s="100">
        <f t="shared" si="2"/>
        <v>-631231.79671272356</v>
      </c>
      <c r="L14" s="100">
        <f t="shared" si="2"/>
        <v>-647012.5916305416</v>
      </c>
      <c r="M14" s="100">
        <f t="shared" si="2"/>
        <v>-663187.90642130503</v>
      </c>
      <c r="N14" s="100">
        <f t="shared" si="2"/>
        <v>-679767.60408183758</v>
      </c>
      <c r="O14" s="100">
        <f t="shared" si="2"/>
        <v>-696761.79418388335</v>
      </c>
      <c r="P14" s="100">
        <f t="shared" si="2"/>
        <v>-714180.83903848042</v>
      </c>
      <c r="Q14" s="100">
        <f t="shared" si="2"/>
        <v>-732035.36001444235</v>
      </c>
      <c r="R14" s="100">
        <f t="shared" si="2"/>
        <v>-750336.24401480332</v>
      </c>
      <c r="S14" s="101">
        <f t="shared" si="2"/>
        <v>-769094.65011517331</v>
      </c>
      <c r="T14" s="100">
        <f t="shared" si="2"/>
        <v>-788322.01636805246</v>
      </c>
      <c r="U14" s="100">
        <f t="shared" si="2"/>
        <v>-808030.06677725376</v>
      </c>
      <c r="V14" s="100">
        <f t="shared" si="2"/>
        <v>-828230.81844668498</v>
      </c>
      <c r="W14" s="100">
        <f t="shared" si="2"/>
        <v>-848936.58890785207</v>
      </c>
      <c r="X14" s="100">
        <f t="shared" si="2"/>
        <v>-870160.00363054825</v>
      </c>
      <c r="Y14" s="100">
        <f t="shared" si="2"/>
        <v>-891914.00372131192</v>
      </c>
      <c r="Z14" s="100">
        <f t="shared" si="2"/>
        <v>-914211.85381434474</v>
      </c>
      <c r="AA14" s="100">
        <f t="shared" si="2"/>
        <v>-937067.15015970322</v>
      </c>
      <c r="AB14" s="100">
        <f t="shared" si="2"/>
        <v>-960493.82891369564</v>
      </c>
      <c r="AC14" s="100">
        <f t="shared" si="2"/>
        <v>-984506.17463653802</v>
      </c>
      <c r="AD14" s="100">
        <f t="shared" si="2"/>
        <v>-1009118.8290024514</v>
      </c>
      <c r="AE14" s="100">
        <f t="shared" si="2"/>
        <v>-1034346.7997275125</v>
      </c>
      <c r="AF14" s="100">
        <f t="shared" si="2"/>
        <v>-1060205.4697207005</v>
      </c>
      <c r="AG14" s="100">
        <f t="shared" si="2"/>
        <v>-1086710.6064637178</v>
      </c>
      <c r="AH14" s="100">
        <f t="shared" si="2"/>
        <v>-1113878.3716253105</v>
      </c>
    </row>
    <row r="15" spans="1:34">
      <c r="A15" s="76"/>
      <c r="B15" s="102" t="s">
        <v>312</v>
      </c>
      <c r="C15" s="76"/>
      <c r="D15" s="76"/>
      <c r="E15" s="95">
        <f>SUM(E12:E14)</f>
        <v>10341874.800000001</v>
      </c>
      <c r="F15" s="95">
        <f t="shared" ref="F15:AH15" si="3">SUM(F12:F14)</f>
        <v>10600421.67</v>
      </c>
      <c r="G15" s="103">
        <f t="shared" si="3"/>
        <v>10865432.211749999</v>
      </c>
      <c r="H15" s="104">
        <f t="shared" si="3"/>
        <v>11137068.017043747</v>
      </c>
      <c r="I15" s="104">
        <f t="shared" si="3"/>
        <v>11415494.717469839</v>
      </c>
      <c r="J15" s="95">
        <f t="shared" si="3"/>
        <v>11700882.085406585</v>
      </c>
      <c r="K15" s="103">
        <f t="shared" si="3"/>
        <v>11993404.137541749</v>
      </c>
      <c r="L15" s="95">
        <f t="shared" si="3"/>
        <v>12293239.24098029</v>
      </c>
      <c r="M15" s="95">
        <f t="shared" si="3"/>
        <v>12600570.222004794</v>
      </c>
      <c r="N15" s="95">
        <f t="shared" si="3"/>
        <v>12915584.477554914</v>
      </c>
      <c r="O15" s="95">
        <f t="shared" si="3"/>
        <v>13238474.089493783</v>
      </c>
      <c r="P15" s="95">
        <f t="shared" si="3"/>
        <v>13569435.941731127</v>
      </c>
      <c r="Q15" s="95">
        <f t="shared" si="3"/>
        <v>13908671.840274403</v>
      </c>
      <c r="R15" s="95">
        <f t="shared" si="3"/>
        <v>14256388.636281261</v>
      </c>
      <c r="S15" s="96">
        <f t="shared" si="3"/>
        <v>14612798.352188293</v>
      </c>
      <c r="T15" s="95">
        <f t="shared" si="3"/>
        <v>14978118.310992997</v>
      </c>
      <c r="U15" s="95">
        <f t="shared" si="3"/>
        <v>15352571.268767821</v>
      </c>
      <c r="V15" s="95">
        <f t="shared" si="3"/>
        <v>15736385.550487014</v>
      </c>
      <c r="W15" s="95">
        <f t="shared" si="3"/>
        <v>16129795.189249188</v>
      </c>
      <c r="X15" s="95">
        <f t="shared" si="3"/>
        <v>16533040.068980414</v>
      </c>
      <c r="Y15" s="95">
        <f t="shared" si="3"/>
        <v>16946366.070704926</v>
      </c>
      <c r="Z15" s="95">
        <f t="shared" si="3"/>
        <v>17370025.222472548</v>
      </c>
      <c r="AA15" s="95">
        <f t="shared" si="3"/>
        <v>17804275.853034362</v>
      </c>
      <c r="AB15" s="95">
        <f t="shared" si="3"/>
        <v>18249382.749360215</v>
      </c>
      <c r="AC15" s="95">
        <f t="shared" si="3"/>
        <v>18705617.31809422</v>
      </c>
      <c r="AD15" s="95">
        <f t="shared" si="3"/>
        <v>19173257.751046576</v>
      </c>
      <c r="AE15" s="95">
        <f t="shared" si="3"/>
        <v>19652589.194822736</v>
      </c>
      <c r="AF15" s="95">
        <f t="shared" si="3"/>
        <v>20143903.924693309</v>
      </c>
      <c r="AG15" s="95">
        <f t="shared" si="3"/>
        <v>20647501.522810634</v>
      </c>
      <c r="AH15" s="95">
        <f t="shared" si="3"/>
        <v>21163689.060880899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315</v>
      </c>
      <c r="C19" s="1713" t="s">
        <v>1101</v>
      </c>
      <c r="D19" s="88">
        <v>1.2500000000000001E-2</v>
      </c>
      <c r="E19" s="95">
        <f>IF(C19="Abatement", 0, -'Tax Calc'!B10)</f>
        <v>-777707.20482410642</v>
      </c>
      <c r="F19" s="89">
        <f>E19*(1+$D$19)</f>
        <v>-787428.54488440766</v>
      </c>
      <c r="G19" s="89">
        <f t="shared" ref="G19:AH19" si="6">F19*(1+$D$19)</f>
        <v>-797271.40169546276</v>
      </c>
      <c r="H19" s="89">
        <f t="shared" si="6"/>
        <v>-807237.29421665601</v>
      </c>
      <c r="I19" s="89">
        <f t="shared" si="6"/>
        <v>-817327.76039436413</v>
      </c>
      <c r="J19" s="89">
        <f t="shared" si="6"/>
        <v>-827544.35739929369</v>
      </c>
      <c r="K19" s="89">
        <f t="shared" si="6"/>
        <v>-837888.66186678479</v>
      </c>
      <c r="L19" s="89">
        <f t="shared" si="6"/>
        <v>-848362.2701401196</v>
      </c>
      <c r="M19" s="89">
        <f t="shared" si="6"/>
        <v>-858966.79851687106</v>
      </c>
      <c r="N19" s="89">
        <f t="shared" si="6"/>
        <v>-869703.88349833188</v>
      </c>
      <c r="O19" s="89">
        <f t="shared" si="6"/>
        <v>-880575.182042061</v>
      </c>
      <c r="P19" s="89">
        <f t="shared" si="6"/>
        <v>-891582.37181758671</v>
      </c>
      <c r="Q19" s="89">
        <f t="shared" si="6"/>
        <v>-902727.15146530652</v>
      </c>
      <c r="R19" s="89">
        <f t="shared" si="6"/>
        <v>-914011.24085862283</v>
      </c>
      <c r="S19" s="90">
        <f t="shared" si="6"/>
        <v>-925436.3813693556</v>
      </c>
      <c r="T19" s="89">
        <f t="shared" si="6"/>
        <v>-937004.33613647253</v>
      </c>
      <c r="U19" s="89">
        <f t="shared" si="6"/>
        <v>-948716.89033817837</v>
      </c>
      <c r="V19" s="89">
        <f t="shared" si="6"/>
        <v>-960575.85146740556</v>
      </c>
      <c r="W19" s="89">
        <f t="shared" si="6"/>
        <v>-972583.04961074807</v>
      </c>
      <c r="X19" s="89">
        <f t="shared" si="6"/>
        <v>-984740.33773088234</v>
      </c>
      <c r="Y19" s="89">
        <f t="shared" si="6"/>
        <v>-997049.59195251833</v>
      </c>
      <c r="Z19" s="89">
        <f t="shared" si="6"/>
        <v>-1009512.7118519248</v>
      </c>
      <c r="AA19" s="89">
        <f t="shared" si="6"/>
        <v>-1022131.6207500738</v>
      </c>
      <c r="AB19" s="89">
        <f t="shared" si="6"/>
        <v>-1034908.2660094497</v>
      </c>
      <c r="AC19" s="89">
        <f t="shared" si="6"/>
        <v>-1047844.6193345678</v>
      </c>
      <c r="AD19" s="89">
        <f t="shared" si="6"/>
        <v>-1060942.6770762498</v>
      </c>
      <c r="AE19" s="89">
        <f t="shared" si="6"/>
        <v>-1074204.460539703</v>
      </c>
      <c r="AF19" s="89">
        <f t="shared" si="6"/>
        <v>-1087632.0162964494</v>
      </c>
      <c r="AG19" s="89">
        <f t="shared" si="6"/>
        <v>-1101227.4165001549</v>
      </c>
      <c r="AH19" s="89">
        <f t="shared" si="6"/>
        <v>-1114992.7592064068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7976567.595175894</v>
      </c>
      <c r="F21" s="95">
        <f t="shared" si="8"/>
        <v>8172473.125115592</v>
      </c>
      <c r="G21" s="95">
        <f t="shared" si="8"/>
        <v>8372868.6100545377</v>
      </c>
      <c r="H21" s="95">
        <f t="shared" si="8"/>
        <v>8577849.2958270926</v>
      </c>
      <c r="I21" s="95">
        <f t="shared" si="8"/>
        <v>8787512.1801304743</v>
      </c>
      <c r="J21" s="95">
        <f t="shared" si="8"/>
        <v>9001956.0338692162</v>
      </c>
      <c r="K21" s="95">
        <f t="shared" si="8"/>
        <v>9221281.4222420566</v>
      </c>
      <c r="L21" s="95">
        <f t="shared" si="8"/>
        <v>9445590.725537112</v>
      </c>
      <c r="M21" s="95">
        <f t="shared" si="8"/>
        <v>9674988.1595992576</v>
      </c>
      <c r="N21" s="95">
        <f t="shared" si="8"/>
        <v>9909579.7959318142</v>
      </c>
      <c r="O21" s="95">
        <f t="shared" si="8"/>
        <v>10149473.581392588</v>
      </c>
      <c r="P21" s="95">
        <f t="shared" si="8"/>
        <v>10394779.357442336</v>
      </c>
      <c r="Q21" s="95">
        <f t="shared" si="8"/>
        <v>10645608.8789014</v>
      </c>
      <c r="R21" s="95">
        <f t="shared" si="8"/>
        <v>10902075.832168173</v>
      </c>
      <c r="S21" s="96">
        <f t="shared" si="8"/>
        <v>11164295.852850564</v>
      </c>
      <c r="T21" s="95">
        <f t="shared" si="8"/>
        <v>11432386.542759258</v>
      </c>
      <c r="U21" s="95">
        <f t="shared" si="8"/>
        <v>11706467.486208973</v>
      </c>
      <c r="V21" s="95">
        <f t="shared" si="8"/>
        <v>11986660.265571216</v>
      </c>
      <c r="W21" s="95">
        <f t="shared" si="8"/>
        <v>12273088.476019353</v>
      </c>
      <c r="X21" s="95">
        <f t="shared" si="8"/>
        <v>12565877.739403779</v>
      </c>
      <c r="Y21" s="95">
        <f t="shared" si="8"/>
        <v>12865155.717192054</v>
      </c>
      <c r="Z21" s="95">
        <f t="shared" si="8"/>
        <v>13171052.122405656</v>
      </c>
      <c r="AA21" s="95">
        <f t="shared" si="8"/>
        <v>13483698.730481798</v>
      </c>
      <c r="AB21" s="95">
        <f t="shared" si="8"/>
        <v>13803229.388985187</v>
      </c>
      <c r="AC21" s="95">
        <f t="shared" si="8"/>
        <v>14129780.026091279</v>
      </c>
      <c r="AD21" s="95">
        <f t="shared" si="8"/>
        <v>14463488.65775856</v>
      </c>
      <c r="AE21" s="95">
        <f t="shared" si="8"/>
        <v>14804495.393503856</v>
      </c>
      <c r="AF21" s="95">
        <f t="shared" si="8"/>
        <v>15152942.440690409</v>
      </c>
      <c r="AG21" s="95">
        <f t="shared" si="8"/>
        <v>15508974.107234305</v>
      </c>
      <c r="AH21" s="95">
        <f t="shared" si="8"/>
        <v>15872736.802630652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-6647139.6626465786</v>
      </c>
      <c r="F22" s="95">
        <f t="shared" ref="F22:AH22" si="9">$E$22</f>
        <v>-6647139.6626465786</v>
      </c>
      <c r="G22" s="95">
        <f t="shared" si="9"/>
        <v>-6647139.6626465786</v>
      </c>
      <c r="H22" s="95">
        <f t="shared" si="9"/>
        <v>-6647139.6626465786</v>
      </c>
      <c r="I22" s="95">
        <f t="shared" si="9"/>
        <v>-6647139.6626465786</v>
      </c>
      <c r="J22" s="95">
        <f t="shared" si="9"/>
        <v>-6647139.6626465786</v>
      </c>
      <c r="K22" s="95">
        <f t="shared" si="9"/>
        <v>-6647139.6626465786</v>
      </c>
      <c r="L22" s="95">
        <f t="shared" si="9"/>
        <v>-6647139.6626465786</v>
      </c>
      <c r="M22" s="95">
        <f t="shared" si="9"/>
        <v>-6647139.6626465786</v>
      </c>
      <c r="N22" s="95">
        <f t="shared" si="9"/>
        <v>-6647139.6626465786</v>
      </c>
      <c r="O22" s="95">
        <f t="shared" si="9"/>
        <v>-6647139.6626465786</v>
      </c>
      <c r="P22" s="95">
        <f t="shared" si="9"/>
        <v>-6647139.6626465786</v>
      </c>
      <c r="Q22" s="95">
        <f t="shared" si="9"/>
        <v>-6647139.6626465786</v>
      </c>
      <c r="R22" s="95">
        <f t="shared" si="9"/>
        <v>-6647139.6626465786</v>
      </c>
      <c r="S22" s="96">
        <f t="shared" si="9"/>
        <v>-6647139.6626465786</v>
      </c>
      <c r="T22" s="95">
        <f t="shared" si="9"/>
        <v>-6647139.6626465786</v>
      </c>
      <c r="U22" s="95">
        <f t="shared" si="9"/>
        <v>-6647139.6626465786</v>
      </c>
      <c r="V22" s="95">
        <f t="shared" si="9"/>
        <v>-6647139.6626465786</v>
      </c>
      <c r="W22" s="95">
        <f t="shared" si="9"/>
        <v>-6647139.6626465786</v>
      </c>
      <c r="X22" s="95">
        <f t="shared" si="9"/>
        <v>-6647139.6626465786</v>
      </c>
      <c r="Y22" s="95">
        <f t="shared" si="9"/>
        <v>-6647139.6626465786</v>
      </c>
      <c r="Z22" s="95">
        <f t="shared" si="9"/>
        <v>-6647139.6626465786</v>
      </c>
      <c r="AA22" s="95">
        <f t="shared" si="9"/>
        <v>-6647139.6626465786</v>
      </c>
      <c r="AB22" s="95">
        <f t="shared" si="9"/>
        <v>-6647139.6626465786</v>
      </c>
      <c r="AC22" s="95">
        <f t="shared" si="9"/>
        <v>-6647139.6626465786</v>
      </c>
      <c r="AD22" s="95">
        <f t="shared" si="9"/>
        <v>-6647139.6626465786</v>
      </c>
      <c r="AE22" s="95">
        <f t="shared" si="9"/>
        <v>-6647139.6626465786</v>
      </c>
      <c r="AF22" s="95">
        <f t="shared" si="9"/>
        <v>-6647139.6626465786</v>
      </c>
      <c r="AG22" s="95">
        <f t="shared" si="9"/>
        <v>-6647139.6626465786</v>
      </c>
      <c r="AH22" s="95">
        <f t="shared" si="9"/>
        <v>-6647139.6626465786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1329427.9325293154</v>
      </c>
      <c r="F25" s="119">
        <f t="shared" ref="F25:AH25" si="11">+F21+F22+F23</f>
        <v>1525333.4624690134</v>
      </c>
      <c r="G25" s="119">
        <f t="shared" si="11"/>
        <v>1725728.947407959</v>
      </c>
      <c r="H25" s="119">
        <f t="shared" si="11"/>
        <v>1930709.633180514</v>
      </c>
      <c r="I25" s="119">
        <f t="shared" si="11"/>
        <v>2140372.5174838956</v>
      </c>
      <c r="J25" s="119">
        <f t="shared" si="11"/>
        <v>2354816.3712226376</v>
      </c>
      <c r="K25" s="119">
        <f t="shared" si="11"/>
        <v>2574141.759595478</v>
      </c>
      <c r="L25" s="119">
        <f t="shared" si="11"/>
        <v>2798451.0628905334</v>
      </c>
      <c r="M25" s="119">
        <f t="shared" si="11"/>
        <v>3027848.496952679</v>
      </c>
      <c r="N25" s="119">
        <f t="shared" si="11"/>
        <v>3262440.1332852356</v>
      </c>
      <c r="O25" s="119">
        <f t="shared" si="11"/>
        <v>3502333.9187460095</v>
      </c>
      <c r="P25" s="119">
        <f t="shared" si="11"/>
        <v>3747639.6947957575</v>
      </c>
      <c r="Q25" s="119">
        <f t="shared" si="11"/>
        <v>3998469.216254821</v>
      </c>
      <c r="R25" s="119">
        <f t="shared" si="11"/>
        <v>4254936.1695215944</v>
      </c>
      <c r="S25" s="160">
        <f t="shared" si="11"/>
        <v>4517156.1902039852</v>
      </c>
      <c r="T25" s="119">
        <f t="shared" si="11"/>
        <v>4785246.8801126797</v>
      </c>
      <c r="U25" s="119">
        <f t="shared" si="11"/>
        <v>5059327.8235623948</v>
      </c>
      <c r="V25" s="119">
        <f t="shared" si="11"/>
        <v>5339520.6029246375</v>
      </c>
      <c r="W25" s="119">
        <f t="shared" si="11"/>
        <v>5625948.813372774</v>
      </c>
      <c r="X25" s="119">
        <f t="shared" si="11"/>
        <v>5918738.0767572001</v>
      </c>
      <c r="Y25" s="119">
        <f t="shared" si="11"/>
        <v>6218016.0545454752</v>
      </c>
      <c r="Z25" s="119">
        <f t="shared" si="11"/>
        <v>6523912.4597590771</v>
      </c>
      <c r="AA25" s="119">
        <f t="shared" si="11"/>
        <v>6836559.0678352192</v>
      </c>
      <c r="AB25" s="119">
        <f t="shared" si="11"/>
        <v>7156089.7263386082</v>
      </c>
      <c r="AC25" s="119">
        <f t="shared" si="11"/>
        <v>7482640.3634447008</v>
      </c>
      <c r="AD25" s="119">
        <f t="shared" si="11"/>
        <v>7816348.9951119814</v>
      </c>
      <c r="AE25" s="119">
        <f t="shared" si="11"/>
        <v>8157355.7308572773</v>
      </c>
      <c r="AF25" s="119">
        <f t="shared" si="11"/>
        <v>8505802.7780438308</v>
      </c>
      <c r="AG25" s="119">
        <f t="shared" si="11"/>
        <v>8861834.4445877261</v>
      </c>
      <c r="AH25" s="119">
        <f t="shared" si="11"/>
        <v>9225597.1399840731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1.2294721549241072</v>
      </c>
      <c r="G27" s="122">
        <f t="shared" si="12"/>
        <v>1.2596197815890113</v>
      </c>
      <c r="H27" s="122">
        <f t="shared" si="12"/>
        <v>1.2904572088397788</v>
      </c>
      <c r="I27" s="122">
        <f t="shared" si="12"/>
        <v>1.3219990290728598</v>
      </c>
      <c r="J27" s="122">
        <f t="shared" si="12"/>
        <v>1.3542601014471629</v>
      </c>
      <c r="K27" s="122">
        <f t="shared" si="12"/>
        <v>1.3872555550563799</v>
      </c>
      <c r="L27" s="122">
        <f t="shared" si="12"/>
        <v>1.4210007920574248</v>
      </c>
      <c r="M27" s="122">
        <f t="shared" si="12"/>
        <v>1.4555114907495612</v>
      </c>
      <c r="N27" s="122">
        <f t="shared" si="12"/>
        <v>1.4908036085985119</v>
      </c>
      <c r="O27" s="122">
        <f t="shared" si="12"/>
        <v>1.5268933851995439</v>
      </c>
      <c r="P27" s="122">
        <f t="shared" si="12"/>
        <v>1.5637973451732206</v>
      </c>
      <c r="Q27" s="122">
        <f t="shared" si="12"/>
        <v>1.6015323009871616</v>
      </c>
      <c r="R27" s="122">
        <f t="shared" si="12"/>
        <v>1.6401153556968411</v>
      </c>
      <c r="S27" s="161">
        <f t="shared" si="12"/>
        <v>1.6795639055980758</v>
      </c>
      <c r="T27" s="122">
        <f t="shared" si="12"/>
        <v>1.7198956427835035</v>
      </c>
      <c r="U27" s="122">
        <f t="shared" si="12"/>
        <v>1.7611285575949533</v>
      </c>
      <c r="V27" s="122">
        <f t="shared" si="12"/>
        <v>1.8032809409632129</v>
      </c>
      <c r="W27" s="122">
        <f t="shared" si="12"/>
        <v>1.846371386626287</v>
      </c>
      <c r="X27" s="122">
        <f t="shared" si="12"/>
        <v>1.890418793216786</v>
      </c>
      <c r="Y27" s="122">
        <f t="shared" si="12"/>
        <v>1.9354423662086488</v>
      </c>
      <c r="Z27" s="122">
        <f t="shared" si="12"/>
        <v>1.981461619712916</v>
      </c>
      <c r="AA27" s="122">
        <f t="shared" si="12"/>
        <v>2.0284963781117882</v>
      </c>
      <c r="AB27" s="122">
        <f t="shared" si="12"/>
        <v>2.0765667775196692</v>
      </c>
      <c r="AC27" s="122">
        <f t="shared" si="12"/>
        <v>2.1256932670593933</v>
      </c>
      <c r="AD27" s="122">
        <f t="shared" si="12"/>
        <v>2.1758966099412267</v>
      </c>
      <c r="AE27" s="122">
        <f t="shared" si="12"/>
        <v>2.22719788433171</v>
      </c>
      <c r="AF27" s="122">
        <f t="shared" si="12"/>
        <v>2.2796184839987581</v>
      </c>
      <c r="AG27" s="122">
        <f t="shared" si="12"/>
        <v>2.3331801187188175</v>
      </c>
      <c r="AH27" s="122">
        <f t="shared" si="12"/>
        <v>2.3879048144312458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1329427.9325293154</v>
      </c>
      <c r="F41" s="129">
        <f t="shared" ref="F41:S41" si="20">F25+F37</f>
        <v>1525333.4624690134</v>
      </c>
      <c r="G41" s="129">
        <f t="shared" si="20"/>
        <v>1725728.947407959</v>
      </c>
      <c r="H41" s="129">
        <f t="shared" si="20"/>
        <v>1930709.633180514</v>
      </c>
      <c r="I41" s="129">
        <f t="shared" si="20"/>
        <v>2140372.5174838956</v>
      </c>
      <c r="J41" s="129">
        <f t="shared" si="20"/>
        <v>2354816.3712226376</v>
      </c>
      <c r="K41" s="129">
        <f t="shared" si="20"/>
        <v>2574141.759595478</v>
      </c>
      <c r="L41" s="129">
        <f t="shared" si="20"/>
        <v>2798451.0628905334</v>
      </c>
      <c r="M41" s="129">
        <f t="shared" si="20"/>
        <v>3027848.496952679</v>
      </c>
      <c r="N41" s="129">
        <f t="shared" si="20"/>
        <v>3262440.1332852356</v>
      </c>
      <c r="O41" s="129">
        <f t="shared" si="20"/>
        <v>3502333.9187460095</v>
      </c>
      <c r="P41" s="129">
        <f t="shared" si="20"/>
        <v>3747639.6947957575</v>
      </c>
      <c r="Q41" s="129">
        <f t="shared" si="20"/>
        <v>3998469.216254821</v>
      </c>
      <c r="R41" s="129">
        <f t="shared" si="20"/>
        <v>4254936.1695215944</v>
      </c>
      <c r="S41" s="130">
        <f t="shared" si="20"/>
        <v>4517156.1902039852</v>
      </c>
      <c r="T41" s="130">
        <f t="shared" ref="T41:AH41" si="21">T25+T37</f>
        <v>4785246.8801126797</v>
      </c>
      <c r="U41" s="130">
        <f t="shared" si="21"/>
        <v>5059327.8235623948</v>
      </c>
      <c r="V41" s="130">
        <f t="shared" si="21"/>
        <v>5339520.6029246375</v>
      </c>
      <c r="W41" s="130">
        <f t="shared" si="21"/>
        <v>5625948.813372774</v>
      </c>
      <c r="X41" s="130">
        <f t="shared" si="21"/>
        <v>5918738.0767572001</v>
      </c>
      <c r="Y41" s="130">
        <f t="shared" si="21"/>
        <v>6218016.0545454752</v>
      </c>
      <c r="Z41" s="130">
        <f t="shared" si="21"/>
        <v>6523912.4597590771</v>
      </c>
      <c r="AA41" s="130">
        <f t="shared" si="21"/>
        <v>6836559.0678352192</v>
      </c>
      <c r="AB41" s="130">
        <f t="shared" si="21"/>
        <v>7156089.7263386082</v>
      </c>
      <c r="AC41" s="130">
        <f t="shared" si="21"/>
        <v>7482640.3634447008</v>
      </c>
      <c r="AD41" s="130">
        <f t="shared" si="21"/>
        <v>7816348.9951119814</v>
      </c>
      <c r="AE41" s="130">
        <f t="shared" si="21"/>
        <v>8157355.7308572773</v>
      </c>
      <c r="AF41" s="130">
        <f t="shared" si="21"/>
        <v>8505802.7780438308</v>
      </c>
      <c r="AG41" s="130">
        <f t="shared" si="21"/>
        <v>8861834.4445877261</v>
      </c>
      <c r="AH41" s="130">
        <f t="shared" si="21"/>
        <v>9225597.1399840731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1130013.742649918</v>
      </c>
      <c r="F42" s="129">
        <f t="shared" ref="F42:S42" si="22">((F41*$C$42))</f>
        <v>1296533.4430986613</v>
      </c>
      <c r="G42" s="129">
        <f t="shared" si="22"/>
        <v>1466869.6052967652</v>
      </c>
      <c r="H42" s="129">
        <f t="shared" si="22"/>
        <v>1641103.1882034368</v>
      </c>
      <c r="I42" s="129">
        <f t="shared" si="22"/>
        <v>1819316.6398613113</v>
      </c>
      <c r="J42" s="129">
        <f t="shared" si="22"/>
        <v>2001593.9155392419</v>
      </c>
      <c r="K42" s="129">
        <f t="shared" si="22"/>
        <v>2188020.495656156</v>
      </c>
      <c r="L42" s="129">
        <f t="shared" si="22"/>
        <v>2378683.4034569534</v>
      </c>
      <c r="M42" s="129">
        <f t="shared" si="22"/>
        <v>2573671.2224097769</v>
      </c>
      <c r="N42" s="129">
        <f t="shared" si="22"/>
        <v>2773074.1132924501</v>
      </c>
      <c r="O42" s="129">
        <f t="shared" si="22"/>
        <v>2976983.8309341078</v>
      </c>
      <c r="P42" s="129">
        <f t="shared" si="22"/>
        <v>3185493.7405763939</v>
      </c>
      <c r="Q42" s="129">
        <f t="shared" si="22"/>
        <v>3398698.8338165977</v>
      </c>
      <c r="R42" s="129">
        <f t="shared" si="22"/>
        <v>3616695.7440933553</v>
      </c>
      <c r="S42" s="129">
        <f t="shared" si="22"/>
        <v>3839582.7616733871</v>
      </c>
      <c r="T42" s="129">
        <f t="shared" ref="T42:AH42" si="23">((T41*$C$42))</f>
        <v>4067459.8480957774</v>
      </c>
      <c r="U42" s="129">
        <f t="shared" si="23"/>
        <v>4300428.650028035</v>
      </c>
      <c r="V42" s="129">
        <f t="shared" si="23"/>
        <v>4538592.5124859419</v>
      </c>
      <c r="W42" s="129">
        <f t="shared" si="23"/>
        <v>4782056.4913668577</v>
      </c>
      <c r="X42" s="129">
        <f t="shared" si="23"/>
        <v>5030927.3652436202</v>
      </c>
      <c r="Y42" s="129">
        <f t="shared" si="23"/>
        <v>5285313.6463636542</v>
      </c>
      <c r="Z42" s="129">
        <f t="shared" si="23"/>
        <v>5545325.5907952152</v>
      </c>
      <c r="AA42" s="129">
        <f t="shared" si="23"/>
        <v>5811075.2076599365</v>
      </c>
      <c r="AB42" s="129">
        <f t="shared" si="23"/>
        <v>6082676.2673878167</v>
      </c>
      <c r="AC42" s="129">
        <f t="shared" si="23"/>
        <v>6360244.3089279952</v>
      </c>
      <c r="AD42" s="129">
        <f t="shared" si="23"/>
        <v>6643896.6458451841</v>
      </c>
      <c r="AE42" s="129">
        <f t="shared" si="23"/>
        <v>6933752.3712286856</v>
      </c>
      <c r="AF42" s="129">
        <f t="shared" si="23"/>
        <v>7229932.3613372557</v>
      </c>
      <c r="AG42" s="129">
        <f t="shared" si="23"/>
        <v>7532559.277899567</v>
      </c>
      <c r="AH42" s="129">
        <f t="shared" si="23"/>
        <v>7841757.5689864615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199414.18987939734</v>
      </c>
      <c r="F43" s="108">
        <f t="shared" ref="F43:S43" si="24">$C$43*(F41)</f>
        <v>228800.01937035203</v>
      </c>
      <c r="G43" s="108">
        <f t="shared" si="24"/>
        <v>258859.3421111939</v>
      </c>
      <c r="H43" s="108">
        <f t="shared" si="24"/>
        <v>289606.44497707713</v>
      </c>
      <c r="I43" s="108">
        <f t="shared" si="24"/>
        <v>321055.8776225844</v>
      </c>
      <c r="J43" s="108">
        <f t="shared" si="24"/>
        <v>353222.45568339567</v>
      </c>
      <c r="K43" s="108">
        <f t="shared" si="24"/>
        <v>386121.26393932174</v>
      </c>
      <c r="L43" s="108">
        <f t="shared" si="24"/>
        <v>419767.65943358006</v>
      </c>
      <c r="M43" s="108">
        <f t="shared" si="24"/>
        <v>454177.2745429019</v>
      </c>
      <c r="N43" s="108">
        <f t="shared" si="24"/>
        <v>489366.01999278541</v>
      </c>
      <c r="O43" s="108">
        <f t="shared" si="24"/>
        <v>525350.08781190147</v>
      </c>
      <c r="P43" s="108">
        <f t="shared" si="24"/>
        <v>562145.95421936375</v>
      </c>
      <c r="Q43" s="108">
        <f t="shared" si="24"/>
        <v>599770.38243822323</v>
      </c>
      <c r="R43" s="108">
        <f t="shared" si="24"/>
        <v>638240.42542823928</v>
      </c>
      <c r="S43" s="108">
        <f t="shared" si="24"/>
        <v>677573.42853059783</v>
      </c>
      <c r="T43" s="108">
        <f t="shared" ref="T43:AH43" si="25">$C$43*(T41)</f>
        <v>717787.03201690211</v>
      </c>
      <c r="U43" s="108">
        <f t="shared" si="25"/>
        <v>758899.17353435932</v>
      </c>
      <c r="V43" s="108">
        <f t="shared" si="25"/>
        <v>800928.09043869574</v>
      </c>
      <c r="W43" s="108">
        <f t="shared" si="25"/>
        <v>843892.32200591627</v>
      </c>
      <c r="X43" s="108">
        <f t="shared" si="25"/>
        <v>887810.71151358017</v>
      </c>
      <c r="Y43" s="108">
        <f t="shared" si="25"/>
        <v>932702.40818182146</v>
      </c>
      <c r="Z43" s="108">
        <f t="shared" si="25"/>
        <v>978586.86896386172</v>
      </c>
      <c r="AA43" s="108">
        <f t="shared" si="25"/>
        <v>1025483.860175283</v>
      </c>
      <c r="AB43" s="108">
        <f t="shared" si="25"/>
        <v>1073413.4589507913</v>
      </c>
      <c r="AC43" s="108">
        <f t="shared" si="25"/>
        <v>1122396.0545167052</v>
      </c>
      <c r="AD43" s="108">
        <f t="shared" si="25"/>
        <v>1172452.3492667973</v>
      </c>
      <c r="AE43" s="108">
        <f t="shared" si="25"/>
        <v>1223603.3596285917</v>
      </c>
      <c r="AF43" s="108">
        <f t="shared" si="25"/>
        <v>1275870.4167065748</v>
      </c>
      <c r="AG43" s="108">
        <f t="shared" si="25"/>
        <v>1329275.1666881591</v>
      </c>
      <c r="AH43" s="108">
        <f t="shared" si="25"/>
        <v>1383839.5709976112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>
        <f>E21/Data!$C$38</f>
        <v>7.4464285198370062E-2</v>
      </c>
      <c r="F46" s="1529">
        <f>F21/Data!$C$38</f>
        <v>7.6293137656436125E-2</v>
      </c>
      <c r="G46" s="1529">
        <f>G21/Data!$C$38</f>
        <v>7.8163905548127285E-2</v>
      </c>
      <c r="H46" s="1529">
        <f>H21/Data!$C$38</f>
        <v>8.0077478029448243E-2</v>
      </c>
      <c r="I46" s="1529">
        <f>I21/Data!$C$38</f>
        <v>8.2034760610708135E-2</v>
      </c>
      <c r="J46" s="1529">
        <f>J21/Data!$C$38</f>
        <v>8.4036675355779272E-2</v>
      </c>
      <c r="K46" s="1529">
        <f>K21/Data!$C$38</f>
        <v>8.6084161078951199E-2</v>
      </c>
      <c r="L46" s="1529">
        <f>L21/Data!$C$38</f>
        <v>8.817817353906153E-2</v>
      </c>
      <c r="M46" s="1529">
        <f>M21/Data!$C$38</f>
        <v>9.0319685630566762E-2</v>
      </c>
      <c r="N46" s="1529">
        <f>N21/Data!$C$38</f>
        <v>9.250968757119904E-2</v>
      </c>
      <c r="O46" s="1529">
        <f>O21/Data!$C$38</f>
        <v>9.4749187085836295E-2</v>
      </c>
      <c r="P46" s="1529">
        <f>P21/Data!$C$38</f>
        <v>9.7039209586193872E-2</v>
      </c>
      <c r="Q46" s="1529">
        <f>Q21/Data!$C$38</f>
        <v>9.9380798345924865E-2</v>
      </c>
      <c r="R46" s="1529">
        <f>R21/Data!$C$38</f>
        <v>0.10177501467069644</v>
      </c>
      <c r="S46" s="1529">
        <f>S21/Data!$C$38</f>
        <v>0.10422293806278618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3.518151235840157E-2</v>
      </c>
      <c r="F47" s="142">
        <f>F41/GapCalc!$H$33</f>
        <v>4.0365887271857602E-2</v>
      </c>
      <c r="G47" s="142">
        <f>G41/GapCalc!$H$33</f>
        <v>4.5669082772296601E-2</v>
      </c>
      <c r="H47" s="142">
        <f>H41/GapCalc!$H$33</f>
        <v>5.1093619411917528E-2</v>
      </c>
      <c r="I47" s="142">
        <f>I41/GapCalc!$H$33</f>
        <v>5.6642064103600648E-2</v>
      </c>
      <c r="J47" s="142">
        <f>J41/GapCalc!$H$33</f>
        <v>6.2317030685759812E-2</v>
      </c>
      <c r="K47" s="142">
        <f>K41/GapCalc!$H$33</f>
        <v>6.8121180480378449E-2</v>
      </c>
      <c r="L47" s="142">
        <f>L41/GapCalc!$H$33</f>
        <v>7.4057222843325735E-2</v>
      </c>
      <c r="M47" s="142">
        <f>M41/GapCalc!$H$33</f>
        <v>8.0127915705998087E-2</v>
      </c>
      <c r="N47" s="142">
        <f>N41/GapCalc!$H$33</f>
        <v>8.6336066107283185E-2</v>
      </c>
      <c r="O47" s="142">
        <f>O41/GapCalc!$H$33</f>
        <v>9.2684530714788979E-2</v>
      </c>
      <c r="P47" s="142">
        <f>P41/GapCalc!$H$33</f>
        <v>9.9176216334228295E-2</v>
      </c>
      <c r="Q47" s="142">
        <f>Q41/GapCalc!$H$33</f>
        <v>0.10581408040578781</v>
      </c>
      <c r="R47" s="142">
        <f>R41/GapCalc!$H$33</f>
        <v>0.11260113148625518</v>
      </c>
      <c r="S47" s="142">
        <f>S41/GapCalc!$H$33</f>
        <v>0.11954042971561175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2.9904285504641338E-2</v>
      </c>
      <c r="F48" s="142">
        <f>F43/GapCalc!$H$32</f>
        <v>3.4311004181078963E-2</v>
      </c>
      <c r="G48" s="142">
        <f>G43/GapCalc!$H$32</f>
        <v>3.8818720356452112E-2</v>
      </c>
      <c r="H48" s="142">
        <f>H43/GapCalc!$H$32</f>
        <v>4.34295765001299E-2</v>
      </c>
      <c r="I48" s="142">
        <f>I43/GapCalc!$H$32</f>
        <v>4.8145754488060556E-2</v>
      </c>
      <c r="J48" s="142">
        <f>J43/GapCalc!$H$32</f>
        <v>5.2969476082895837E-2</v>
      </c>
      <c r="K48" s="142">
        <f>K43/GapCalc!$H$32</f>
        <v>5.7903003408321684E-2</v>
      </c>
      <c r="L48" s="142">
        <f>L43/GapCalc!$H$32</f>
        <v>6.2948639416826879E-2</v>
      </c>
      <c r="M48" s="142">
        <f>M43/GapCalc!$H$32</f>
        <v>6.8108728350098374E-2</v>
      </c>
      <c r="N48" s="142">
        <f>N43/GapCalc!$H$32</f>
        <v>7.338565619119071E-2</v>
      </c>
      <c r="O48" s="142">
        <f>O43/GapCalc!$H$32</f>
        <v>7.8781851107570633E-2</v>
      </c>
      <c r="P48" s="142">
        <f>P43/GapCalc!$H$32</f>
        <v>8.4299783884094065E-2</v>
      </c>
      <c r="Q48" s="142">
        <f>Q43/GapCalc!$H$32</f>
        <v>8.9941968344919646E-2</v>
      </c>
      <c r="R48" s="142">
        <f>R43/GapCalc!$H$32</f>
        <v>9.5710961763316907E-2</v>
      </c>
      <c r="S48" s="142">
        <f>S43/GapCalc!$H$32</f>
        <v>0.10160936525826998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38375160.988305554</v>
      </c>
      <c r="D66" s="1544"/>
      <c r="E66" s="1564" t="s">
        <v>285</v>
      </c>
      <c r="G66" s="1520" t="s">
        <v>1073</v>
      </c>
      <c r="H66" s="1565">
        <f>H70/1.63</f>
        <v>6772087.2332303943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11543451.03030549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2037079.5935833221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4167738.5227559395</v>
      </c>
      <c r="D68" s="1545" t="s">
        <v>68</v>
      </c>
      <c r="G68" s="1521" t="s">
        <v>1079</v>
      </c>
      <c r="H68" s="1568">
        <f>IF(GapCalc!D41*C43&lt; 0,0,GapCalc!D41*C43)</f>
        <v>735483.2687216365</v>
      </c>
      <c r="I68" s="1545" t="s">
        <v>68</v>
      </c>
    </row>
    <row r="69" spans="2:10">
      <c r="B69" s="1521" t="s">
        <v>1059</v>
      </c>
      <c r="C69" s="1568">
        <f>'Debt Calc'!E60</f>
        <v>46840322.857876629</v>
      </c>
      <c r="D69" s="1546">
        <v>0.9</v>
      </c>
      <c r="G69" s="1521" t="s">
        <v>1075</v>
      </c>
      <c r="H69" s="1568">
        <f>'Debt Calc'!E59*C43</f>
        <v>8265939.3278605836</v>
      </c>
      <c r="I69" s="1546">
        <v>0.9</v>
      </c>
    </row>
    <row r="70" spans="2:10">
      <c r="B70" s="1523" t="s">
        <v>1042</v>
      </c>
      <c r="C70" s="1577">
        <f>C67+C68+C69</f>
        <v>62551512.410938054</v>
      </c>
      <c r="D70" s="1545" t="s">
        <v>68</v>
      </c>
      <c r="G70" s="1523" t="s">
        <v>1042</v>
      </c>
      <c r="H70" s="1577">
        <f>H67+H68+H69</f>
        <v>11038502.190165542</v>
      </c>
      <c r="I70" s="1545" t="s">
        <v>68</v>
      </c>
    </row>
    <row r="71" spans="2:10">
      <c r="B71" s="1523" t="s">
        <v>1043</v>
      </c>
      <c r="C71" s="1571">
        <f>C70/C66</f>
        <v>1.6300000000000001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0.63</v>
      </c>
      <c r="D72" s="1548"/>
      <c r="G72" s="1521" t="s">
        <v>1044</v>
      </c>
      <c r="H72" s="1524">
        <f>(H70-H66)/H66</f>
        <v>0.62999999999999989</v>
      </c>
      <c r="I72" s="1548"/>
    </row>
    <row r="73" spans="2:10">
      <c r="B73" s="1523" t="s">
        <v>1045</v>
      </c>
      <c r="C73" s="1566">
        <f>C72/7</f>
        <v>0.09</v>
      </c>
      <c r="D73" s="1548"/>
      <c r="G73" s="1523" t="s">
        <v>1045</v>
      </c>
      <c r="H73" s="1566">
        <f>H72/7</f>
        <v>8.9999999999999983E-2</v>
      </c>
      <c r="I73" s="1548"/>
    </row>
    <row r="74" spans="2:10" ht="13.5" thickBot="1">
      <c r="B74" s="1578" t="s">
        <v>1080</v>
      </c>
      <c r="C74" s="1581">
        <f>GapCalc!H33</f>
        <v>37787685.730680063</v>
      </c>
      <c r="D74" s="1549"/>
      <c r="F74" s="1559"/>
      <c r="G74" s="1578" t="s">
        <v>1082</v>
      </c>
      <c r="H74" s="1581">
        <f>GapCalc!H32</f>
        <v>6668415.1289435411</v>
      </c>
      <c r="I74" s="1549"/>
    </row>
    <row r="75" spans="2:10">
      <c r="B75" s="70" t="s">
        <v>1081</v>
      </c>
      <c r="C75" s="1579">
        <f>(C70-C74)/C74</f>
        <v>0.65534118328268198</v>
      </c>
      <c r="G75" s="70" t="s">
        <v>1081</v>
      </c>
      <c r="H75" s="1579">
        <f>(H70-H74)/H74</f>
        <v>0.65534118328268232</v>
      </c>
    </row>
    <row r="76" spans="2:10">
      <c r="B76" s="70" t="s">
        <v>1045</v>
      </c>
      <c r="C76" s="1579">
        <f>C75/7</f>
        <v>9.3620169040383144E-2</v>
      </c>
      <c r="G76" s="70" t="s">
        <v>1045</v>
      </c>
      <c r="H76" s="1579">
        <f>H75/7</f>
        <v>9.3620169040383186E-2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13020343.495678117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19268879.769464672</v>
      </c>
      <c r="D81" s="1545" t="s">
        <v>68</v>
      </c>
    </row>
    <row r="82" spans="2:10">
      <c r="B82" s="1521" t="s">
        <v>1059</v>
      </c>
      <c r="C82" s="1568">
        <f>C68</f>
        <v>4167738.5227559395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23436618.292220611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55344062.46262905</v>
      </c>
      <c r="D93" s="1544"/>
      <c r="E93" s="1564" t="s">
        <v>288</v>
      </c>
      <c r="G93" s="1520" t="s">
        <v>1073</v>
      </c>
      <c r="H93" s="1565">
        <f>H97/1.63</f>
        <v>7608474.3215550976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19268879.769464672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3400390.5475525893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4167738.5227559395</v>
      </c>
      <c r="D95" s="1545" t="s">
        <v>68</v>
      </c>
      <c r="G95" s="1521" t="s">
        <v>1079</v>
      </c>
      <c r="H95" s="1568">
        <f>IF(GapCalc!D41*C43&lt; 0,0,GapCalc!D41*C43)</f>
        <v>735483.2687216365</v>
      </c>
      <c r="I95" s="1545" t="s">
        <v>68</v>
      </c>
    </row>
    <row r="96" spans="2:10">
      <c r="B96" s="1521" t="s">
        <v>1059</v>
      </c>
      <c r="C96" s="1568">
        <f>'Debt Calc'!H60</f>
        <v>66774203.521864735</v>
      </c>
      <c r="D96" s="1546">
        <v>0.9</v>
      </c>
      <c r="G96" s="1521" t="s">
        <v>1075</v>
      </c>
      <c r="H96" s="1568">
        <f>'Debt Calc'!E59*C43</f>
        <v>8265939.3278605836</v>
      </c>
      <c r="I96" s="1546">
        <v>0.9</v>
      </c>
    </row>
    <row r="97" spans="2:9">
      <c r="B97" s="1523" t="s">
        <v>1042</v>
      </c>
      <c r="C97" s="1577">
        <f>C94+C95+C96</f>
        <v>90210821.814085349</v>
      </c>
      <c r="D97" s="1545" t="s">
        <v>68</v>
      </c>
      <c r="G97" s="1523" t="s">
        <v>1042</v>
      </c>
      <c r="H97" s="1577">
        <f>H94+H95+H96</f>
        <v>12401813.144134808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37787685.730680063</v>
      </c>
      <c r="D101" s="1549"/>
      <c r="G101" s="1578" t="s">
        <v>1082</v>
      </c>
      <c r="H101" s="1581">
        <f>GapCalc!H32</f>
        <v>6668415.1289435411</v>
      </c>
      <c r="I101" s="1549"/>
    </row>
    <row r="102" spans="2:9">
      <c r="B102" s="70" t="s">
        <v>1081</v>
      </c>
      <c r="C102" s="1579">
        <f>(C97-C101)/C101</f>
        <v>1.3873074010680313</v>
      </c>
      <c r="G102" s="70" t="s">
        <v>1081</v>
      </c>
      <c r="H102" s="1579">
        <f>(H97-H101)/H101</f>
        <v>0.85978420724079818</v>
      </c>
    </row>
    <row r="103" spans="2:9">
      <c r="B103" s="70" t="s">
        <v>1045</v>
      </c>
      <c r="C103" s="1579">
        <f>C102/10</f>
        <v>0.13873074010680314</v>
      </c>
      <c r="G103" s="70" t="s">
        <v>1045</v>
      </c>
      <c r="H103" s="1579">
        <f>H102/10</f>
        <v>8.5978420724079824E-2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204810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40962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245772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245772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245772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126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126</v>
      </c>
      <c r="D49" s="876"/>
      <c r="E49" s="855" t="s">
        <v>577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126</v>
      </c>
      <c r="D55" s="855"/>
      <c r="E55" s="855"/>
      <c r="F55" s="937"/>
      <c r="G55" s="855"/>
      <c r="H55" s="872" t="s">
        <v>685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6647139.6626465786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95751851.708961919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95751800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29280439.270144954</v>
      </c>
    </row>
    <row r="15" spans="2:36">
      <c r="B15" s="556"/>
      <c r="C15" s="560" t="s">
        <v>634</v>
      </c>
      <c r="H15" s="561">
        <f>12*PMT(Data!C24/12,Data!C29*12,-'Debt Calc'!H14)</f>
        <v>6647136.0729855057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-11708519.736666966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-11708519.736666966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95751800</v>
      </c>
      <c r="E21" s="561">
        <f>$H$15</f>
        <v>6647136.0729855057</v>
      </c>
      <c r="F21" s="561">
        <f>E21-G21</f>
        <v>0</v>
      </c>
      <c r="G21" s="561">
        <f>D21-H21</f>
        <v>6647136.0729855001</v>
      </c>
      <c r="H21" s="561">
        <f>D21-E21</f>
        <v>89104663.9270145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89104663.9270145</v>
      </c>
      <c r="E22" s="561">
        <f t="shared" ref="E22:E50" si="1">$H$15</f>
        <v>6647136.0729855057</v>
      </c>
      <c r="F22" s="561">
        <f t="shared" ref="F22:F50" si="2">E22-G22</f>
        <v>0</v>
      </c>
      <c r="G22" s="561">
        <f t="shared" ref="G22:G50" si="3">D22-H22</f>
        <v>6647136.0729855001</v>
      </c>
      <c r="H22" s="561">
        <f t="shared" ref="H22:H39" si="4">D22-E22</f>
        <v>82457527.854029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82457527.854029</v>
      </c>
      <c r="E23" s="561">
        <f t="shared" si="1"/>
        <v>6647136.0729855057</v>
      </c>
      <c r="F23" s="561">
        <f t="shared" si="2"/>
        <v>0</v>
      </c>
      <c r="G23" s="561">
        <f t="shared" si="3"/>
        <v>6647136.0729855001</v>
      </c>
      <c r="H23" s="561">
        <f t="shared" si="4"/>
        <v>75810391.7810435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75810391.7810435</v>
      </c>
      <c r="E24" s="561">
        <f t="shared" si="1"/>
        <v>6647136.0729855057</v>
      </c>
      <c r="F24" s="561">
        <f t="shared" si="2"/>
        <v>0</v>
      </c>
      <c r="G24" s="561">
        <f t="shared" si="3"/>
        <v>6647136.0729855001</v>
      </c>
      <c r="H24" s="561">
        <f t="shared" si="4"/>
        <v>69163255.708058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69163255.708058</v>
      </c>
      <c r="E25" s="561">
        <f t="shared" si="1"/>
        <v>6647136.0729855057</v>
      </c>
      <c r="F25" s="561">
        <f t="shared" si="2"/>
        <v>0</v>
      </c>
      <c r="G25" s="561">
        <f t="shared" si="3"/>
        <v>6647136.0729855075</v>
      </c>
      <c r="H25" s="561">
        <f t="shared" si="4"/>
        <v>62516119.635072492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62516119.635072492</v>
      </c>
      <c r="E26" s="561">
        <f t="shared" si="1"/>
        <v>6647136.0729855057</v>
      </c>
      <c r="F26" s="561">
        <f t="shared" si="2"/>
        <v>0</v>
      </c>
      <c r="G26" s="561">
        <f t="shared" si="3"/>
        <v>6647136.0729855075</v>
      </c>
      <c r="H26" s="561">
        <f t="shared" si="4"/>
        <v>55868983.562086985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55868983.562086985</v>
      </c>
      <c r="E27" s="561">
        <f t="shared" si="1"/>
        <v>6647136.0729855057</v>
      </c>
      <c r="F27" s="561">
        <f t="shared" si="2"/>
        <v>0</v>
      </c>
      <c r="G27" s="561">
        <f t="shared" si="3"/>
        <v>6647136.0729855075</v>
      </c>
      <c r="H27" s="561">
        <f t="shared" si="4"/>
        <v>49221847.489101477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49221847.489101477</v>
      </c>
      <c r="E28" s="561">
        <f t="shared" si="1"/>
        <v>6647136.0729855057</v>
      </c>
      <c r="F28" s="561">
        <f t="shared" si="2"/>
        <v>0</v>
      </c>
      <c r="G28" s="561">
        <f t="shared" si="3"/>
        <v>6647136.0729855075</v>
      </c>
      <c r="H28" s="561">
        <f t="shared" si="4"/>
        <v>42574711.416115969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42574711.416115969</v>
      </c>
      <c r="E29" s="561">
        <f t="shared" si="1"/>
        <v>6647136.0729855057</v>
      </c>
      <c r="F29" s="561">
        <f t="shared" si="2"/>
        <v>0</v>
      </c>
      <c r="G29" s="561">
        <f t="shared" si="3"/>
        <v>6647136.0729855075</v>
      </c>
      <c r="H29" s="561">
        <f t="shared" si="4"/>
        <v>35927575.343130462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35927575.343130462</v>
      </c>
      <c r="E30" s="561">
        <f t="shared" si="1"/>
        <v>6647136.0729855057</v>
      </c>
      <c r="F30" s="561">
        <f t="shared" si="2"/>
        <v>0</v>
      </c>
      <c r="G30" s="561">
        <f t="shared" si="3"/>
        <v>6647136.0729855075</v>
      </c>
      <c r="H30" s="561">
        <f>D30-E30</f>
        <v>29280439.270144954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29280439.270144954</v>
      </c>
      <c r="E31" s="561">
        <f t="shared" si="1"/>
        <v>6647136.0729855057</v>
      </c>
      <c r="F31" s="561">
        <f t="shared" si="2"/>
        <v>0</v>
      </c>
      <c r="G31" s="561">
        <f t="shared" si="3"/>
        <v>6647136.0729855075</v>
      </c>
      <c r="H31" s="561">
        <f t="shared" si="4"/>
        <v>22633303.197159447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22633303.197159447</v>
      </c>
      <c r="E32" s="561">
        <f t="shared" si="1"/>
        <v>6647136.0729855057</v>
      </c>
      <c r="F32" s="561">
        <f t="shared" si="2"/>
        <v>0</v>
      </c>
      <c r="G32" s="561">
        <f t="shared" si="3"/>
        <v>6647136.0729855057</v>
      </c>
      <c r="H32" s="561">
        <f t="shared" si="4"/>
        <v>15986167.124173941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15986167.124173941</v>
      </c>
      <c r="E33" s="561">
        <f t="shared" si="1"/>
        <v>6647136.0729855057</v>
      </c>
      <c r="F33" s="561">
        <f t="shared" si="2"/>
        <v>0</v>
      </c>
      <c r="G33" s="561">
        <f t="shared" si="3"/>
        <v>6647136.0729855057</v>
      </c>
      <c r="H33" s="561">
        <f t="shared" si="4"/>
        <v>9339031.0511884354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9339031.0511884354</v>
      </c>
      <c r="E34" s="561">
        <f t="shared" si="1"/>
        <v>6647136.0729855057</v>
      </c>
      <c r="F34" s="561">
        <f t="shared" si="2"/>
        <v>0</v>
      </c>
      <c r="G34" s="561">
        <f t="shared" si="3"/>
        <v>6647136.0729855057</v>
      </c>
      <c r="H34" s="561">
        <f t="shared" si="4"/>
        <v>2691894.9782029297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2691894.9782029297</v>
      </c>
      <c r="E35" s="561">
        <f t="shared" si="1"/>
        <v>6647136.0729855057</v>
      </c>
      <c r="F35" s="561">
        <f t="shared" si="2"/>
        <v>0</v>
      </c>
      <c r="G35" s="561">
        <f t="shared" si="3"/>
        <v>6647136.0729855057</v>
      </c>
      <c r="H35" s="561">
        <f t="shared" si="4"/>
        <v>-3955241.094782576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-3955241.094782576</v>
      </c>
      <c r="E36" s="561">
        <f t="shared" si="1"/>
        <v>6647136.0729855057</v>
      </c>
      <c r="F36" s="561">
        <f t="shared" si="2"/>
        <v>0</v>
      </c>
      <c r="G36" s="561">
        <f t="shared" si="3"/>
        <v>6647136.0729855057</v>
      </c>
      <c r="H36" s="561">
        <f t="shared" si="4"/>
        <v>-10602377.167768082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-10602377.167768082</v>
      </c>
      <c r="E37" s="561">
        <f t="shared" si="1"/>
        <v>6647136.0729855057</v>
      </c>
      <c r="F37" s="561">
        <f t="shared" si="2"/>
        <v>0</v>
      </c>
      <c r="G37" s="561">
        <f t="shared" si="3"/>
        <v>6647136.0729855057</v>
      </c>
      <c r="H37" s="561">
        <f t="shared" si="4"/>
        <v>-17249513.240753587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-17249513.240753587</v>
      </c>
      <c r="E38" s="561">
        <f t="shared" si="1"/>
        <v>6647136.0729855057</v>
      </c>
      <c r="F38" s="561">
        <f t="shared" si="2"/>
        <v>0</v>
      </c>
      <c r="G38" s="561">
        <f t="shared" si="3"/>
        <v>6647136.0729855038</v>
      </c>
      <c r="H38" s="561">
        <f>D38-E38</f>
        <v>-23896649.313739091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-23896649.313739091</v>
      </c>
      <c r="E39" s="561">
        <f t="shared" si="1"/>
        <v>6647136.0729855057</v>
      </c>
      <c r="F39" s="561">
        <f t="shared" si="2"/>
        <v>0</v>
      </c>
      <c r="G39" s="561">
        <f t="shared" si="3"/>
        <v>6647136.0729855075</v>
      </c>
      <c r="H39" s="561">
        <f t="shared" si="4"/>
        <v>-30543785.386724599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-30543785.386724599</v>
      </c>
      <c r="E40" s="561">
        <f t="shared" si="1"/>
        <v>6647136.0729855057</v>
      </c>
      <c r="F40" s="561">
        <f t="shared" si="2"/>
        <v>37190921.459710106</v>
      </c>
      <c r="G40" s="561">
        <f t="shared" si="3"/>
        <v>-30543785.386724599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6647136.0729855057</v>
      </c>
      <c r="F41" s="561">
        <f t="shared" si="2"/>
        <v>6647136.0729855057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6647136.0729855057</v>
      </c>
      <c r="F42" s="561">
        <f t="shared" si="2"/>
        <v>6647136.0729855057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6647136.0729855057</v>
      </c>
      <c r="F43" s="561">
        <f t="shared" si="2"/>
        <v>6647136.0729855057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6647136.0729855057</v>
      </c>
      <c r="F44" s="561">
        <f t="shared" si="2"/>
        <v>6647136.0729855057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6647136.0729855057</v>
      </c>
      <c r="F45" s="561">
        <f t="shared" si="2"/>
        <v>6647136.0729855057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6647136.0729855057</v>
      </c>
      <c r="F46" s="561">
        <f t="shared" si="2"/>
        <v>6647136.0729855057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6647136.0729855057</v>
      </c>
      <c r="F47" s="561">
        <f t="shared" si="2"/>
        <v>6647136.0729855057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6647136.0729855057</v>
      </c>
      <c r="F48" s="561">
        <f t="shared" si="2"/>
        <v>6647136.0729855057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6647136.0729855057</v>
      </c>
      <c r="F49" s="561">
        <f t="shared" si="2"/>
        <v>6647136.0729855057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6647136.0729855057</v>
      </c>
      <c r="F50" s="561">
        <f t="shared" si="2"/>
        <v>6647136.0729855057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1089</v>
      </c>
      <c r="H54" s="1659"/>
    </row>
    <row r="55" spans="2:28">
      <c r="D55" s="1655" t="s">
        <v>1064</v>
      </c>
      <c r="E55" s="1664">
        <f>'Cash Flow'!K15/0.05</f>
        <v>239868082.75083497</v>
      </c>
      <c r="F55" s="561"/>
      <c r="G55" s="1663" t="s">
        <v>1064</v>
      </c>
      <c r="H55" s="1667">
        <f>'Cash Flow'!N15/0.05</f>
        <v>258311689.55109826</v>
      </c>
    </row>
    <row r="56" spans="2:28">
      <c r="D56" s="1653" t="s">
        <v>1065</v>
      </c>
      <c r="E56" s="1665">
        <f>'Cash Flow'!K21/1.2</f>
        <v>7684401.1852017138</v>
      </c>
      <c r="F56" s="561"/>
      <c r="G56" s="1661" t="s">
        <v>1065</v>
      </c>
      <c r="H56" s="1668">
        <f>'Cash Flow'!N21/1.2</f>
        <v>8257983.1632765122</v>
      </c>
    </row>
    <row r="57" spans="2:28">
      <c r="D57" s="1653" t="s">
        <v>1066</v>
      </c>
      <c r="E57" s="1665">
        <f>E55*0.6</f>
        <v>143920849.65050098</v>
      </c>
      <c r="F57" s="561"/>
      <c r="G57" s="1661" t="s">
        <v>1066</v>
      </c>
      <c r="H57" s="1668">
        <f>H55*0.6</f>
        <v>154987013.73065895</v>
      </c>
    </row>
    <row r="58" spans="2:28">
      <c r="D58" s="1653" t="s">
        <v>1067</v>
      </c>
      <c r="E58" s="1665">
        <f>-PV(6.5%,34,E56)</f>
        <v>104328109.67483869</v>
      </c>
      <c r="F58" s="561"/>
      <c r="G58" s="1661" t="s">
        <v>1067</v>
      </c>
      <c r="H58" s="1668">
        <f>-PV(6.5%,30,H56)</f>
        <v>107838325.76645641</v>
      </c>
    </row>
    <row r="59" spans="2:28">
      <c r="D59" s="1652" t="s">
        <v>1068</v>
      </c>
      <c r="E59" s="1665">
        <f>E58-H27</f>
        <v>55106262.185737215</v>
      </c>
      <c r="F59" s="561"/>
      <c r="G59" s="1660" t="s">
        <v>1068</v>
      </c>
      <c r="H59" s="1668">
        <f>H58-H30</f>
        <v>78557886.496311456</v>
      </c>
    </row>
    <row r="60" spans="2:28" ht="13.5" thickBot="1">
      <c r="D60" s="1654" t="s">
        <v>1069</v>
      </c>
      <c r="E60" s="1666">
        <f>E59*GapCalc!I33</f>
        <v>46840322.857876629</v>
      </c>
      <c r="F60" s="561"/>
      <c r="G60" s="1662" t="s">
        <v>1069</v>
      </c>
      <c r="H60" s="1669">
        <f>H59*GapCalc!I33</f>
        <v>66774203.521864735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80891329.5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0</v>
      </c>
      <c r="C7" s="1417">
        <f>C4*E4</f>
        <v>970208.98819641001</v>
      </c>
      <c r="D7" s="1409">
        <f>(1-'Rental Income'!O19)</f>
        <v>0.80158730158730163</v>
      </c>
    </row>
    <row r="8" spans="1:5">
      <c r="A8" s="1410" t="s">
        <v>980</v>
      </c>
      <c r="B8" s="1417">
        <f>B7*D7</f>
        <v>0</v>
      </c>
      <c r="C8" s="1417">
        <f>C7*D7</f>
        <v>777707.20482410642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777707.20482410642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0</v>
      </c>
    </row>
    <row r="14" spans="1:5">
      <c r="A14" t="s">
        <v>992</v>
      </c>
      <c r="B14">
        <v>24</v>
      </c>
      <c r="C14" s="1425">
        <f>C3*(E3/12)*B14</f>
        <v>0</v>
      </c>
    </row>
    <row r="15" spans="1:5">
      <c r="A15" s="40" t="s">
        <v>994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10880604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-544309.20000000007</v>
      </c>
      <c r="E18" s="50"/>
      <c r="F18" s="55">
        <v>0.05</v>
      </c>
    </row>
    <row r="19" spans="1:25">
      <c r="A19" s="40" t="s">
        <v>165</v>
      </c>
      <c r="D19" s="57">
        <f>SUM(D15:D18)</f>
        <v>10341874.800000001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131433</v>
      </c>
      <c r="E22" s="48">
        <v>1043</v>
      </c>
      <c r="F22" s="453" t="s">
        <v>172</v>
      </c>
      <c r="N22" s="428">
        <f>D22*0.8</f>
        <v>105146.40000000001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174</v>
      </c>
      <c r="D23" s="48">
        <f>(E23*$D$10-20)/2</f>
        <v>168074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23466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121351.36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183</v>
      </c>
      <c r="D26" s="51">
        <f>SUM(D22:D25)</f>
        <v>444324.36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46872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192</v>
      </c>
      <c r="D31" s="48">
        <f>E31*$D$10</f>
        <v>41328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194</v>
      </c>
      <c r="C32" s="43"/>
      <c r="D32" s="50">
        <f>E32*$D$10</f>
        <v>7560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120960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133560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202</v>
      </c>
      <c r="D37" s="48">
        <f>E37*$D$10</f>
        <v>199080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106092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438732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92988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66982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99792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34272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214200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13860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391164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777707.20482410642</v>
      </c>
      <c r="Y56" s="1309">
        <f>X56/'Rental Income'!D15</f>
        <v>3086.1397016829619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436.27870666666666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211680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158.73015873015873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850291.33815743984</v>
      </c>
    </row>
    <row r="65" spans="1:25">
      <c r="B65" t="s">
        <v>250</v>
      </c>
      <c r="D65" s="48">
        <f>E65*$D$10</f>
        <v>37800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301480</v>
      </c>
      <c r="E67" s="48">
        <f>SUM(E62:E66)</f>
        <v>1333.7301587301588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75600</v>
      </c>
      <c r="E69" s="426">
        <v>300</v>
      </c>
    </row>
    <row r="70" spans="1:25">
      <c r="V70" s="40" t="s">
        <v>256</v>
      </c>
      <c r="X70" s="1307">
        <f>SUM(X68,X64,X54,X39,X31)</f>
        <v>1297534.3181574398</v>
      </c>
      <c r="Y70" s="1307">
        <f>X70/D10</f>
        <v>5148.9457069739674</v>
      </c>
    </row>
    <row r="71" spans="1:25">
      <c r="A71" s="40" t="s">
        <v>257</v>
      </c>
      <c r="D71" s="48">
        <f>E71*$D$10</f>
        <v>126000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-851.05429302603261</v>
      </c>
    </row>
    <row r="75" spans="1:25">
      <c r="A75" s="44" t="s">
        <v>260</v>
      </c>
      <c r="B75" s="45"/>
      <c r="C75" s="45"/>
      <c r="D75" s="52">
        <f>D19-D73</f>
        <v>8173702.2059200015</v>
      </c>
      <c r="E75" s="52">
        <f>D75/D10</f>
        <v>32435.326213968259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245772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101264161.87499999</v>
      </c>
      <c r="C7" s="465">
        <f>'Dev Summary_5-20'!B8</f>
        <v>3190331</v>
      </c>
      <c r="D7" s="465">
        <f t="shared" ref="D7:D14" si="0">B7-C7</f>
        <v>98073830.874999985</v>
      </c>
      <c r="E7" s="477">
        <f t="shared" ref="E7:E15" si="1">D7/B7</f>
        <v>0.96849496464565488</v>
      </c>
      <c r="F7" s="477"/>
      <c r="G7" s="472" t="e">
        <f t="shared" ref="G7:G14" si="2">B7/$B$15</f>
        <v>#REF!</v>
      </c>
      <c r="I7" s="147">
        <f>B7/$H$4</f>
        <v>920583.28977272718</v>
      </c>
      <c r="J7" s="53">
        <f>B7/$H$5</f>
        <v>412.0248111054147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355319.64783155709</v>
      </c>
      <c r="C9" s="446">
        <f>'Dev Summary_5-20'!B10</f>
        <v>50000</v>
      </c>
      <c r="D9" s="446">
        <f t="shared" si="0"/>
        <v>305319.64783155709</v>
      </c>
      <c r="E9" s="477">
        <f t="shared" si="1"/>
        <v>0.85928163470514585</v>
      </c>
      <c r="F9" s="477"/>
      <c r="G9" s="473" t="e">
        <f t="shared" si="2"/>
        <v>#REF!</v>
      </c>
      <c r="I9" s="53">
        <f t="shared" si="3"/>
        <v>3230.178616650519</v>
      </c>
      <c r="J9" s="53">
        <f t="shared" si="4"/>
        <v>1.445728756048521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0.130201975814983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657075</v>
      </c>
      <c r="C14" s="467">
        <f>'Dev Summary_5-20'!B14</f>
        <v>282276.62941911275</v>
      </c>
      <c r="D14" s="467">
        <f t="shared" si="0"/>
        <v>374798.37058088725</v>
      </c>
      <c r="E14" s="478">
        <f t="shared" si="1"/>
        <v>0.57040424697467906</v>
      </c>
      <c r="F14" s="478"/>
      <c r="G14" s="474" t="e">
        <f t="shared" si="2"/>
        <v>#REF!</v>
      </c>
      <c r="I14" s="53">
        <f t="shared" si="3"/>
        <v>5973.409090909091</v>
      </c>
      <c r="J14" s="53">
        <f t="shared" si="4"/>
        <v>2.6735144768321861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95751851.708961919</v>
      </c>
      <c r="C21" s="48">
        <v>18731659</v>
      </c>
      <c r="D21" s="48">
        <f>B21-C21</f>
        <v>77020192.708961919</v>
      </c>
      <c r="E21" s="55">
        <f>D21/B21</f>
        <v>0.80437287983803241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4903221.7914775759</v>
      </c>
      <c r="C28" s="50"/>
      <c r="D28" s="50">
        <f t="shared" si="5"/>
        <v>4903221.7914775759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111390578.06249999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100751.52025624999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90676.368230624998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802579.41493229149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111390578.06249999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25619.832954375001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1019627.1363735414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89112462.449999988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122057.76818749998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89112462.449999988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129145.26818749998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1213369.9424999999</v>
      </c>
      <c r="E10" s="748">
        <f>'PreDev Flow of Funds'!Y10+'PreDev Flow of Funds'!Y12</f>
        <v>1395966</v>
      </c>
      <c r="F10" s="748">
        <f>(D10-E10)/18</f>
        <v>-10144.225416666673</v>
      </c>
      <c r="G10" s="748">
        <f>$F$10</f>
        <v>-10144.225416666673</v>
      </c>
      <c r="H10" s="748">
        <f t="shared" ref="H10:W10" si="2">$F$10</f>
        <v>-10144.225416666673</v>
      </c>
      <c r="I10" s="748">
        <f t="shared" si="2"/>
        <v>-10144.225416666673</v>
      </c>
      <c r="J10" s="748">
        <f t="shared" si="2"/>
        <v>-10144.225416666673</v>
      </c>
      <c r="K10" s="748">
        <f t="shared" si="2"/>
        <v>-10144.225416666673</v>
      </c>
      <c r="L10" s="748">
        <f t="shared" si="2"/>
        <v>-10144.225416666673</v>
      </c>
      <c r="M10" s="748">
        <f t="shared" si="2"/>
        <v>-10144.225416666673</v>
      </c>
      <c r="N10" s="748">
        <f t="shared" si="2"/>
        <v>-10144.225416666673</v>
      </c>
      <c r="O10" s="748">
        <f t="shared" si="2"/>
        <v>-10144.225416666673</v>
      </c>
      <c r="P10" s="748">
        <f t="shared" si="2"/>
        <v>-10144.225416666673</v>
      </c>
      <c r="Q10" s="748">
        <f t="shared" si="2"/>
        <v>-10144.225416666673</v>
      </c>
      <c r="R10" s="748">
        <f t="shared" si="2"/>
        <v>-10144.225416666673</v>
      </c>
      <c r="S10" s="748">
        <f t="shared" si="2"/>
        <v>-10144.225416666673</v>
      </c>
      <c r="T10" s="748">
        <f t="shared" si="2"/>
        <v>-10144.225416666673</v>
      </c>
      <c r="U10" s="748">
        <f t="shared" si="2"/>
        <v>-10144.225416666673</v>
      </c>
      <c r="V10" s="748">
        <f t="shared" si="2"/>
        <v>-10144.225416666673</v>
      </c>
      <c r="W10" s="748">
        <f t="shared" si="2"/>
        <v>-10144.225416666673</v>
      </c>
      <c r="X10" s="748"/>
      <c r="Y10" s="748">
        <f>SUM(E10:W10)</f>
        <v>1213369.9425000013</v>
      </c>
    </row>
    <row r="11" spans="1:25" ht="15">
      <c r="A11" s="402"/>
      <c r="B11" s="403" t="s">
        <v>388</v>
      </c>
      <c r="C11" s="748"/>
      <c r="D11" s="748">
        <f>'Development Budget'!G41</f>
        <v>1213369.9424999999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101264161.87499999</v>
      </c>
      <c r="E13" s="748">
        <f>'PreDev Flow of Funds'!Y14</f>
        <v>69798.3</v>
      </c>
      <c r="F13" s="748">
        <f>(D13-E13)/18</f>
        <v>5621909.0874999994</v>
      </c>
      <c r="G13" s="748">
        <f>$F$13</f>
        <v>5621909.0874999994</v>
      </c>
      <c r="H13" s="748">
        <f t="shared" ref="H13:W13" si="5">$F$13</f>
        <v>5621909.0874999994</v>
      </c>
      <c r="I13" s="748">
        <f t="shared" si="5"/>
        <v>5621909.0874999994</v>
      </c>
      <c r="J13" s="748">
        <f t="shared" si="5"/>
        <v>5621909.0874999994</v>
      </c>
      <c r="K13" s="748">
        <f t="shared" si="5"/>
        <v>5621909.0874999994</v>
      </c>
      <c r="L13" s="748">
        <f t="shared" si="5"/>
        <v>5621909.0874999994</v>
      </c>
      <c r="M13" s="748">
        <f t="shared" si="5"/>
        <v>5621909.0874999994</v>
      </c>
      <c r="N13" s="748">
        <f t="shared" si="5"/>
        <v>5621909.0874999994</v>
      </c>
      <c r="O13" s="748">
        <f t="shared" si="5"/>
        <v>5621909.0874999994</v>
      </c>
      <c r="P13" s="748">
        <f t="shared" si="5"/>
        <v>5621909.0874999994</v>
      </c>
      <c r="Q13" s="748">
        <f t="shared" si="5"/>
        <v>5621909.0874999994</v>
      </c>
      <c r="R13" s="748">
        <f t="shared" si="5"/>
        <v>5621909.0874999994</v>
      </c>
      <c r="S13" s="748">
        <f t="shared" si="5"/>
        <v>5621909.0874999994</v>
      </c>
      <c r="T13" s="748">
        <f t="shared" si="5"/>
        <v>5621909.0874999994</v>
      </c>
      <c r="U13" s="748">
        <f t="shared" si="5"/>
        <v>5621909.0874999994</v>
      </c>
      <c r="V13" s="748">
        <f t="shared" si="5"/>
        <v>5621909.0874999994</v>
      </c>
      <c r="W13" s="748">
        <f t="shared" si="5"/>
        <v>5621909.0874999994</v>
      </c>
      <c r="X13" s="748"/>
      <c r="Y13" s="748">
        <f t="shared" si="3"/>
        <v>101264161.87500003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101264161.87499999</v>
      </c>
      <c r="E15" s="748">
        <f>'PreDev Flow of Funds'!Y16+'PreDev Flow of Funds'!Y17+'PreDev Flow of Funds'!Y19</f>
        <v>72500</v>
      </c>
      <c r="F15" s="748">
        <f>(D15-E15)/18</f>
        <v>5621758.993055555</v>
      </c>
      <c r="G15" s="748">
        <f>$F$15</f>
        <v>5621758.993055555</v>
      </c>
      <c r="H15" s="748">
        <f t="shared" ref="H15:W15" si="7">$F$15</f>
        <v>5621758.993055555</v>
      </c>
      <c r="I15" s="748">
        <f t="shared" si="7"/>
        <v>5621758.993055555</v>
      </c>
      <c r="J15" s="748">
        <f t="shared" si="7"/>
        <v>5621758.993055555</v>
      </c>
      <c r="K15" s="748">
        <f t="shared" si="7"/>
        <v>5621758.993055555</v>
      </c>
      <c r="L15" s="748">
        <f t="shared" si="7"/>
        <v>5621758.993055555</v>
      </c>
      <c r="M15" s="748">
        <f t="shared" si="7"/>
        <v>5621758.993055555</v>
      </c>
      <c r="N15" s="748">
        <f t="shared" si="7"/>
        <v>5621758.993055555</v>
      </c>
      <c r="O15" s="748">
        <f t="shared" si="7"/>
        <v>5621758.993055555</v>
      </c>
      <c r="P15" s="748">
        <f t="shared" si="7"/>
        <v>5621758.993055555</v>
      </c>
      <c r="Q15" s="748">
        <f t="shared" si="7"/>
        <v>5621758.993055555</v>
      </c>
      <c r="R15" s="748">
        <f t="shared" si="7"/>
        <v>5621758.993055555</v>
      </c>
      <c r="S15" s="748">
        <f t="shared" si="7"/>
        <v>5621758.993055555</v>
      </c>
      <c r="T15" s="748">
        <f t="shared" si="7"/>
        <v>5621758.993055555</v>
      </c>
      <c r="U15" s="748">
        <f t="shared" si="7"/>
        <v>5621758.993055555</v>
      </c>
      <c r="V15" s="748">
        <f t="shared" si="7"/>
        <v>5621758.993055555</v>
      </c>
      <c r="W15" s="748">
        <f t="shared" si="7"/>
        <v>5621758.993055555</v>
      </c>
      <c r="X15" s="748"/>
      <c r="Y15" s="748">
        <f t="shared" si="3"/>
        <v>101264161.87499996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80891329.5</v>
      </c>
      <c r="E33" s="748">
        <v>0</v>
      </c>
      <c r="F33" s="748">
        <f>D33</f>
        <v>80891329.5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80891329.5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253160.40468749998</v>
      </c>
      <c r="E43" s="748">
        <f>D43</f>
        <v>253160.40468749998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253160.40468749998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444160.40468749998</v>
      </c>
      <c r="E52" s="748">
        <f>D52</f>
        <v>444160.40468749998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444160.40468749998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657075</v>
      </c>
      <c r="E58" s="748">
        <f>'PreDev Flow of Funds'!Y46</f>
        <v>96238.814999999988</v>
      </c>
      <c r="F58" s="748">
        <f>(D58-E58)/18</f>
        <v>31157.565833333338</v>
      </c>
      <c r="G58" s="748">
        <f>$F$58</f>
        <v>31157.565833333338</v>
      </c>
      <c r="H58" s="748">
        <f t="shared" ref="H58:W58" si="18">$F$58</f>
        <v>31157.565833333338</v>
      </c>
      <c r="I58" s="748">
        <f t="shared" si="18"/>
        <v>31157.565833333338</v>
      </c>
      <c r="J58" s="748">
        <f t="shared" si="18"/>
        <v>31157.565833333338</v>
      </c>
      <c r="K58" s="748">
        <f t="shared" si="18"/>
        <v>31157.565833333338</v>
      </c>
      <c r="L58" s="748">
        <f t="shared" si="18"/>
        <v>31157.565833333338</v>
      </c>
      <c r="M58" s="748">
        <f t="shared" si="18"/>
        <v>31157.565833333338</v>
      </c>
      <c r="N58" s="748">
        <f t="shared" si="18"/>
        <v>31157.565833333338</v>
      </c>
      <c r="O58" s="748">
        <f t="shared" si="18"/>
        <v>31157.565833333338</v>
      </c>
      <c r="P58" s="748">
        <f t="shared" si="18"/>
        <v>31157.565833333338</v>
      </c>
      <c r="Q58" s="748">
        <f t="shared" si="18"/>
        <v>31157.565833333338</v>
      </c>
      <c r="R58" s="748">
        <f t="shared" si="18"/>
        <v>31157.565833333338</v>
      </c>
      <c r="S58" s="748">
        <f t="shared" si="18"/>
        <v>31157.565833333338</v>
      </c>
      <c r="T58" s="748">
        <f t="shared" si="18"/>
        <v>31157.565833333338</v>
      </c>
      <c r="U58" s="748">
        <f t="shared" si="18"/>
        <v>31157.565833333338</v>
      </c>
      <c r="V58" s="748">
        <f t="shared" si="18"/>
        <v>31157.565833333338</v>
      </c>
      <c r="W58" s="748">
        <f t="shared" si="18"/>
        <v>31157.565833333338</v>
      </c>
      <c r="X58" s="748"/>
      <c r="Y58" s="748">
        <f t="shared" si="3"/>
        <v>657075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355319.64783155709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15542473.884374997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90848629.917484343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-8988927.3810564596</v>
      </c>
      <c r="E87" s="749">
        <f>E80-E84-E85-E86-E88-E89-E90-E91</f>
        <v>701320.80937499553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15542473.884374997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-879352.94437499985</v>
      </c>
      <c r="K103" s="162">
        <f>J103+(C116*0.25)/2</f>
        <v>-1758705.8887499997</v>
      </c>
      <c r="L103" s="162">
        <f>K103+((C116-K103)/4)</f>
        <v>-3077735.3053124994</v>
      </c>
      <c r="M103" s="162">
        <f>L103+((C116-K103)/4)</f>
        <v>-4396764.7218749989</v>
      </c>
      <c r="N103" s="162">
        <f>M103+((C116-K103)/4)</f>
        <v>-5715794.1384374984</v>
      </c>
      <c r="O103" s="162">
        <f>N103+((C116-K103)/4)</f>
        <v>-7034823.5549999978</v>
      </c>
      <c r="P103" s="162">
        <f>O103</f>
        <v>-7034823.5549999978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9368494.5633333344</v>
      </c>
      <c r="K104" s="371">
        <f>((C117-1033493)/6)+J104</f>
        <v>18736989.126666669</v>
      </c>
      <c r="L104" s="371">
        <f>((C117-1033493)/6)+K104</f>
        <v>28105483.690000005</v>
      </c>
      <c r="M104" s="371">
        <f>((C117-1033493)/6)+L104</f>
        <v>37473978.253333338</v>
      </c>
      <c r="N104" s="371">
        <f>((C117-1033493)/6)+M104</f>
        <v>46842472.81666667</v>
      </c>
      <c r="O104" s="371">
        <f>((C117-1033493)/6)+N104</f>
        <v>56210967.380000003</v>
      </c>
      <c r="P104" s="371">
        <f>(286645+100000+646848)+O104</f>
        <v>57244460.380000003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8489141.6189583354</v>
      </c>
      <c r="K110" s="371">
        <f t="shared" ref="K110:P110" si="9">SUM(K103:K104)</f>
        <v>16978283.237916671</v>
      </c>
      <c r="L110" s="371">
        <f t="shared" si="9"/>
        <v>25027748.384687506</v>
      </c>
      <c r="M110" s="371">
        <f t="shared" si="9"/>
        <v>33077213.531458341</v>
      </c>
      <c r="N110" s="371">
        <f t="shared" si="9"/>
        <v>41126678.678229168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-7034823.5549999988</v>
      </c>
      <c r="D116" s="1773"/>
    </row>
    <row r="117" spans="2:19" ht="16.5" thickBot="1">
      <c r="B117" s="398" t="s">
        <v>602</v>
      </c>
      <c r="C117" s="1776">
        <f>C118-C114-C116-C115</f>
        <v>57244460.380000003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