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Policy Hypotheticals\Low Cost Financing\"/>
    </mc:Choice>
  </mc:AlternateContent>
  <xr:revisionPtr revIDLastSave="0" documentId="13_ncr:1_{D2DB536D-11A1-42A3-9337-2FABAB40F8A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 iterateCount="32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/>
  <c r="E35" i="1"/>
  <c r="D37" i="2" l="1"/>
  <c r="D40" i="28" s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5" i="28" a="1"/>
  <c r="D16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 l="1"/>
  <c r="AF42" i="5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D22" i="6"/>
  <c r="I250" i="1"/>
  <c r="K97" i="1" s="1"/>
  <c r="G254" i="1"/>
  <c r="D23" i="2"/>
  <c r="E28" i="28" l="1"/>
  <c r="E18" i="28"/>
  <c r="E23" i="2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<sst xmlns="http://schemas.openxmlformats.org/spreadsheetml/2006/main" count="1995" uniqueCount="1105">
  <si>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</si>
  <si>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</si>
  <si>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</si>
  <si>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</si>
  <si>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</si>
  <si>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</si>
  <si>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</si>
  <si>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</si>
  <si>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</si>
  <si>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</si>
  <si>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</si>
  <si>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</si>
  <si>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</si>
  <si>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</si>
  <si>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</si>
  <si>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</si>
  <si>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</si>
  <si>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</si>
  <si>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</si>
  <si>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</si>
  <si>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</si>
  <si>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</si>
  <si>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</si>
  <si>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</si>
  <si>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</si>
  <si>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</si>
  <si>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</si>
  <si>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</si>
  <si>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</si>
  <si>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</si>
  <si>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</si>
  <si>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</si>
  <si>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</si>
  <si>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</si>
  <si>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</si>
  <si>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</si>
  <si>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</si>
  <si>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</si>
  <si>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</si>
  <si>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</si>
  <si>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</si>
  <si>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</si>
  <si>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</si>
  <si>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</si>
  <si>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</si>
  <si>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</si>
  <si>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</si>
  <si>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</si>
  <si>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</si>
  <si>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</si>
  <si>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</si>
  <si>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</si>
  <si>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</si>
  <si>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</si>
  <si>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</si>
  <si>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</si>
  <si>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</si>
  <si>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</si>
  <si>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</si>
  <si>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</si>
  <si>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</si>
  <si>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</si>
  <si>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</si>
  <si>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</si>
  <si>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</si>
  <si>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</si>
  <si>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</si>
  <si>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</si>
  <si>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</si>
  <si>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</si>
  <si>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</si>
  <si>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</si>
  <si>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</si>
  <si>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</si>
  <si>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</si>
  <si>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</si>
  <si>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</si>
  <si>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</si>
  <si>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</si>
  <si>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</si>
  <si>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</si>
  <si>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</si>
  <si>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</si>
  <si>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</si>
  <si>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</si>
  <si>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</si>
  <si>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</si>
  <si>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</si>
  <si>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</si>
  <si>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</si>
  <si>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</si>
  <si>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</si>
  <si>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</si>
  <si>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</si>
  <si>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</si>
  <si>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</si>
  <si>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</si>
  <si>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</si>
  <si>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</si>
  <si>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</si>
  <si>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</si>
  <si>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</si>
  <si>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</si>
  <si>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</si>
  <si>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</si>
  <si>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</si>
  <si>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</si>
  <si>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</si>
  <si>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</si>
  <si>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</si>
  <si>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</si>
  <si>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</si>
  <si>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</si>
  <si>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</si>
  <si>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</si>
  <si>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</si>
  <si>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</si>
  <si>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</si>
  <si>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</si>
  <si>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</si>
  <si>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</si>
  <si>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</si>
  <si>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</si>
  <si>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</si>
  <si>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</si>
  <si>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</si>
  <si>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</si>
  <si>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</si>
  <si>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</si>
  <si>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</si>
  <si>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</si>
  <si>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</si>
  <si>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</si>
  <si>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</si>
  <si>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</si>
  <si>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</si>
  <si>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</si>
  <si>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</si>
  <si>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</si>
  <si>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</si>
  <si>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</si>
  <si>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</si>
  <si>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</si>
  <si>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</si>
  <si>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</si>
  <si>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</si>
  <si>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</si>
  <si>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</si>
  <si>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</si>
  <si>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</si>
  <si>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</si>
  <si>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</si>
  <si>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</si>
  <si>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</si>
  <si>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</si>
  <si>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</si>
  <si>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</si>
  <si>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</si>
  <si>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</si>
  <si>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</si>
  <si>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</si>
  <si>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</si>
  <si>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</si>
  <si>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</si>
  <si>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</si>
  <si>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</si>
  <si>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</si>
  <si>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</si>
  <si>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</si>
  <si>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</si>
  <si>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</si>
  <si>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</si>
  <si>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</si>
  <si>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</si>
  <si>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</si>
  <si>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</si>
  <si>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</si>
  <si>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</si>
  <si>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</si>
  <si>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</si>
  <si>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</si>
  <si>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</si>
  <si>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</si>
  <si>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</si>
  <si>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</si>
  <si>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</si>
  <si>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</si>
  <si>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</si>
  <si>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</si>
  <si>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</si>
  <si>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</si>
  <si>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</si>
  <si>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</si>
  <si>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</si>
  <si>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</si>
  <si>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</si>
  <si>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</si>
  <si>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</si>
  <si>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</si>
  <si>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</si>
  <si>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</si>
  <si>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</si>
  <si>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</si>
  <si>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</si>
  <si>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</si>
  <si>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</si>
  <si>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</si>
  <si>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</si>
  <si>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</si>
  <si>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</si>
  <si>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</si>
  <si>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</si>
  <si>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</si>
  <si>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</si>
  <si>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</si>
  <si>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</si>
  <si>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</si>
  <si>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</si>
  <si>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</si>
  <si>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</si>
  <si>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</si>
  <si>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</si>
  <si>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</si>
  <si>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</si>
  <si>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</si>
  <si>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</si>
  <si>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</si>
  <si>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</si>
  <si>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</si>
  <si>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</si>
  <si>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</si>
  <si>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</si>
  <si>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</si>
  <si>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</si>
  <si>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</si>
  <si>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</si>
  <si>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</si>
  <si>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</si>
  <si>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</si>
  <si>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</si>
  <si>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</si>
  <si>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</si>
  <si>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</si>
  <si>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</si>
  <si>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</si>
  <si>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</si>
  <si>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</si>
  <si>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</si>
  <si>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</si>
  <si>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</si>
  <si>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</si>
  <si>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</si>
  <si>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</si>
  <si>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</si>
  <si>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</si>
  <si>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</si>
  <si>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</si>
  <si>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</si>
  <si>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</si>
  <si>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</si>
  <si>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</si>
  <si>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</si>
  <si>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</si>
  <si>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</si>
  <si>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</si>
  <si>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</si>
  <si>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</si>
  <si>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</si>
  <si>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</si>
  <si>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</si>
  <si>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</si>
  <si>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</si>
  <si>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</si>
  <si>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</si>
  <si>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</si>
  <si>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</si>
  <si>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</si>
  <si>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</si>
  <si>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</si>
  <si>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</si>
  <si>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</si>
  <si>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</si>
  <si>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</si>
  <si>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</si>
  <si>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</si>
  <si>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</si>
  <si>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</si>
  <si>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</si>
  <si>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</si>
  <si>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</si>
  <si>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</si>
  <si>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</si>
  <si>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</si>
  <si>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</si>
  <si>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</si>
  <si>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</si>
  <si>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</si>
  <si>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</si>
  <si>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</si>
  <si>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</si>
  <si>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</si>
  <si>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</si>
  <si>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</si>
  <si>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</si>
  <si>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</si>
  <si>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</si>
  <si>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</si>
  <si>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</si>
  <si>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</si>
  <si>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</si>
  <si>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</si>
  <si>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</si>
  <si>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</si>
  <si>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</si>
  <si>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</si>
  <si>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</si>
  <si>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</si>
  <si>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</si>
  <si>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</si>
  <si>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</si>
  <si>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</si>
  <si>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</si>
  <si>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</si>
  <si>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</si>
  <si>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</si>
  <si>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</si>
  <si>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</si>
  <si>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</si>
  <si>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</si>
  <si>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</si>
  <si>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</si>
  <si>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</si>
  <si>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</si>
  <si>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</si>
  <si>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</si>
  <si>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</si>
  <si>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</si>
  <si>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</si>
  <si>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</si>
  <si>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</si>
  <si>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</si>
  <si>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</si>
  <si>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</si>
  <si>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</si>
  <si>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</si>
  <si>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</si>
  <si>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</si>
  <si>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</si>
  <si>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</si>
  <si>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</si>
  <si>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</si>
  <si>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</si>
  <si>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</si>
  <si>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</si>
  <si>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</si>
  <si>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</si>
  <si>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</si>
  <si>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</si>
  <si>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</si>
  <si>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</si>
  <si>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</si>
  <si>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</si>
  <si>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</si>
  <si>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</si>
  <si>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</si>
  <si>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</si>
  <si>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</si>
  <si>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</si>
  <si>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</si>
  <si>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</si>
  <si>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</si>
  <si>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</si>
  <si>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</si>
  <si>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</si>
  <si>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</si>
  <si>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</si>
  <si>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</si>
  <si>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</si>
  <si>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</si>
  <si>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</si>
  <si>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</si>
  <si>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</si>
  <si>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</si>
  <si>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</si>
  <si>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</si>
  <si>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</si>
  <si>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</si>
  <si>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</si>
  <si>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</si>
  <si>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</si>
  <si>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</si>
  <si>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</si>
  <si>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</si>
  <si>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</si>
  <si>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</si>
  <si>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</si>
  <si>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</si>
  <si>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</si>
  <si>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</si>
  <si>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</si>
  <si>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</si>
  <si>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</si>
  <si>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</si>
  <si>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</si>
  <si>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</si>
  <si>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</si>
  <si>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</si>
  <si>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</si>
  <si>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</si>
  <si>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</si>
  <si>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</si>
  <si>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</si>
  <si>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</si>
  <si>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</si>
  <si>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</si>
  <si>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</si>
  <si>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</si>
  <si>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</si>
  <si>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</si>
  <si>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</si>
  <si>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</si>
  <si>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</si>
  <si>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</si>
  <si>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</si>
  <si>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</si>
  <si>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</si>
  <si>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</si>
  <si>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</si>
  <si>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</si>
  <si>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</si>
  <si>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</si>
  <si>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</si>
  <si>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</si>
  <si>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</si>
  <si>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</si>
  <si>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</si>
  <si>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</si>
  <si>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</si>
  <si>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</si>
  <si>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</si>
  <si>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</si>
  <si>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</si>
  <si>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</si>
  <si>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</si>
  <si>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</si>
  <si>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</si>
  <si>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</si>
  <si>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</si>
  <si>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</si>
  <si>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</si>
  <si>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</si>
  <si>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</si>
  <si>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</si>
  <si>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</si>
  <si>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</si>
  <si>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</si>
  <si>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</si>
  <si>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</si>
  <si>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</si>
  <si>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</si>
  <si>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</si>
  <si>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</si>
  <si>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</si>
  <si>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</si>
  <si>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</si>
  <si>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</si>
  <si>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</si>
  <si>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</si>
  <si>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</si>
  <si>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</si>
  <si>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</si>
  <si>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</si>
  <si>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</si>
  <si>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</si>
  <si>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</si>
  <si>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</si>
  <si>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</si>
  <si>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</si>
  <si>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</si>
  <si>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</si>
  <si>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</si>
  <si>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</si>
  <si>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</si>
  <si>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</si>
  <si>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</si>
  <si>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</si>
  <si>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</si>
  <si>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</si>
  <si>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</si>
  <si>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</si>
  <si>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</si>
  <si>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</si>
  <si>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</si>
  <si>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</si>
  <si>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</si>
  <si>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</si>
  <si>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</si>
  <si>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</si>
  <si>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</si>
  <si>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</si>
  <si>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</si>
  <si>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</si>
  <si>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</si>
  <si>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</si>
  <si>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</si>
  <si>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</si>
  <si>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</si>
  <si>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</si>
  <si>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</si>
  <si>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</si>
  <si>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</si>
  <si>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</si>
  <si>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</si>
  <si>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</si>
  <si>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</si>
  <si>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</si>
  <si>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</si>
  <si>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</si>
  <si>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</si>
  <si>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</si>
  <si>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</si>
  <si>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</si>
  <si>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</si>
  <si>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</si>
  <si>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</si>
  <si>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</si>
  <si>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</si>
  <si>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</si>
  <si>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</si>
  <si>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</si>
  <si>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</si>
  <si>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</si>
  <si>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</si>
  <si>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</si>
  <si>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</si>
  <si>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</si>
  <si>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</si>
  <si>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</si>
  <si>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</si>
  <si>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</si>
  <si>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</si>
  <si>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</si>
  <si>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</si>
  <si>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</si>
  <si>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</si>
  <si>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</si>
  <si>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</si>
  <si>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</si>
  <si>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</si>
  <si>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</si>
  <si>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</si>
  <si>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</si>
  <si>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</si>
  <si>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</si>
  <si>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</si>
  <si>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</si>
  <si>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</si>
  <si>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</si>
  <si>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</si>
  <si>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</si>
  <si>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</si>
  <si>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</si>
  <si>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</si>
  <si>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</si>
  <si>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</si>
  <si>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</si>
  <si>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</si>
  <si>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</si>
  <si>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</si>
  <si>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</si>
  <si>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</si>
  <si>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</si>
  <si>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</si>
  <si>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</si>
  <si>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</si>
  <si>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</si>
  <si>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</si>
  <si>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</si>
  <si>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</si>
  <si>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</si>
  <si>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</si>
  <si>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</si>
  <si>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</si>
  <si>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</si>
  <si>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</si>
  <si>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</si>
  <si>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</si>
  <si>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</si>
  <si>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</si>
  <si>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</si>
  <si>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</si>
  <si>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</si>
  <si>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</si>
  <si>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</si>
  <si>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</si>
  <si>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</si>
  <si>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</si>
  <si>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</si>
  <si>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</si>
  <si>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</si>
  <si>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</si>
  <si>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</si>
  <si>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</si>
  <si>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</si>
  <si>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</si>
  <si>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</si>
  <si>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</si>
  <si>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</si>
  <si>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</si>
  <si>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</si>
  <si>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</si>
  <si>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</si>
  <si>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</si>
  <si>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</si>
  <si>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</si>
  <si>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</si>
  <si>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</si>
  <si>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</si>
  <si>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</si>
  <si>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</si>
  <si>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</si>
  <si>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</si>
  <si>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</si>
  <si>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</si>
  <si>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</si>
  <si>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</si>
  <si>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</si>
  <si>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</si>
  <si>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</si>
  <si>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</si>
  <si>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</si>
  <si>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</si>
  <si>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</si>
  <si>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</si>
  <si>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</si>
  <si>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</si>
  <si>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</si>
  <si>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</si>
  <si>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</si>
  <si>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</si>
  <si>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</si>
  <si>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</si>
  <si>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</si>
  <si>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</si>
  <si>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</si>
  <si>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</si>
  <si>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</si>
  <si>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</si>
  <si>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</si>
  <si>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</si>
  <si>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</si>
  <si>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</si>
  <si>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</si>
  <si>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</si>
  <si>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</si>
  <si>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</si>
  <si>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</si>
  <si>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</si>
  <si>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</si>
  <si>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</si>
  <si>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</si>
  <si>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</si>
  <si>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</si>
  <si>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</si>
  <si>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</si>
  <si>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</si>
  <si>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</si>
  <si>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</si>
  <si>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</si>
  <si>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</si>
  <si>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</si>
  <si>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</si>
  <si>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</si>
  <si>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</si>
  <si>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</si>
  <si>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</si>
  <si>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</si>
  <si>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</si>
  <si>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</si>
  <si>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</si>
  <si>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</si>
  <si>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</si>
  <si>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</si>
  <si>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</si>
  <si>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</si>
  <si>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</si>
  <si>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</si>
  <si>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</si>
  <si>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</si>
  <si>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</si>
  <si>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</si>
  <si>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</si>
  <si>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</si>
  <si>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</si>
  <si>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</si>
  <si>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</si>
  <si>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</si>
  <si>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</si>
  <si>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</si>
  <si>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</si>
  <si>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</si>
  <si>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</si>
  <si>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</si>
  <si>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</si>
  <si>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</si>
  <si>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</si>
  <si>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</si>
  <si>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</si>
  <si>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</si>
  <si>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</si>
  <si>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</si>
  <si>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</si>
  <si>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</si>
  <si>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</si>
  <si>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</si>
  <si>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</si>
  <si>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</si>
  <si>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</si>
  <si>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</si>
  <si>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</si>
  <si>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</si>
  <si>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</si>
  <si>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</si>
  <si>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</si>
  <si>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</si>
  <si>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</si>
  <si>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</si>
  <si>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</si>
  <si>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</si>
  <si>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</si>
  <si>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</si>
  <si>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</si>
  <si>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</si>
  <si>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</si>
  <si>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</si>
  <si>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</si>
  <si>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</si>
  <si>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</si>
  <si>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</si>
  <si>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</si>
  <si>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</si>
  <si>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</si>
  <si>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</si>
  <si>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</si>
  <si>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</si>
  <si>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</si>
  <si>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</si>
  <si>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</si>
  <si>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</si>
  <si>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</si>
  <si>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</si>
  <si>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</si>
  <si>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</si>
  <si>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</si>
  <si>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</si>
  <si>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</si>
  <si>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</si>
  <si>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</si>
  <si>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</si>
  <si>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</si>
  <si>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</si>
  <si>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</si>
  <si>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</si>
  <si>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</si>
  <si>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</si>
  <si>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</si>
  <si>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</si>
  <si>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</si>
  <si>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</si>
  <si>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</si>
  <si>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</si>
  <si>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</si>
  <si>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</si>
  <si>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</si>
  <si>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</si>
  <si>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</si>
  <si>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</si>
  <si>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</si>
  <si>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</si>
  <si>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</si>
  <si>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</si>
  <si>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</si>
  <si>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</si>
  <si>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</si>
  <si>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</si>
  <si>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</si>
  <si>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</si>
  <si>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</si>
  <si>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</si>
  <si>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</si>
  <si>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</si>
  <si>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</si>
  <si>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</si>
  <si>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</si>
  <si>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</si>
  <si>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</si>
  <si>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</si>
  <si>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</si>
  <si>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</si>
  <si>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</si>
  <si>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</si>
  <si>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</si>
  <si>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</si>
  <si>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</si>
  <si>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</si>
  <si>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</si>
  <si>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</si>
  <si>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</si>
  <si>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</si>
  <si>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</si>
  <si>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</si>
  <si>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</si>
  <si>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</si>
  <si>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</si>
  <si>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</si>
  <si>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</si>
  <si>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</si>
  <si>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</si>
  <si>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</si>
  <si>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</si>
  <si>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</si>
  <si>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</si>
  <si>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</si>
  <si>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</si>
  <si>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</si>
  <si>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</si>
  <si>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</si>
  <si>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</si>
  <si>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</si>
  <si>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</si>
  <si>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</si>
  <si>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</si>
  <si>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</si>
  <si>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</si>
  <si>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</si>
  <si>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</si>
  <si>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</si>
  <si>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</si>
  <si>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</si>
  <si>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</si>
  <si>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</si>
  <si>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</si>
  <si>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</si>
  <si>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</si>
  <si>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</si>
  <si>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</si>
  <si>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</si>
  <si>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</si>
  <si>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</si>
  <si>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</si>
  <si>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</si>
  <si>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</si>
  <si>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</si>
  <si>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</si>
  <si>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</si>
  <si>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</si>
  <si>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</si>
  <si>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</si>
  <si>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</si>
  <si>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</si>
  <si>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</si>
  <si>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</si>
  <si>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</si>
  <si>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</si>
  <si>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</si>
  <si>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</si>
  <si>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</si>
  <si>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</si>
  <si>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</si>
  <si>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</si>
  <si>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</si>
  <si>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</si>
  <si>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</si>
  <si>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</si>
  <si>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</si>
  <si>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</si>
  <si>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</si>
  <si>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</si>
  <si>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</si>
  <si>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</si>
  <si>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</si>
  <si>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</si>
  <si>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</si>
  <si>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</si>
  <si>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</si>
  <si>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</si>
  <si>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</si>
  <si>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</si>
  <si>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</si>
  <si>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</si>
  <si>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</si>
  <si>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</si>
  <si>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</si>
  <si>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</si>
  <si>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</si>
  <si>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</si>
  <si>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</si>
  <si>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</si>
  <si>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</si>
  <si>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</si>
  <si>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</si>
  <si>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</si>
  <si>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</si>
  <si>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</si>
  <si>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</si>
  <si>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</si>
  <si>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</si>
  <si>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</si>
  <si>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</si>
  <si>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</si>
  <si>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</si>
  <si>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</si>
  <si>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</si>
  <si>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</si>
  <si>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</si>
  <si>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</si>
  <si>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</si>
  <si>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</si>
  <si>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</si>
  <si>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</si>
  <si>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</si>
  <si>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</si>
  <si>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</si>
  <si>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</si>
  <si>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</si>
  <si>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</si>
  <si>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</si>
  <si>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</si>
  <si>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</si>
  <si>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</si>
  <si>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</si>
  <si>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</si>
  <si>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</si>
  <si>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</si>
  <si>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</si>
  <si>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</si>
  <si>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</si>
  <si>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</si>
  <si>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</si>
  <si>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</si>
  <si>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</si>
  <si>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</si>
  <si>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</si>
  <si>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</si>
  <si>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</si>
  <si>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</si>
  <si>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</si>
  <si>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</si>
  <si>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</si>
  <si>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</si>
  <si>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</si>
  <si>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</si>
  <si>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</si>
  <si>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</si>
  <si>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</si>
  <si>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</si>
  <si>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</si>
  <si>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</si>
  <si>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</si>
  <si>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</si>
  <si>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</si>
  <si>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</si>
  <si>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</si>
  <si>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</si>
  <si>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</si>
  <si>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</si>
  <si>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</si>
  <si>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</si>
  <si>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</si>
  <si>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</si>
  <si>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</si>
  <si>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</si>
  <si>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</si>
  <si>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</si>
  <si>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</si>
  <si>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</si>
  <si>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</si>
  <si>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</si>
  <si>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</si>
  <si>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</si>
  <si>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</si>
  <si>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</si>
  <si>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</si>
  <si>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</si>
  <si>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</si>
  <si>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</si>
  <si>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</si>
  <si>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</si>
  <si>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</si>
  <si>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</si>
  <si>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</si>
  <si>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</si>
  <si>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</si>
  <si>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</si>
  <si>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</si>
  <si>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</si>
  <si>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</si>
  <si>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</si>
  <si>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</si>
  <si>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</si>
  <si>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</si>
  <si>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</si>
  <si>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</si>
  <si>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</si>
  <si>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</si>
  <si>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</si>
  <si>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</si>
  <si>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</si>
  <si>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</si>
  <si>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</si>
  <si>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</si>
  <si>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</si>
  <si>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</si>
  <si>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</si>
  <si>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</si>
  <si>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</si>
  <si>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</si>
  <si>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</si>
  <si>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</si>
  <si>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</si>
  <si>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</si>
  <si>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</si>
  <si>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</si>
  <si>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</si>
  <si>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</si>
  <si>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</si>
  <si>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</si>
  <si>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</si>
  <si>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</si>
  <si>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</si>
  <si>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</si>
  <si>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</si>
  <si>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</si>
  <si>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</si>
  <si>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</si>
  <si>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</si>
  <si>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</si>
  <si>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</si>
  <si>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</si>
  <si>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</si>
  <si>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</si>
  <si>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</si>
  <si>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</si>
  <si>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</si>
  <si>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</si>
  <si>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</si>
  <si>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</si>
  <si>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</si>
  <si>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</si>
  <si>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</si>
  <si>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</si>
  <si>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</si>
  <si>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</si>
  <si>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</si>
  <si>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</si>
  <si>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</si>
  <si>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</si>
  <si>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</si>
  <si>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</si>
  <si>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</si>
  <si>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</si>
  <si>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</si>
  <si>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</si>
  <si>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</si>
  <si>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</si>
  <si>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</si>
  <si>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</si>
  <si>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</si>
  <si>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</si>
  <si>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</si>
  <si>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</si>
  <si>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</si>
  <si>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</si>
  <si>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</si>
  <si>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</si>
  <si>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</si>
  <si>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</si>
  <si>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</si>
  <si>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</si>
  <si>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</si>
  <si>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</si>
  <si>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</si>
  <si>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</si>
  <si>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</si>
  <si>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</si>
  <si>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</si>
  <si>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</si>
  <si>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</si>
  <si>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</si>
  <si>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</si>
  <si>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</si>
  <si>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</si>
  <si>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</si>
  <si>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</si>
  <si>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</si>
  <si>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</si>
  <si>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</si>
  <si>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</si>
  <si>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</si>
  <si>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</si>
  <si>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</si>
  <si>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</si>
  <si>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</si>
  <si>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</si>
  <si>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40%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</si>
</sst>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8" workbookViewId="0">
      <selection activeCell="F9" sqref="F9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252</v>
      </c>
      <c r="E10" s="699"/>
    </row>
    <row r="11" spans="1:5">
      <c r="A11" s="690"/>
      <c r="B11" s="698" t="s">
        <v>11</v>
      </c>
      <c r="C11" s="698"/>
      <c r="D11" s="700">
        <f>D12+D13</f>
        <v>212112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212112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-0.13244646137022323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-0.13244646137022323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-101249655.47821568</v>
      </c>
      <c r="E18" s="1754">
        <f ca="1">-D18/D28</f>
        <v>0.76110465315707521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16555000</v>
      </c>
      <c r="E21" s="1531">
        <f>D21/$D$10</f>
        <v>65694.444444444438</v>
      </c>
    </row>
    <row r="22" spans="1:6">
      <c r="A22" s="64"/>
      <c r="B22" s="4" t="s">
        <v>16</v>
      </c>
      <c r="C22" s="4"/>
      <c r="D22" s="1531">
        <f>'Development Budget'!G44</f>
        <v>88641661.874999985</v>
      </c>
      <c r="E22" s="1531">
        <f t="shared" ref="E22:E28" si="0">D22/$D$10</f>
        <v>351752.62648809521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2724240</v>
      </c>
      <c r="E23" s="1531">
        <f t="shared" si="0"/>
        <v>10810.476190476191</v>
      </c>
    </row>
    <row r="24" spans="1:6">
      <c r="A24" s="64"/>
      <c r="B24" s="4" t="s">
        <v>18</v>
      </c>
      <c r="C24" s="4"/>
      <c r="D24" s="1531">
        <f>'Development Budget'!G97</f>
        <v>4075786</v>
      </c>
      <c r="E24" s="1531">
        <f t="shared" si="0"/>
        <v>16173.753968253968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6295130.1572515359</v>
      </c>
      <c r="E25" s="1531">
        <f t="shared" si="0"/>
        <v>24980.675227188636</v>
      </c>
    </row>
    <row r="26" spans="1:6">
      <c r="A26" s="64"/>
      <c r="B26" s="4" t="s">
        <v>20</v>
      </c>
      <c r="C26" s="4"/>
      <c r="D26" s="1531">
        <f>'Development Budget'!G181</f>
        <v>1834282.9525756852</v>
      </c>
      <c r="E26" s="1531">
        <f t="shared" si="0"/>
        <v>7278.9006054590682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12903772.184690773</v>
      </c>
      <c r="E27" s="1532">
        <f t="shared" si="0"/>
        <v>51205.445177344336</v>
      </c>
    </row>
    <row r="28" spans="1:6" ht="16.5" thickTop="1">
      <c r="A28" s="4"/>
      <c r="B28" s="4"/>
      <c r="C28" s="150" t="s">
        <v>14</v>
      </c>
      <c r="D28" s="1533">
        <f>SUM(D21:D27)</f>
        <v>133029873.16951798</v>
      </c>
      <c r="E28" s="1531">
        <f t="shared" si="0"/>
        <v>527896.32210126182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86564913.699461266</v>
      </c>
      <c r="E32" s="1586">
        <f t="shared" si="1"/>
        <v>343511.56229944946</v>
      </c>
    </row>
    <row r="33" spans="1:5">
      <c r="A33" s="64"/>
      <c r="B33" s="4" t="s">
        <v>1051</v>
      </c>
      <c r="C33" s="4"/>
      <c r="D33" s="1587">
        <f>GapCalc!D29</f>
        <v>6969743.9205085076</v>
      </c>
      <c r="E33" s="1586">
        <f>D33/$D$10</f>
        <v>27657.713970271856</v>
      </c>
    </row>
    <row r="34" spans="1:5">
      <c r="A34" s="65"/>
      <c r="B34" s="4" t="s">
        <v>26</v>
      </c>
      <c r="C34" s="4"/>
      <c r="D34" s="1587">
        <f>GapCalc!D30</f>
        <v>39495215.549548209</v>
      </c>
      <c r="E34" s="1586">
        <f>D34/$D$10</f>
        <v>156727.04583154051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133029873.16951798</v>
      </c>
      <c r="E36" s="1586">
        <f>D36/$D$10</f>
        <v>527896.32210126182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27041648.656078488</v>
      </c>
      <c r="E40" s="1586">
        <f t="shared" ref="E40" si="2">D40/$D$10</f>
        <v>107308.12958761305</v>
      </c>
    </row>
    <row r="41" spans="1:5">
      <c r="A41" s="60"/>
      <c r="B41" s="4" t="s">
        <v>1051</v>
      </c>
      <c r="C41" s="4"/>
      <c r="D41" s="1591">
        <f>GapCalc!D29+GapCalc!D38</f>
        <v>15898233.677015925</v>
      </c>
      <c r="E41" s="1586">
        <f>D41/$D$10</f>
        <v>63088.228877047324</v>
      </c>
    </row>
    <row r="42" spans="1:5">
      <c r="A42" s="60"/>
      <c r="B42" s="1557" t="s">
        <v>26</v>
      </c>
      <c r="C42" s="4"/>
      <c r="D42" s="1592">
        <f>GapCalc!D30+GapCalc!D39</f>
        <v>90089990.836423576</v>
      </c>
      <c r="E42" s="1586">
        <f>D42/$D$10</f>
        <v>357499.96363660152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133029873.16951799</v>
      </c>
      <c r="E45" s="1588">
        <f>D45/$D$10</f>
        <v>527896.32210126193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3" zoomScaleNormal="100" workbookViewId="0">
      <selection activeCell="F46" sqref="F46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252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212112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212112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16555000</v>
      </c>
      <c r="E17" s="1531">
        <f>D17/$D$11</f>
        <v>65694.444444444438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88641661.874999985</v>
      </c>
      <c r="E18" s="1531">
        <f t="shared" ref="E18:E24" si="0">D18/$D$11</f>
        <v>351752.62648809521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2724240</v>
      </c>
      <c r="E19" s="1531">
        <f t="shared" si="0"/>
        <v>10810.476190476191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4075786</v>
      </c>
      <c r="E20" s="1531">
        <f t="shared" si="0"/>
        <v>16173.753968253968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6295130.1572515359</v>
      </c>
      <c r="E21" s="1531">
        <f t="shared" si="0"/>
        <v>24980.675227188636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1834282.9525756852</v>
      </c>
      <c r="E22" s="1531">
        <f t="shared" si="0"/>
        <v>7278.9006054590682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12903772.184690773</v>
      </c>
      <c r="E23" s="1532">
        <f t="shared" si="0"/>
        <v>51205.445177344336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133029873.16951798</v>
      </c>
      <c r="E24" s="1531">
        <f t="shared" si="0"/>
        <v>527896.32210126182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0.43839737558925584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86564913.699461266</v>
      </c>
      <c r="E28" s="1586">
        <f t="shared" si="1"/>
        <v>343511.56229944946</v>
      </c>
      <c r="F28" s="62"/>
      <c r="G28" s="1419" t="s">
        <v>608</v>
      </c>
      <c r="H28" s="1608">
        <f>H32/D11</f>
        <v>63088.228877047324</v>
      </c>
      <c r="I28" s="703"/>
    </row>
    <row r="29" spans="1:10" ht="15.75">
      <c r="A29" s="64"/>
      <c r="B29" s="4" t="s">
        <v>1051</v>
      </c>
      <c r="C29" s="4"/>
      <c r="D29" s="1587">
        <v>6969743.9205085076</v>
      </c>
      <c r="E29" s="1586">
        <f>D29/$D$11</f>
        <v>27657.713970271856</v>
      </c>
      <c r="F29" s="520"/>
      <c r="G29" s="1420" t="s">
        <v>971</v>
      </c>
      <c r="H29" s="1609">
        <f>H33/D11</f>
        <v>357499.96363660152</v>
      </c>
      <c r="I29" s="703"/>
    </row>
    <row r="30" spans="1:10" ht="16.5" thickBot="1">
      <c r="A30" s="65"/>
      <c r="B30" s="4" t="s">
        <v>26</v>
      </c>
      <c r="C30" s="4"/>
      <c r="D30" s="1587">
        <v>39495215.549548209</v>
      </c>
      <c r="E30" s="1586">
        <f>D30/$D$11</f>
        <v>156727.04583154051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15898233.677015925</v>
      </c>
      <c r="I32" s="1346">
        <f>H32/H34</f>
        <v>0.15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133029873.16951798</v>
      </c>
      <c r="E33" s="1586">
        <f>D33/$D$11</f>
        <v>527896.32210126182</v>
      </c>
      <c r="F33" s="62"/>
      <c r="G33" s="1441" t="s">
        <v>971</v>
      </c>
      <c r="H33" s="1611">
        <f>D30+D39</f>
        <v>90089990.836423576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105988224.51343951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0.79672499107309747</v>
      </c>
      <c r="J36" s="704"/>
    </row>
    <row r="37" spans="1:12" ht="16.5" thickBot="1">
      <c r="A37" s="60"/>
      <c r="B37" s="4" t="s">
        <v>995</v>
      </c>
      <c r="C37" s="4"/>
      <c r="D37" s="1586">
        <f>Data!C30</f>
        <v>27041648.656078488</v>
      </c>
      <c r="E37" s="1586">
        <f t="shared" ref="E37" si="2">D37/$D$11</f>
        <v>107308.12958761305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8928489.7565074172</v>
      </c>
      <c r="E38" s="1586">
        <f>D38/$D$11</f>
        <v>35430.514906775468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50594775.28687536</v>
      </c>
      <c r="E39" s="1586">
        <f>D39/$D$11</f>
        <v>200772.91780506095</v>
      </c>
      <c r="F39" s="62"/>
      <c r="G39" s="1435" t="s">
        <v>608</v>
      </c>
      <c r="H39" s="1616">
        <f>-D32*0.15</f>
        <v>0</v>
      </c>
      <c r="I39" s="1596">
        <f>D29+H39</f>
        <v>6969743.9205085076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39495215.549548209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86564913.699461266</v>
      </c>
      <c r="E42" s="1586">
        <f>D42/$D$11</f>
        <v>343511.56229944946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8928489.7565074172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0</v>
      </c>
      <c r="I44" s="1596">
        <f>D39+H44</f>
        <v>50594775.28687536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4027783.679940246</v>
      </c>
      <c r="J46" s="1582" t="s">
        <v>1083</v>
      </c>
      <c r="K46" s="1583">
        <f>'Cash Flow'!C76</f>
        <v>-0.13244646137022323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2036838.281185189</v>
      </c>
      <c r="J47" s="1584" t="s">
        <v>1098</v>
      </c>
      <c r="K47" s="1607">
        <f>'Cash Flow'!C70</f>
        <v>6565287.3983026007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-86062207.156483322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710785.3552835728</v>
      </c>
      <c r="J51" s="1585" t="s">
        <v>1083</v>
      </c>
      <c r="K51" s="1618">
        <f>'Cash Flow'!H76</f>
        <v>-0.13244646137022323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15898233.677015925</v>
      </c>
      <c r="J52" s="1584" t="s">
        <v>1097</v>
      </c>
      <c r="K52" s="1607">
        <f>'Cash Flow'!H70</f>
        <v>1158580.1291122236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-15187448.321732352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-101249655.47821568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7261247.1508607585</v>
      </c>
      <c r="J58" s="1582" t="s">
        <v>1083</v>
      </c>
      <c r="K58" s="1583">
        <f>'Cash Flow'!C103</f>
        <v>-8.6862211055839314E-2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11835832.855903035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-82828743.685562819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860315.87082420569</v>
      </c>
      <c r="J63" s="1585" t="s">
        <v>1083</v>
      </c>
      <c r="K63" s="1618">
        <f>'Cash Flow'!H103</f>
        <v>-9.1179429753439956E-2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15898233.677015925</v>
      </c>
      <c r="J64" s="1584" t="s">
        <v>1097</v>
      </c>
      <c r="K64" s="1607">
        <f>'Cash Flow'!H97</f>
        <v>1402314.8694434552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-15037917.80619172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-97866661.491754532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6" zoomScale="130" zoomScaleNormal="130" workbookViewId="0">
      <selection activeCell="P26" sqref="P26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50</v>
      </c>
      <c r="O7" s="521">
        <f t="shared" ref="O7:O18" si="0">N7/$N$18</f>
        <v>0.1984126984126984</v>
      </c>
      <c r="Q7" s="283">
        <f>O7+O8+O9</f>
        <v>0.99206349206349209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1104</v>
      </c>
      <c r="N8" s="201">
        <f>E37</f>
        <v>75</v>
      </c>
      <c r="O8" s="521">
        <f t="shared" si="0"/>
        <v>0.29761904761904762</v>
      </c>
      <c r="Q8" s="283">
        <f>SUM(O10:O15)</f>
        <v>0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77</v>
      </c>
      <c r="E9" s="278">
        <f>IF(D9="","",D9/D$15)</f>
        <v>0.30555555555555558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42</v>
      </c>
      <c r="N9" s="298">
        <f>E46+E183</f>
        <v>125</v>
      </c>
      <c r="O9" s="332">
        <f t="shared" si="0"/>
        <v>0.49603174603174605</v>
      </c>
    </row>
    <row r="10" spans="2:19" ht="12.75" customHeight="1">
      <c r="B10" s="268"/>
      <c r="C10" s="209" t="s">
        <v>52</v>
      </c>
      <c r="D10" s="210">
        <f>SUM(E24,E33,E42,E51,E60,E78,E69,E87,E96,E116,E106)</f>
        <v>88</v>
      </c>
      <c r="E10" s="278">
        <f>IF(D10="","",D10/D$15)</f>
        <v>0.34920634920634919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87</v>
      </c>
      <c r="E11" s="278">
        <f>IF(D11="","",D11/D$15)</f>
        <v>0.34523809523809523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0</v>
      </c>
      <c r="O13" s="332">
        <f>N13/$N$18</f>
        <v>0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252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250</v>
      </c>
      <c r="O16" s="283">
        <f>SUM(O7:O15)</f>
        <v>0.99206349206349209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176760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7.9365079365079361E-3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292819</v>
      </c>
      <c r="F18" s="285"/>
      <c r="H18" s="286"/>
      <c r="I18" s="287"/>
      <c r="K18" s="226"/>
      <c r="M18" s="328" t="s">
        <v>10</v>
      </c>
      <c r="N18" s="1423">
        <f>N17+N16</f>
        <v>252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0.99206349206349209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16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6400</v>
      </c>
      <c r="K23" s="292">
        <f>E23*I23</f>
        <v>11648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18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12060</v>
      </c>
      <c r="K24" s="292">
        <f>E24*I24</f>
        <v>14040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16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16000</v>
      </c>
      <c r="K25" s="292">
        <f>E25*I25</f>
        <v>14976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50</v>
      </c>
      <c r="F28" s="241"/>
      <c r="G28" s="241"/>
      <c r="H28" s="243"/>
      <c r="I28" s="241"/>
      <c r="J28" s="293">
        <f>SUM(J23:J27)</f>
        <v>34460</v>
      </c>
      <c r="K28" s="294">
        <f>SUM(K23:K27)</f>
        <v>40664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0.4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22</v>
      </c>
      <c r="F32" s="223"/>
      <c r="G32" s="308">
        <f>H9*$C$29</f>
        <v>970.40000000000009</v>
      </c>
      <c r="H32" s="308">
        <f>$K$9</f>
        <v>0</v>
      </c>
      <c r="I32" s="228">
        <f>ROUND(G32-H32,0)</f>
        <v>970</v>
      </c>
      <c r="J32" s="284">
        <f>D32*E32</f>
        <v>8800</v>
      </c>
      <c r="K32" s="292">
        <f>E32*I32</f>
        <v>21340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27</v>
      </c>
      <c r="F33" s="223"/>
      <c r="G33" s="308">
        <f>H10*$C$29</f>
        <v>1040</v>
      </c>
      <c r="H33" s="308">
        <f>$K$10</f>
        <v>0</v>
      </c>
      <c r="I33" s="228">
        <f>ROUND(G33-H33,0)</f>
        <v>1040</v>
      </c>
      <c r="J33" s="284">
        <f>D33*E33</f>
        <v>18090</v>
      </c>
      <c r="K33" s="292">
        <f>E33*I33</f>
        <v>28080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26</v>
      </c>
      <c r="F34" s="223"/>
      <c r="G34" s="308">
        <f>H11*$C$29</f>
        <v>1248</v>
      </c>
      <c r="H34" s="228">
        <f>$K$11</f>
        <v>0</v>
      </c>
      <c r="I34" s="228">
        <f>ROUND(G34-H34,0)</f>
        <v>1248</v>
      </c>
      <c r="J34" s="284">
        <f>D34*E34</f>
        <v>26000</v>
      </c>
      <c r="K34" s="292">
        <f>E34*I34</f>
        <v>32448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1442.4</v>
      </c>
      <c r="H35" s="228">
        <v>0</v>
      </c>
      <c r="I35" s="228">
        <f>ROUND(G35-H35,0)</f>
        <v>1442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75</v>
      </c>
      <c r="F37" s="241"/>
      <c r="G37" s="241"/>
      <c r="H37" s="243"/>
      <c r="I37" s="241"/>
      <c r="J37" s="293">
        <f>SUM(J32:J36)</f>
        <v>52890</v>
      </c>
      <c r="K37" s="294">
        <f>SUM(K32:K36)</f>
        <v>81868</v>
      </c>
      <c r="U37" s="332"/>
    </row>
    <row r="38" spans="2:21" ht="12.75" customHeight="1">
      <c r="B38" s="289"/>
      <c r="C38" s="314">
        <v>0.5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39</v>
      </c>
      <c r="F41" s="223"/>
      <c r="G41" s="308">
        <f>H9*$C$38</f>
        <v>1213</v>
      </c>
      <c r="H41" s="308">
        <f>$K$9</f>
        <v>0</v>
      </c>
      <c r="I41" s="228">
        <f>ROUND(G41-H41,0)</f>
        <v>1213</v>
      </c>
      <c r="J41" s="284">
        <f>D41*E41</f>
        <v>15600</v>
      </c>
      <c r="K41" s="292">
        <f>E41*I41</f>
        <v>47307</v>
      </c>
      <c r="L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43</v>
      </c>
      <c r="F42" s="223"/>
      <c r="G42" s="308">
        <f>H10*C38</f>
        <v>1300</v>
      </c>
      <c r="H42" s="308">
        <f>$K$10</f>
        <v>0</v>
      </c>
      <c r="I42" s="228">
        <f>ROUND(G42-H42,0)</f>
        <v>1300</v>
      </c>
      <c r="J42" s="284">
        <f>D42*E42</f>
        <v>28810</v>
      </c>
      <c r="K42" s="292">
        <f>E42*I42</f>
        <v>55900</v>
      </c>
      <c r="L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43</v>
      </c>
      <c r="F43" s="223"/>
      <c r="G43" s="308">
        <f>H11*C38</f>
        <v>1560</v>
      </c>
      <c r="H43" s="228">
        <f>$K$11</f>
        <v>0</v>
      </c>
      <c r="I43" s="228">
        <f>ROUND(G43-H43,0)</f>
        <v>1560</v>
      </c>
      <c r="J43" s="284">
        <f>D43*E43</f>
        <v>43000</v>
      </c>
      <c r="K43" s="292">
        <f>E43*I43</f>
        <v>67080</v>
      </c>
      <c r="L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1803</v>
      </c>
      <c r="H44" s="228">
        <v>0</v>
      </c>
      <c r="I44" s="228">
        <f>ROUND(G44-H44,0)</f>
        <v>1803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125</v>
      </c>
      <c r="F46" s="203"/>
      <c r="G46" s="203"/>
      <c r="H46" s="246"/>
      <c r="I46" s="247"/>
      <c r="J46" s="296">
        <f>SUM(J41:J45)</f>
        <v>87410</v>
      </c>
      <c r="K46" s="297">
        <f>SUM(K41:K45)</f>
        <v>170287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0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0</v>
      </c>
      <c r="K50" s="292">
        <f>E50*I50</f>
        <v>0</v>
      </c>
      <c r="L50" s="1692"/>
      <c r="M50" s="298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0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0</v>
      </c>
      <c r="K51" s="292">
        <f>E51*I51</f>
        <v>0</v>
      </c>
      <c r="L51" s="1692"/>
      <c r="M51" s="298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0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0</v>
      </c>
      <c r="K52" s="292">
        <f>E52*I52</f>
        <v>0</v>
      </c>
      <c r="L52" s="1692"/>
      <c r="M52" s="298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0</v>
      </c>
      <c r="F55" s="247"/>
      <c r="G55" s="247"/>
      <c r="H55" s="246"/>
      <c r="I55" s="247"/>
      <c r="J55" s="296">
        <f>SUM(J50:J54)</f>
        <v>0</v>
      </c>
      <c r="K55" s="297">
        <f>SUM(K50:K54)</f>
        <v>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252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90" zoomScaleNormal="100" workbookViewId="0">
      <selection activeCell="N103" sqref="N10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252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16380000</v>
      </c>
      <c r="F18" s="845"/>
      <c r="G18" s="1392">
        <f>E18</f>
        <v>16380000</v>
      </c>
      <c r="H18" s="950"/>
      <c r="I18" s="950">
        <f>G18/$F$9</f>
        <v>65000</v>
      </c>
      <c r="J18" s="1015"/>
      <c r="K18" s="1016"/>
      <c r="L18" s="1016"/>
      <c r="M18" s="1431">
        <f>F9*N17</f>
        <v>16380000</v>
      </c>
      <c r="N18" s="1674">
        <v>16380000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16380000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99.206349206349202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595.23809523809518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16555000</v>
      </c>
      <c r="H28" s="1333"/>
      <c r="I28" s="1325">
        <f t="shared" si="0"/>
        <v>65694.444444444438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16555000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70793329.5</v>
      </c>
      <c r="H32" s="1039"/>
      <c r="I32" s="950">
        <f t="shared" si="0"/>
        <v>280925.91071428574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77872662.450000003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63633600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7159729.5000000009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7079332.9500000002</v>
      </c>
      <c r="G36" s="854">
        <f>F36</f>
        <v>7079332.9500000002</v>
      </c>
      <c r="H36" s="950"/>
      <c r="I36" s="950">
        <f t="shared" si="0"/>
        <v>28092.591071428571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4955533.0650000004</v>
      </c>
      <c r="H37" s="1072"/>
      <c r="I37" s="950">
        <f t="shared" si="0"/>
        <v>19664.813750000001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4955533.0650000004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3539666.4750000001</v>
      </c>
      <c r="H38" s="1072"/>
      <c r="I38" s="950">
        <f t="shared" si="0"/>
        <v>14046.295535714286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3539666.4750000001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1061899.9424999999</v>
      </c>
      <c r="H40" s="1072"/>
      <c r="I40" s="950">
        <f t="shared" si="0"/>
        <v>4213.8886607142849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1061899.9424999999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1061899.9424999999</v>
      </c>
      <c r="H41" s="1072"/>
      <c r="I41" s="950">
        <f t="shared" si="0"/>
        <v>4213.8886607142849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1061899.9424999999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88641661.874999985</v>
      </c>
      <c r="H44" s="1324"/>
      <c r="I44" s="1325">
        <f t="shared" si="0"/>
        <v>351752.62648809521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88641661.874999985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88641661.874999985</v>
      </c>
      <c r="H46" s="1333"/>
      <c r="I46" s="1325">
        <f t="shared" si="0"/>
        <v>351752.62648809521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88641661.874999985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8864166.1874999981</v>
      </c>
      <c r="H47" s="1039"/>
      <c r="I47" s="950">
        <f t="shared" si="0"/>
        <v>35175.262648809519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8864166.1874999981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84420</v>
      </c>
      <c r="G49" s="1092">
        <f>F49</f>
        <v>84420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92736</v>
      </c>
      <c r="G50" s="1092">
        <f>F50</f>
        <v>92736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4.8611111111111107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178381</v>
      </c>
      <c r="H52" s="1101"/>
      <c r="I52" s="950">
        <f t="shared" si="0"/>
        <v>707.86111111111109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178381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2539800</v>
      </c>
      <c r="H54" s="1039"/>
      <c r="I54" s="950">
        <f t="shared" si="0"/>
        <v>10078.571428571429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2539800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2376000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2376000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154440</v>
      </c>
      <c r="H57" s="1117"/>
      <c r="I57" s="950">
        <f t="shared" si="0"/>
        <v>612.85714285714289</v>
      </c>
      <c r="J57" s="1015"/>
      <c r="K57" s="1118"/>
      <c r="L57" s="1119"/>
      <c r="M57" s="1120">
        <f>(5000*F9)*1.6</f>
        <v>2016000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154440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119.04761904761905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2311635.8453124999</v>
      </c>
      <c r="H59" s="1128"/>
      <c r="I59" s="950">
        <f t="shared" si="0"/>
        <v>9173.1581163194442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2724240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221604.15468749998</v>
      </c>
      <c r="H67" s="1039"/>
      <c r="I67" s="950">
        <f t="shared" si="0"/>
        <v>879.38156622023803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221604.15468749998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27.777777777777779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376.98412698412699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99.206349206349202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119.04761904761905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134.92063492063491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412604.15468749998</v>
      </c>
      <c r="H80" s="1101"/>
      <c r="I80" s="950">
        <f t="shared" si="0"/>
        <v>1637.318074156746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412604.15468749998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3975786</v>
      </c>
      <c r="H90" s="1111"/>
      <c r="I90" s="950">
        <f t="shared" si="3"/>
        <v>15776.928571428571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3975786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396.82539682539681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2970324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2970324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655200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4075786</v>
      </c>
      <c r="H97" s="1101"/>
      <c r="I97" s="950">
        <f t="shared" si="3"/>
        <v>16173.753968253968</v>
      </c>
      <c r="J97" s="1102"/>
      <c r="K97" s="1166">
        <f>I97/I250</f>
        <v>3.0638125880239599E-2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4075786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352362.54028416233</v>
      </c>
      <c r="H102" s="1111"/>
      <c r="I102" s="950">
        <f t="shared" si="3"/>
        <v>1398.2640487466758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352362.54028416233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337362.54028416233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6747010.7803992117</v>
      </c>
      <c r="N103" s="1172">
        <v>6747250.8056832459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352362.54028416233</v>
      </c>
      <c r="H114" s="1101"/>
      <c r="I114" s="950">
        <f t="shared" si="3"/>
        <v>1398.2640487466758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352362.54028416233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3462596.5479784505</v>
      </c>
      <c r="H116" s="1177"/>
      <c r="I116" s="950">
        <f t="shared" si="3"/>
        <v>13740.462491977978</v>
      </c>
      <c r="J116" s="1178"/>
      <c r="K116" s="1179" t="s">
        <v>822</v>
      </c>
      <c r="L116" s="1073"/>
      <c r="M116" s="1180">
        <f>0.5*Data!C20*Data!C17/12*Data!C19</f>
        <v>3462596.5479784505</v>
      </c>
      <c r="N116" s="1181">
        <v>3462596.5479784505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3462596.5479784505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865649.13699461264</v>
      </c>
      <c r="H117" s="1094"/>
      <c r="I117" s="950">
        <f t="shared" si="3"/>
        <v>3435.1156229944945</v>
      </c>
      <c r="J117" s="1015"/>
      <c r="K117" s="1184" t="s">
        <v>824</v>
      </c>
      <c r="L117" s="1185"/>
      <c r="M117" s="1186">
        <f>0.01*Data!C20</f>
        <v>865649.13699461264</v>
      </c>
      <c r="N117" s="1172">
        <v>865649.13699461264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865649.13699461264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491153.48100000003</v>
      </c>
      <c r="H120" s="1039"/>
      <c r="I120" s="950">
        <f t="shared" si="3"/>
        <v>1949.0217500000001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491153.48100000003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1210483.6207292813</v>
      </c>
      <c r="H121" s="1117"/>
      <c r="I121" s="950">
        <f t="shared" si="3"/>
        <v>4803.5064314654019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1210483.6207292813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1210483.6207292813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139847.3705491919</v>
      </c>
      <c r="H125" s="1111"/>
      <c r="I125" s="950">
        <f t="shared" si="3"/>
        <v>554.94988313171382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139847.3705491919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129847.3705491919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129847.3705491919</v>
      </c>
      <c r="N126" s="1172">
        <v>129847.3705491919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61.111111111111114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6185130.1572515359</v>
      </c>
      <c r="H148" s="1128"/>
      <c r="I148" s="950">
        <f t="shared" si="6"/>
        <v>24544.1672906807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6185130.1572515359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270416.48656078486</v>
      </c>
      <c r="H151" s="1093"/>
      <c r="I151" s="950">
        <f t="shared" ref="I151:I158" si="7">G151/$F$9</f>
        <v>1073.0812958761303</v>
      </c>
      <c r="J151" s="1094"/>
      <c r="K151" s="1244" t="s">
        <v>862</v>
      </c>
      <c r="L151" s="1245"/>
      <c r="M151" s="1558">
        <f>Data!C31*Data!C30</f>
        <v>270416.48656078486</v>
      </c>
      <c r="N151" s="1345">
        <v>270416.48656078486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0</v>
      </c>
      <c r="H161" s="1111"/>
      <c r="I161" s="950"/>
      <c r="J161" s="1094"/>
      <c r="K161" s="1112"/>
      <c r="L161" s="1013"/>
      <c r="M161" s="1343">
        <f>37500+(Data!C38*0.0005)</f>
        <v>37500</v>
      </c>
      <c r="N161" s="1344">
        <v>0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0</v>
      </c>
      <c r="H162" s="1093"/>
      <c r="I162" s="950">
        <f t="shared" si="6"/>
        <v>0</v>
      </c>
      <c r="J162" s="1094"/>
      <c r="K162" s="1244" t="s">
        <v>862</v>
      </c>
      <c r="L162" s="1245"/>
      <c r="M162" s="1343">
        <f>Data!C38*Data!C39</f>
        <v>0</v>
      </c>
      <c r="N162" s="1345">
        <v>0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0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0</v>
      </c>
      <c r="N163" s="1344">
        <v>0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0</v>
      </c>
      <c r="H166" s="1111"/>
      <c r="I166" s="950">
        <f t="shared" si="6"/>
        <v>0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0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0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6925193.0959569011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0</v>
      </c>
      <c r="H170" s="1128"/>
      <c r="I170" s="950">
        <f t="shared" si="6"/>
        <v>0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0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238.0952380952381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198.4126984126984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436.50793650793651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1834282.9525756852</v>
      </c>
      <c r="H178" s="1093"/>
      <c r="I178" s="950">
        <f t="shared" si="6"/>
        <v>7278.9006054590682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1834282.9525756852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1834282.9525756852</v>
      </c>
      <c r="H181" s="1128"/>
      <c r="I181" s="950">
        <f t="shared" si="6"/>
        <v>7278.9006054590682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1834282.9525756852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51.587301587301589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47.61904761904762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99.206349206349202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57.539682539682538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370.03968253968253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198.4126984126984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1115.0793650793651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671695.79023994412</v>
      </c>
      <c r="H233" s="1111"/>
      <c r="I233" s="950">
        <f t="shared" si="8"/>
        <v>2665.4594850791432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671695.79023994412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1110445.7902399441</v>
      </c>
      <c r="H234" s="1282"/>
      <c r="I234" s="950">
        <f t="shared" si="8"/>
        <v>4406.5309136505721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1110445.7902399441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9920.6349206349205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82.341269841269835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10002.976190476191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2.6455026455026451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7.9365079365079367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10.582010582010581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133029873.16951798</v>
      </c>
      <c r="H250" s="1298"/>
      <c r="I250" s="1299">
        <f>G250/F9</f>
        <v>527896.32210126182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627.16806766952357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zoomScale="70" zoomScaleNormal="70" workbookViewId="0">
      <selection activeCell="C20" sqref="C20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252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212112</v>
      </c>
      <c r="D5" t="s">
        <v>427</v>
      </c>
      <c r="G5" s="510"/>
    </row>
    <row r="6" spans="1:15">
      <c r="B6" s="1350" t="s">
        <v>12</v>
      </c>
      <c r="C6" s="700">
        <f>'Construction Calculation'!C14</f>
        <v>212112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35352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126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v>0.04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86564913.699461266</v>
      </c>
      <c r="D20" s="1375">
        <f>MIN(D22,GapCalc!D24)</f>
        <v>86469417.560186684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86469417.560186684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0.04</v>
      </c>
      <c r="D24" s="1425">
        <f>PMT(C24/12,C25*12,C30)*12</f>
        <v>-1456282.9525757036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1456282.9525756852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40121251.199999996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27041648.656078488</v>
      </c>
      <c r="D30" s="1376">
        <f>-PV($C$24/12,$C$29*12,C27/12)</f>
        <v>27041648.656078488</v>
      </c>
      <c r="E30" s="1384"/>
      <c r="F30" t="s">
        <v>437</v>
      </c>
      <c r="G30" s="1381"/>
      <c r="H30" s="1376">
        <f>PV(G23,G29,-'Cash Flow'!E41*H28,)</f>
        <v>2347728.6292841607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0.04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1456282.9525756852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0</v>
      </c>
      <c r="D38" s="516" t="s">
        <v>1038</v>
      </c>
      <c r="E38" s="1391">
        <f>C37*GapCalc!D24</f>
        <v>106423898.53561439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25419569.474900112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3513828</v>
      </c>
      <c r="F12" s="89">
        <f>E12*(1+$D$12)</f>
        <v>3601673.6999999997</v>
      </c>
      <c r="G12" s="89">
        <f t="shared" ref="G12:AH12" si="0">F12*(1+$D$12)</f>
        <v>3691715.5424999995</v>
      </c>
      <c r="H12" s="89">
        <f t="shared" si="0"/>
        <v>3784008.4310624991</v>
      </c>
      <c r="I12" s="89">
        <f t="shared" si="0"/>
        <v>3878608.6418390614</v>
      </c>
      <c r="J12" s="89">
        <f t="shared" si="0"/>
        <v>3975573.8578850375</v>
      </c>
      <c r="K12" s="89">
        <f t="shared" si="0"/>
        <v>4074963.2043321631</v>
      </c>
      <c r="L12" s="89">
        <f t="shared" si="0"/>
        <v>4176837.2844404667</v>
      </c>
      <c r="M12" s="89">
        <f t="shared" si="0"/>
        <v>4281258.216551478</v>
      </c>
      <c r="N12" s="89">
        <f t="shared" si="0"/>
        <v>4388289.6719652647</v>
      </c>
      <c r="O12" s="89">
        <f t="shared" si="0"/>
        <v>4497996.9137643958</v>
      </c>
      <c r="P12" s="89">
        <f t="shared" si="0"/>
        <v>4610446.8366085049</v>
      </c>
      <c r="Q12" s="89">
        <f t="shared" si="0"/>
        <v>4725708.0075237174</v>
      </c>
      <c r="R12" s="89">
        <f t="shared" si="0"/>
        <v>4843850.7077118102</v>
      </c>
      <c r="S12" s="90">
        <f t="shared" si="0"/>
        <v>4964946.9754046053</v>
      </c>
      <c r="T12" s="89">
        <f t="shared" si="0"/>
        <v>5089070.6497897198</v>
      </c>
      <c r="U12" s="89">
        <f t="shared" si="0"/>
        <v>5216297.4160344619</v>
      </c>
      <c r="V12" s="89">
        <f t="shared" si="0"/>
        <v>5346704.8514353232</v>
      </c>
      <c r="W12" s="89">
        <f t="shared" si="0"/>
        <v>5480372.472721206</v>
      </c>
      <c r="X12" s="89">
        <f t="shared" si="0"/>
        <v>5617381.7845392358</v>
      </c>
      <c r="Y12" s="89">
        <f t="shared" si="0"/>
        <v>5757816.3291527163</v>
      </c>
      <c r="Z12" s="89">
        <f t="shared" si="0"/>
        <v>5901761.7373815337</v>
      </c>
      <c r="AA12" s="89">
        <f t="shared" si="0"/>
        <v>6049305.7808160717</v>
      </c>
      <c r="AB12" s="89">
        <f t="shared" si="0"/>
        <v>6200538.4253364727</v>
      </c>
      <c r="AC12" s="89">
        <f t="shared" si="0"/>
        <v>6355551.8859698838</v>
      </c>
      <c r="AD12" s="89">
        <f t="shared" si="0"/>
        <v>6514440.6831191303</v>
      </c>
      <c r="AE12" s="89">
        <f t="shared" si="0"/>
        <v>6677301.7001971081</v>
      </c>
      <c r="AF12" s="89">
        <f t="shared" si="0"/>
        <v>6844234.2427020352</v>
      </c>
      <c r="AG12" s="89">
        <f t="shared" si="0"/>
        <v>7015340.0987695856</v>
      </c>
      <c r="AH12" s="89">
        <f t="shared" si="0"/>
        <v>7190723.6012388244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-175970.40000000002</v>
      </c>
      <c r="F14" s="100">
        <f t="shared" ref="F14:AH14" si="2">-((F12+F13)*$C$14)</f>
        <v>-180369.66</v>
      </c>
      <c r="G14" s="100">
        <f t="shared" si="2"/>
        <v>-184878.90149999998</v>
      </c>
      <c r="H14" s="100">
        <f t="shared" si="2"/>
        <v>-189500.87403749998</v>
      </c>
      <c r="I14" s="100">
        <f t="shared" si="2"/>
        <v>-194238.39588843746</v>
      </c>
      <c r="J14" s="100">
        <f t="shared" si="2"/>
        <v>-199094.35578564837</v>
      </c>
      <c r="K14" s="100">
        <f t="shared" si="2"/>
        <v>-204071.71468028956</v>
      </c>
      <c r="L14" s="100">
        <f t="shared" si="2"/>
        <v>-209173.50754729679</v>
      </c>
      <c r="M14" s="100">
        <f t="shared" si="2"/>
        <v>-214402.84523597918</v>
      </c>
      <c r="N14" s="100">
        <f t="shared" si="2"/>
        <v>-219762.91636687864</v>
      </c>
      <c r="O14" s="100">
        <f t="shared" si="2"/>
        <v>-225256.98927605059</v>
      </c>
      <c r="P14" s="100">
        <f t="shared" si="2"/>
        <v>-230888.4140079518</v>
      </c>
      <c r="Q14" s="100">
        <f t="shared" si="2"/>
        <v>-236660.62435815061</v>
      </c>
      <c r="R14" s="100">
        <f t="shared" si="2"/>
        <v>-242577.13996710433</v>
      </c>
      <c r="S14" s="101">
        <f t="shared" si="2"/>
        <v>-248641.56846628195</v>
      </c>
      <c r="T14" s="100">
        <f t="shared" si="2"/>
        <v>-254857.607677939</v>
      </c>
      <c r="U14" s="100">
        <f t="shared" si="2"/>
        <v>-261229.04786988741</v>
      </c>
      <c r="V14" s="100">
        <f t="shared" si="2"/>
        <v>-267759.77406663459</v>
      </c>
      <c r="W14" s="100">
        <f t="shared" si="2"/>
        <v>-274453.76841830043</v>
      </c>
      <c r="X14" s="100">
        <f t="shared" si="2"/>
        <v>-281315.1126287579</v>
      </c>
      <c r="Y14" s="100">
        <f t="shared" si="2"/>
        <v>-288347.99044447689</v>
      </c>
      <c r="Z14" s="100">
        <f t="shared" si="2"/>
        <v>-295556.69020558876</v>
      </c>
      <c r="AA14" s="100">
        <f t="shared" si="2"/>
        <v>-302945.60746072844</v>
      </c>
      <c r="AB14" s="100">
        <f t="shared" si="2"/>
        <v>-310519.24764724664</v>
      </c>
      <c r="AC14" s="100">
        <f t="shared" si="2"/>
        <v>-318282.22883842775</v>
      </c>
      <c r="AD14" s="100">
        <f t="shared" si="2"/>
        <v>-326239.28455938841</v>
      </c>
      <c r="AE14" s="100">
        <f t="shared" si="2"/>
        <v>-334395.26667337306</v>
      </c>
      <c r="AF14" s="100">
        <f t="shared" si="2"/>
        <v>-342755.14834020741</v>
      </c>
      <c r="AG14" s="100">
        <f t="shared" si="2"/>
        <v>-351324.0270487126</v>
      </c>
      <c r="AH14" s="100">
        <f t="shared" si="2"/>
        <v>-360107.12772493035</v>
      </c>
    </row>
    <row r="15" spans="1:34">
      <c r="A15" s="76"/>
      <c r="B15" s="102" t="s">
        <v>311</v>
      </c>
      <c r="C15" s="76"/>
      <c r="D15" s="76"/>
      <c r="E15" s="95">
        <f>SUM(E12:E14)</f>
        <v>3343437.6</v>
      </c>
      <c r="F15" s="95">
        <f t="shared" ref="F15:AH15" si="3">SUM(F12:F14)</f>
        <v>3427023.5399999996</v>
      </c>
      <c r="G15" s="103">
        <f t="shared" si="3"/>
        <v>3512699.1284999992</v>
      </c>
      <c r="H15" s="104">
        <f t="shared" si="3"/>
        <v>3600516.6067124992</v>
      </c>
      <c r="I15" s="104">
        <f t="shared" si="3"/>
        <v>3690529.5218803114</v>
      </c>
      <c r="J15" s="95">
        <f t="shared" si="3"/>
        <v>3782792.7599273189</v>
      </c>
      <c r="K15" s="103">
        <f t="shared" si="3"/>
        <v>3877362.5789255016</v>
      </c>
      <c r="L15" s="95">
        <f t="shared" si="3"/>
        <v>3974296.6433986388</v>
      </c>
      <c r="M15" s="95">
        <f t="shared" si="3"/>
        <v>4073654.0594836045</v>
      </c>
      <c r="N15" s="95">
        <f t="shared" si="3"/>
        <v>4175495.4109706939</v>
      </c>
      <c r="O15" s="95">
        <f t="shared" si="3"/>
        <v>4279882.7962449612</v>
      </c>
      <c r="P15" s="95">
        <f t="shared" si="3"/>
        <v>4386879.8661510842</v>
      </c>
      <c r="Q15" s="95">
        <f t="shared" si="3"/>
        <v>4496551.8628048617</v>
      </c>
      <c r="R15" s="95">
        <f t="shared" si="3"/>
        <v>4608965.6593749821</v>
      </c>
      <c r="S15" s="96">
        <f t="shared" si="3"/>
        <v>4724189.8008593572</v>
      </c>
      <c r="T15" s="95">
        <f t="shared" si="3"/>
        <v>4842294.5458808402</v>
      </c>
      <c r="U15" s="95">
        <f t="shared" si="3"/>
        <v>4963351.9095278606</v>
      </c>
      <c r="V15" s="95">
        <f t="shared" si="3"/>
        <v>5087435.7072660569</v>
      </c>
      <c r="W15" s="95">
        <f t="shared" si="3"/>
        <v>5214621.5999477077</v>
      </c>
      <c r="X15" s="95">
        <f t="shared" si="3"/>
        <v>5344987.1399464002</v>
      </c>
      <c r="Y15" s="95">
        <f t="shared" si="3"/>
        <v>5478611.8184450604</v>
      </c>
      <c r="Z15" s="95">
        <f t="shared" si="3"/>
        <v>5615577.1139061861</v>
      </c>
      <c r="AA15" s="95">
        <f t="shared" si="3"/>
        <v>5755966.5417538397</v>
      </c>
      <c r="AB15" s="95">
        <f t="shared" si="3"/>
        <v>5899865.7052976862</v>
      </c>
      <c r="AC15" s="95">
        <f t="shared" si="3"/>
        <v>6047362.3479301268</v>
      </c>
      <c r="AD15" s="95">
        <f t="shared" si="3"/>
        <v>6198546.4066283796</v>
      </c>
      <c r="AE15" s="95">
        <f t="shared" si="3"/>
        <v>6353510.0667940881</v>
      </c>
      <c r="AF15" s="95">
        <f t="shared" si="3"/>
        <v>6512347.8184639402</v>
      </c>
      <c r="AG15" s="95">
        <f t="shared" si="3"/>
        <v>6675156.5139255384</v>
      </c>
      <c r="AH15" s="95">
        <f t="shared" si="3"/>
        <v>6842035.4267736757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-1512000</v>
      </c>
      <c r="F18" s="89">
        <f>E18*(1+$D$18)</f>
        <v>-1564919.9999999998</v>
      </c>
      <c r="G18" s="94">
        <f t="shared" ref="G18:AH18" si="5">F18*(1+$D$18)</f>
        <v>-1619692.1999999997</v>
      </c>
      <c r="H18" s="106">
        <f t="shared" si="5"/>
        <v>-1676381.4269999997</v>
      </c>
      <c r="I18" s="106">
        <f t="shared" si="5"/>
        <v>-1735054.7769449996</v>
      </c>
      <c r="J18" s="89">
        <f t="shared" si="5"/>
        <v>-1795781.6941380745</v>
      </c>
      <c r="K18" s="94">
        <f t="shared" si="5"/>
        <v>-1858634.053432907</v>
      </c>
      <c r="L18" s="89">
        <f t="shared" si="5"/>
        <v>-1923686.2453030585</v>
      </c>
      <c r="M18" s="89">
        <f t="shared" si="5"/>
        <v>-1991015.2638886655</v>
      </c>
      <c r="N18" s="89">
        <f t="shared" si="5"/>
        <v>-2060700.7981247685</v>
      </c>
      <c r="O18" s="89">
        <f t="shared" si="5"/>
        <v>-2132825.3260591351</v>
      </c>
      <c r="P18" s="89">
        <f t="shared" si="5"/>
        <v>-2207474.2124712048</v>
      </c>
      <c r="Q18" s="89">
        <f t="shared" si="5"/>
        <v>-2284735.8099076967</v>
      </c>
      <c r="R18" s="89">
        <f t="shared" si="5"/>
        <v>-2364701.5632544658</v>
      </c>
      <c r="S18" s="90">
        <f t="shared" si="5"/>
        <v>-2447466.1179683721</v>
      </c>
      <c r="T18" s="89">
        <f t="shared" si="5"/>
        <v>-2533127.432097265</v>
      </c>
      <c r="U18" s="89">
        <f t="shared" si="5"/>
        <v>-2621786.892220669</v>
      </c>
      <c r="V18" s="89">
        <f t="shared" si="5"/>
        <v>-2713549.433448392</v>
      </c>
      <c r="W18" s="89">
        <f t="shared" si="5"/>
        <v>-2808523.6636190857</v>
      </c>
      <c r="X18" s="89">
        <f t="shared" si="5"/>
        <v>-2906821.9918457535</v>
      </c>
      <c r="Y18" s="89">
        <f t="shared" si="5"/>
        <v>-3008560.7615603548</v>
      </c>
      <c r="Z18" s="89">
        <f t="shared" si="5"/>
        <v>-3113860.3882149672</v>
      </c>
      <c r="AA18" s="89">
        <f t="shared" si="5"/>
        <v>-3222845.501802491</v>
      </c>
      <c r="AB18" s="89">
        <f t="shared" si="5"/>
        <v>-3335645.0943655781</v>
      </c>
      <c r="AC18" s="89">
        <f t="shared" si="5"/>
        <v>-3452392.6726683732</v>
      </c>
      <c r="AD18" s="89">
        <f t="shared" si="5"/>
        <v>-3573226.4162117662</v>
      </c>
      <c r="AE18" s="89">
        <f t="shared" si="5"/>
        <v>-3698289.3407791778</v>
      </c>
      <c r="AF18" s="89">
        <f t="shared" si="5"/>
        <v>-3827729.4677064489</v>
      </c>
      <c r="AG18" s="89">
        <f t="shared" si="5"/>
        <v>-3961699.9990761741</v>
      </c>
      <c r="AH18" s="89">
        <f t="shared" si="5"/>
        <v>-4100359.49904384</v>
      </c>
    </row>
    <row r="19" spans="1:34">
      <c r="A19" s="86"/>
      <c r="B19" s="87" t="s">
        <v>314</v>
      </c>
      <c r="C19" s="1713" t="s">
        <v>1099</v>
      </c>
      <c r="D19" s="88">
        <v>1.2500000000000001E-2</v>
      </c>
      <c r="E19" s="95">
        <f>IF(C19="Abatement", 0, -'Tax Calc'!B10)</f>
        <v>-8298.056909177827</v>
      </c>
      <c r="F19" s="89">
        <f>E19*(1+$D$19)</f>
        <v>-8401.7826205425499</v>
      </c>
      <c r="G19" s="89">
        <f t="shared" ref="G19:AH19" si="6">F19*(1+$D$19)</f>
        <v>-8506.8049032993313</v>
      </c>
      <c r="H19" s="89">
        <f t="shared" si="6"/>
        <v>-8613.1399645905731</v>
      </c>
      <c r="I19" s="89">
        <f t="shared" si="6"/>
        <v>-8720.8042141479546</v>
      </c>
      <c r="J19" s="89">
        <f t="shared" si="6"/>
        <v>-8829.8142668248038</v>
      </c>
      <c r="K19" s="89">
        <f t="shared" si="6"/>
        <v>-8940.1869451601142</v>
      </c>
      <c r="L19" s="89">
        <f t="shared" si="6"/>
        <v>-9051.9392819746154</v>
      </c>
      <c r="M19" s="89">
        <f t="shared" si="6"/>
        <v>-9165.0885229992982</v>
      </c>
      <c r="N19" s="89">
        <f t="shared" si="6"/>
        <v>-9279.6521295367893</v>
      </c>
      <c r="O19" s="89">
        <f t="shared" si="6"/>
        <v>-9395.647781155998</v>
      </c>
      <c r="P19" s="89">
        <f t="shared" si="6"/>
        <v>-9513.0933784204481</v>
      </c>
      <c r="Q19" s="89">
        <f t="shared" si="6"/>
        <v>-9632.0070456507037</v>
      </c>
      <c r="R19" s="89">
        <f t="shared" si="6"/>
        <v>-9752.4071337213372</v>
      </c>
      <c r="S19" s="90">
        <f t="shared" si="6"/>
        <v>-9874.3122228928532</v>
      </c>
      <c r="T19" s="89">
        <f t="shared" si="6"/>
        <v>-9997.7411256790128</v>
      </c>
      <c r="U19" s="89">
        <f t="shared" si="6"/>
        <v>-10122.712889750001</v>
      </c>
      <c r="V19" s="89">
        <f t="shared" si="6"/>
        <v>-10249.246800871875</v>
      </c>
      <c r="W19" s="89">
        <f t="shared" si="6"/>
        <v>-10377.362385882772</v>
      </c>
      <c r="X19" s="89">
        <f t="shared" si="6"/>
        <v>-10507.079415706306</v>
      </c>
      <c r="Y19" s="89">
        <f t="shared" si="6"/>
        <v>-10638.417908402635</v>
      </c>
      <c r="Z19" s="89">
        <f t="shared" si="6"/>
        <v>-10771.398132257667</v>
      </c>
      <c r="AA19" s="89">
        <f t="shared" si="6"/>
        <v>-10906.040608910887</v>
      </c>
      <c r="AB19" s="89">
        <f t="shared" si="6"/>
        <v>-11042.366116522273</v>
      </c>
      <c r="AC19" s="89">
        <f t="shared" si="6"/>
        <v>-11180.3956929788</v>
      </c>
      <c r="AD19" s="89">
        <f t="shared" si="6"/>
        <v>-11320.150639141035</v>
      </c>
      <c r="AE19" s="89">
        <f t="shared" si="6"/>
        <v>-11461.652522130298</v>
      </c>
      <c r="AF19" s="89">
        <f t="shared" si="6"/>
        <v>-11604.923178656927</v>
      </c>
      <c r="AG19" s="89">
        <f t="shared" si="6"/>
        <v>-11749.984718390138</v>
      </c>
      <c r="AH19" s="89">
        <f t="shared" si="6"/>
        <v>-11896.859527370014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-75600</v>
      </c>
      <c r="F20" s="108">
        <f>+E20</f>
        <v>-75600</v>
      </c>
      <c r="G20" s="108">
        <f>F20</f>
        <v>-75600</v>
      </c>
      <c r="H20" s="108">
        <f>G20</f>
        <v>-75600</v>
      </c>
      <c r="I20" s="108">
        <f>H20</f>
        <v>-75600</v>
      </c>
      <c r="J20" s="108">
        <f t="shared" ref="J20:AH20" si="7">I20</f>
        <v>-75600</v>
      </c>
      <c r="K20" s="108">
        <f t="shared" si="7"/>
        <v>-75600</v>
      </c>
      <c r="L20" s="108">
        <f t="shared" si="7"/>
        <v>-75600</v>
      </c>
      <c r="M20" s="108">
        <f t="shared" si="7"/>
        <v>-75600</v>
      </c>
      <c r="N20" s="108">
        <f t="shared" si="7"/>
        <v>-75600</v>
      </c>
      <c r="O20" s="108">
        <f>N20</f>
        <v>-75600</v>
      </c>
      <c r="P20" s="108">
        <f t="shared" si="7"/>
        <v>-75600</v>
      </c>
      <c r="Q20" s="108">
        <f t="shared" si="7"/>
        <v>-75600</v>
      </c>
      <c r="R20" s="108">
        <f t="shared" si="7"/>
        <v>-75600</v>
      </c>
      <c r="S20" s="109">
        <f t="shared" si="7"/>
        <v>-75600</v>
      </c>
      <c r="T20" s="108">
        <f t="shared" si="7"/>
        <v>-75600</v>
      </c>
      <c r="U20" s="108">
        <f t="shared" si="7"/>
        <v>-75600</v>
      </c>
      <c r="V20" s="108">
        <f t="shared" si="7"/>
        <v>-75600</v>
      </c>
      <c r="W20" s="108">
        <f t="shared" si="7"/>
        <v>-75600</v>
      </c>
      <c r="X20" s="108">
        <f t="shared" si="7"/>
        <v>-75600</v>
      </c>
      <c r="Y20" s="108">
        <f t="shared" si="7"/>
        <v>-75600</v>
      </c>
      <c r="Z20" s="108">
        <f t="shared" si="7"/>
        <v>-75600</v>
      </c>
      <c r="AA20" s="108">
        <f t="shared" si="7"/>
        <v>-75600</v>
      </c>
      <c r="AB20" s="108">
        <f t="shared" si="7"/>
        <v>-75600</v>
      </c>
      <c r="AC20" s="108">
        <f t="shared" si="7"/>
        <v>-75600</v>
      </c>
      <c r="AD20" s="108">
        <f t="shared" si="7"/>
        <v>-75600</v>
      </c>
      <c r="AE20" s="108">
        <f t="shared" si="7"/>
        <v>-75600</v>
      </c>
      <c r="AF20" s="108">
        <f t="shared" si="7"/>
        <v>-75600</v>
      </c>
      <c r="AG20" s="108">
        <f t="shared" si="7"/>
        <v>-75600</v>
      </c>
      <c r="AH20" s="108">
        <f t="shared" si="7"/>
        <v>-75600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1747539.5430908222</v>
      </c>
      <c r="F21" s="95">
        <f t="shared" si="8"/>
        <v>1778101.7573794574</v>
      </c>
      <c r="G21" s="95">
        <f t="shared" si="8"/>
        <v>1808900.1235967001</v>
      </c>
      <c r="H21" s="95">
        <f t="shared" si="8"/>
        <v>1839922.0397479089</v>
      </c>
      <c r="I21" s="95">
        <f t="shared" si="8"/>
        <v>1871153.940721164</v>
      </c>
      <c r="J21" s="95">
        <f t="shared" si="8"/>
        <v>1902581.2515224195</v>
      </c>
      <c r="K21" s="95">
        <f t="shared" si="8"/>
        <v>1934188.3385474344</v>
      </c>
      <c r="L21" s="95">
        <f t="shared" si="8"/>
        <v>1965958.4588136056</v>
      </c>
      <c r="M21" s="95">
        <f t="shared" si="8"/>
        <v>1997873.7070719397</v>
      </c>
      <c r="N21" s="95">
        <f t="shared" si="8"/>
        <v>2029914.9607163887</v>
      </c>
      <c r="O21" s="95">
        <f t="shared" si="8"/>
        <v>2062061.8224046701</v>
      </c>
      <c r="P21" s="95">
        <f t="shared" si="8"/>
        <v>2094292.5603014589</v>
      </c>
      <c r="Q21" s="95">
        <f t="shared" si="8"/>
        <v>2126584.0458515142</v>
      </c>
      <c r="R21" s="95">
        <f t="shared" si="8"/>
        <v>2158911.688986795</v>
      </c>
      <c r="S21" s="96">
        <f t="shared" si="8"/>
        <v>2191249.3706680923</v>
      </c>
      <c r="T21" s="95">
        <f t="shared" si="8"/>
        <v>2223569.372657896</v>
      </c>
      <c r="U21" s="95">
        <f t="shared" si="8"/>
        <v>2255842.3044174416</v>
      </c>
      <c r="V21" s="95">
        <f t="shared" si="8"/>
        <v>2288037.0270167929</v>
      </c>
      <c r="W21" s="95">
        <f t="shared" si="8"/>
        <v>2320120.5739427391</v>
      </c>
      <c r="X21" s="95">
        <f t="shared" si="8"/>
        <v>2352058.0686849402</v>
      </c>
      <c r="Y21" s="95">
        <f t="shared" si="8"/>
        <v>2383812.6389763029</v>
      </c>
      <c r="Z21" s="95">
        <f t="shared" si="8"/>
        <v>2415345.3275589612</v>
      </c>
      <c r="AA21" s="95">
        <f t="shared" si="8"/>
        <v>2446614.9993424378</v>
      </c>
      <c r="AB21" s="95">
        <f t="shared" si="8"/>
        <v>2477578.2448155857</v>
      </c>
      <c r="AC21" s="95">
        <f t="shared" si="8"/>
        <v>2508189.2795687746</v>
      </c>
      <c r="AD21" s="95">
        <f t="shared" si="8"/>
        <v>2538399.8397774724</v>
      </c>
      <c r="AE21" s="95">
        <f t="shared" si="8"/>
        <v>2568159.0734927799</v>
      </c>
      <c r="AF21" s="95">
        <f t="shared" si="8"/>
        <v>2597413.4275788344</v>
      </c>
      <c r="AG21" s="95">
        <f t="shared" si="8"/>
        <v>2626106.530130974</v>
      </c>
      <c r="AH21" s="95">
        <f t="shared" si="8"/>
        <v>2654179.0682024658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-1456282.9525756852</v>
      </c>
      <c r="F22" s="95">
        <f t="shared" ref="F22:AH22" si="9">$E$22</f>
        <v>-1456282.9525756852</v>
      </c>
      <c r="G22" s="95">
        <f t="shared" si="9"/>
        <v>-1456282.9525756852</v>
      </c>
      <c r="H22" s="95">
        <f t="shared" si="9"/>
        <v>-1456282.9525756852</v>
      </c>
      <c r="I22" s="95">
        <f t="shared" si="9"/>
        <v>-1456282.9525756852</v>
      </c>
      <c r="J22" s="95">
        <f t="shared" si="9"/>
        <v>-1456282.9525756852</v>
      </c>
      <c r="K22" s="95">
        <f t="shared" si="9"/>
        <v>-1456282.9525756852</v>
      </c>
      <c r="L22" s="95">
        <f t="shared" si="9"/>
        <v>-1456282.9525756852</v>
      </c>
      <c r="M22" s="95">
        <f t="shared" si="9"/>
        <v>-1456282.9525756852</v>
      </c>
      <c r="N22" s="95">
        <f t="shared" si="9"/>
        <v>-1456282.9525756852</v>
      </c>
      <c r="O22" s="95">
        <f t="shared" si="9"/>
        <v>-1456282.9525756852</v>
      </c>
      <c r="P22" s="95">
        <f t="shared" si="9"/>
        <v>-1456282.9525756852</v>
      </c>
      <c r="Q22" s="95">
        <f t="shared" si="9"/>
        <v>-1456282.9525756852</v>
      </c>
      <c r="R22" s="95">
        <f t="shared" si="9"/>
        <v>-1456282.9525756852</v>
      </c>
      <c r="S22" s="96">
        <f t="shared" si="9"/>
        <v>-1456282.9525756852</v>
      </c>
      <c r="T22" s="95">
        <f t="shared" si="9"/>
        <v>-1456282.9525756852</v>
      </c>
      <c r="U22" s="95">
        <f t="shared" si="9"/>
        <v>-1456282.9525756852</v>
      </c>
      <c r="V22" s="95">
        <f t="shared" si="9"/>
        <v>-1456282.9525756852</v>
      </c>
      <c r="W22" s="95">
        <f t="shared" si="9"/>
        <v>-1456282.9525756852</v>
      </c>
      <c r="X22" s="95">
        <f t="shared" si="9"/>
        <v>-1456282.9525756852</v>
      </c>
      <c r="Y22" s="95">
        <f t="shared" si="9"/>
        <v>-1456282.9525756852</v>
      </c>
      <c r="Z22" s="95">
        <f t="shared" si="9"/>
        <v>-1456282.9525756852</v>
      </c>
      <c r="AA22" s="95">
        <f t="shared" si="9"/>
        <v>-1456282.9525756852</v>
      </c>
      <c r="AB22" s="95">
        <f t="shared" si="9"/>
        <v>-1456282.9525756852</v>
      </c>
      <c r="AC22" s="95">
        <f t="shared" si="9"/>
        <v>-1456282.9525756852</v>
      </c>
      <c r="AD22" s="95">
        <f t="shared" si="9"/>
        <v>-1456282.9525756852</v>
      </c>
      <c r="AE22" s="95">
        <f t="shared" si="9"/>
        <v>-1456282.9525756852</v>
      </c>
      <c r="AF22" s="95">
        <f t="shared" si="9"/>
        <v>-1456282.9525756852</v>
      </c>
      <c r="AG22" s="95">
        <f t="shared" si="9"/>
        <v>-1456282.9525756852</v>
      </c>
      <c r="AH22" s="95">
        <f t="shared" si="9"/>
        <v>-1456282.9525756852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291256.59051513695</v>
      </c>
      <c r="F25" s="119">
        <f t="shared" ref="F25:AH25" si="11">+F21+F22+F23</f>
        <v>321818.80480377213</v>
      </c>
      <c r="G25" s="119">
        <f t="shared" si="11"/>
        <v>352617.17102101492</v>
      </c>
      <c r="H25" s="119">
        <f t="shared" si="11"/>
        <v>383639.08717222372</v>
      </c>
      <c r="I25" s="119">
        <f t="shared" si="11"/>
        <v>414870.98814547877</v>
      </c>
      <c r="J25" s="119">
        <f t="shared" si="11"/>
        <v>446298.29894673428</v>
      </c>
      <c r="K25" s="119">
        <f t="shared" si="11"/>
        <v>477905.3859717492</v>
      </c>
      <c r="L25" s="119">
        <f t="shared" si="11"/>
        <v>509675.50623792037</v>
      </c>
      <c r="M25" s="119">
        <f t="shared" si="11"/>
        <v>541590.75449625449</v>
      </c>
      <c r="N25" s="119">
        <f t="shared" si="11"/>
        <v>573632.00814070343</v>
      </c>
      <c r="O25" s="119">
        <f t="shared" si="11"/>
        <v>605778.86982898484</v>
      </c>
      <c r="P25" s="119">
        <f t="shared" si="11"/>
        <v>638009.60772577371</v>
      </c>
      <c r="Q25" s="119">
        <f t="shared" si="11"/>
        <v>670301.09327582899</v>
      </c>
      <c r="R25" s="119">
        <f t="shared" si="11"/>
        <v>702628.7364111098</v>
      </c>
      <c r="S25" s="160">
        <f t="shared" si="11"/>
        <v>734966.41809240705</v>
      </c>
      <c r="T25" s="119">
        <f t="shared" si="11"/>
        <v>767286.4200822108</v>
      </c>
      <c r="U25" s="119">
        <f t="shared" si="11"/>
        <v>799559.35184175638</v>
      </c>
      <c r="V25" s="119">
        <f t="shared" si="11"/>
        <v>831754.07444110769</v>
      </c>
      <c r="W25" s="119">
        <f t="shared" si="11"/>
        <v>863837.62136705383</v>
      </c>
      <c r="X25" s="119">
        <f t="shared" si="11"/>
        <v>895775.116109255</v>
      </c>
      <c r="Y25" s="119">
        <f t="shared" si="11"/>
        <v>927529.68640061771</v>
      </c>
      <c r="Z25" s="119">
        <f t="shared" si="11"/>
        <v>959062.37498327601</v>
      </c>
      <c r="AA25" s="119">
        <f t="shared" si="11"/>
        <v>990332.04676675261</v>
      </c>
      <c r="AB25" s="119">
        <f t="shared" si="11"/>
        <v>1021295.2922399004</v>
      </c>
      <c r="AC25" s="119">
        <f t="shared" si="11"/>
        <v>1051906.3269930894</v>
      </c>
      <c r="AD25" s="119">
        <f t="shared" si="11"/>
        <v>1082116.8872017872</v>
      </c>
      <c r="AE25" s="119">
        <f t="shared" si="11"/>
        <v>1111876.1209170946</v>
      </c>
      <c r="AF25" s="119">
        <f t="shared" si="11"/>
        <v>1141130.4750031491</v>
      </c>
      <c r="AG25" s="119">
        <f t="shared" si="11"/>
        <v>1169823.5775552888</v>
      </c>
      <c r="AH25" s="119">
        <f t="shared" si="11"/>
        <v>1197896.1156267805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1.2209864533774708</v>
      </c>
      <c r="G27" s="122">
        <f t="shared" si="12"/>
        <v>1.2421350675000014</v>
      </c>
      <c r="H27" s="122">
        <f t="shared" si="12"/>
        <v>1.2634371888331815</v>
      </c>
      <c r="I27" s="122">
        <f t="shared" si="12"/>
        <v>1.2848835024894774</v>
      </c>
      <c r="J27" s="122">
        <f t="shared" si="12"/>
        <v>1.3064640001157601</v>
      </c>
      <c r="K27" s="122">
        <f t="shared" si="12"/>
        <v>1.3281679464327258</v>
      </c>
      <c r="L27" s="122">
        <f t="shared" si="12"/>
        <v>1.3499838443734249</v>
      </c>
      <c r="M27" s="122">
        <f t="shared" si="12"/>
        <v>1.371899398766125</v>
      </c>
      <c r="N27" s="122">
        <f t="shared" si="12"/>
        <v>1.3939014785046664</v>
      </c>
      <c r="O27" s="122">
        <f t="shared" si="12"/>
        <v>1.4159760771473437</v>
      </c>
      <c r="P27" s="122">
        <f t="shared" si="12"/>
        <v>1.4381082718831149</v>
      </c>
      <c r="Q27" s="122">
        <f t="shared" si="12"/>
        <v>1.4602821808016684</v>
      </c>
      <c r="R27" s="122">
        <f t="shared" si="12"/>
        <v>1.4824809184014622</v>
      </c>
      <c r="S27" s="161">
        <f t="shared" si="12"/>
        <v>1.50468654926743</v>
      </c>
      <c r="T27" s="122">
        <f t="shared" si="12"/>
        <v>1.5268800398474305</v>
      </c>
      <c r="U27" s="122">
        <f t="shared" si="12"/>
        <v>1.5490412082539311</v>
      </c>
      <c r="V27" s="122">
        <f t="shared" si="12"/>
        <v>1.5711486720146031</v>
      </c>
      <c r="W27" s="122">
        <f t="shared" si="12"/>
        <v>1.5931797936927088</v>
      </c>
      <c r="X27" s="122">
        <f t="shared" si="12"/>
        <v>1.615110624295178</v>
      </c>
      <c r="Y27" s="122">
        <f t="shared" si="12"/>
        <v>1.6369158443832106</v>
      </c>
      <c r="Z27" s="122">
        <f t="shared" si="12"/>
        <v>1.6585687027970837</v>
      </c>
      <c r="AA27" s="122">
        <f t="shared" si="12"/>
        <v>1.6800409529035421</v>
      </c>
      <c r="AB27" s="122">
        <f t="shared" si="12"/>
        <v>1.7013027862707348</v>
      </c>
      <c r="AC27" s="122">
        <f t="shared" si="12"/>
        <v>1.7223227636721377</v>
      </c>
      <c r="AD27" s="122">
        <f t="shared" si="12"/>
        <v>1.7430677433172439</v>
      </c>
      <c r="AE27" s="122">
        <f t="shared" si="12"/>
        <v>1.7635028062029785</v>
      </c>
      <c r="AF27" s="122">
        <f t="shared" si="12"/>
        <v>1.7835911784759033</v>
      </c>
      <c r="AG27" s="122">
        <f t="shared" si="12"/>
        <v>1.8032941506911524</v>
      </c>
      <c r="AH27" s="122">
        <f t="shared" si="12"/>
        <v>1.8225709938498535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291256.59051513695</v>
      </c>
      <c r="F41" s="129">
        <f t="shared" ref="F41:S41" si="20">F25+F37</f>
        <v>321818.80480377213</v>
      </c>
      <c r="G41" s="129">
        <f t="shared" si="20"/>
        <v>352617.17102101492</v>
      </c>
      <c r="H41" s="129">
        <f t="shared" si="20"/>
        <v>383639.08717222372</v>
      </c>
      <c r="I41" s="129">
        <f t="shared" si="20"/>
        <v>414870.98814547877</v>
      </c>
      <c r="J41" s="129">
        <f t="shared" si="20"/>
        <v>446298.29894673428</v>
      </c>
      <c r="K41" s="129">
        <f t="shared" si="20"/>
        <v>477905.3859717492</v>
      </c>
      <c r="L41" s="129">
        <f t="shared" si="20"/>
        <v>509675.50623792037</v>
      </c>
      <c r="M41" s="129">
        <f t="shared" si="20"/>
        <v>541590.75449625449</v>
      </c>
      <c r="N41" s="129">
        <f t="shared" si="20"/>
        <v>573632.00814070343</v>
      </c>
      <c r="O41" s="129">
        <f t="shared" si="20"/>
        <v>605778.86982898484</v>
      </c>
      <c r="P41" s="129">
        <f t="shared" si="20"/>
        <v>638009.60772577371</v>
      </c>
      <c r="Q41" s="129">
        <f t="shared" si="20"/>
        <v>670301.09327582899</v>
      </c>
      <c r="R41" s="129">
        <f t="shared" si="20"/>
        <v>702628.7364111098</v>
      </c>
      <c r="S41" s="130">
        <f t="shared" si="20"/>
        <v>734966.41809240705</v>
      </c>
      <c r="T41" s="130">
        <f t="shared" ref="T41:AH41" si="21">T25+T37</f>
        <v>767286.4200822108</v>
      </c>
      <c r="U41" s="130">
        <f t="shared" si="21"/>
        <v>799559.35184175638</v>
      </c>
      <c r="V41" s="130">
        <f t="shared" si="21"/>
        <v>831754.07444110769</v>
      </c>
      <c r="W41" s="130">
        <f t="shared" si="21"/>
        <v>863837.62136705383</v>
      </c>
      <c r="X41" s="130">
        <f t="shared" si="21"/>
        <v>895775.116109255</v>
      </c>
      <c r="Y41" s="130">
        <f t="shared" si="21"/>
        <v>927529.68640061771</v>
      </c>
      <c r="Z41" s="130">
        <f t="shared" si="21"/>
        <v>959062.37498327601</v>
      </c>
      <c r="AA41" s="130">
        <f t="shared" si="21"/>
        <v>990332.04676675261</v>
      </c>
      <c r="AB41" s="130">
        <f t="shared" si="21"/>
        <v>1021295.2922399004</v>
      </c>
      <c r="AC41" s="130">
        <f t="shared" si="21"/>
        <v>1051906.3269930894</v>
      </c>
      <c r="AD41" s="130">
        <f t="shared" si="21"/>
        <v>1082116.8872017872</v>
      </c>
      <c r="AE41" s="130">
        <f t="shared" si="21"/>
        <v>1111876.1209170946</v>
      </c>
      <c r="AF41" s="130">
        <f t="shared" si="21"/>
        <v>1141130.4750031491</v>
      </c>
      <c r="AG41" s="130">
        <f t="shared" si="21"/>
        <v>1169823.5775552888</v>
      </c>
      <c r="AH41" s="130">
        <f t="shared" si="21"/>
        <v>1197896.1156267805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247568.10193786639</v>
      </c>
      <c r="F42" s="129">
        <f t="shared" ref="F42:S42" si="22">((F41*$C$42))</f>
        <v>273545.98408320628</v>
      </c>
      <c r="G42" s="129">
        <f t="shared" si="22"/>
        <v>299724.59536786267</v>
      </c>
      <c r="H42" s="129">
        <f t="shared" si="22"/>
        <v>326093.22409639013</v>
      </c>
      <c r="I42" s="129">
        <f t="shared" si="22"/>
        <v>352640.33992365695</v>
      </c>
      <c r="J42" s="129">
        <f t="shared" si="22"/>
        <v>379353.55410472414</v>
      </c>
      <c r="K42" s="129">
        <f t="shared" si="22"/>
        <v>406219.57807598682</v>
      </c>
      <c r="L42" s="129">
        <f t="shared" si="22"/>
        <v>433224.18030223233</v>
      </c>
      <c r="M42" s="129">
        <f t="shared" si="22"/>
        <v>460352.14132181631</v>
      </c>
      <c r="N42" s="129">
        <f t="shared" si="22"/>
        <v>487587.20691959793</v>
      </c>
      <c r="O42" s="129">
        <f t="shared" si="22"/>
        <v>514912.03935463709</v>
      </c>
      <c r="P42" s="129">
        <f t="shared" si="22"/>
        <v>542308.16656690766</v>
      </c>
      <c r="Q42" s="129">
        <f t="shared" si="22"/>
        <v>569755.92928445467</v>
      </c>
      <c r="R42" s="129">
        <f t="shared" si="22"/>
        <v>597234.42594944336</v>
      </c>
      <c r="S42" s="129">
        <f t="shared" si="22"/>
        <v>624721.45537854603</v>
      </c>
      <c r="T42" s="129">
        <f t="shared" ref="T42:AH42" si="23">((T41*$C$42))</f>
        <v>652193.45706987916</v>
      </c>
      <c r="U42" s="129">
        <f t="shared" si="23"/>
        <v>679625.44906549295</v>
      </c>
      <c r="V42" s="129">
        <f t="shared" si="23"/>
        <v>706990.96327494155</v>
      </c>
      <c r="W42" s="129">
        <f t="shared" si="23"/>
        <v>734261.97816199576</v>
      </c>
      <c r="X42" s="129">
        <f t="shared" si="23"/>
        <v>761408.84869286674</v>
      </c>
      <c r="Y42" s="129">
        <f t="shared" si="23"/>
        <v>788400.23344052501</v>
      </c>
      <c r="Z42" s="129">
        <f t="shared" si="23"/>
        <v>815203.01873578457</v>
      </c>
      <c r="AA42" s="129">
        <f t="shared" si="23"/>
        <v>841782.23975173966</v>
      </c>
      <c r="AB42" s="129">
        <f t="shared" si="23"/>
        <v>868100.99840391532</v>
      </c>
      <c r="AC42" s="129">
        <f t="shared" si="23"/>
        <v>894120.37794412591</v>
      </c>
      <c r="AD42" s="129">
        <f t="shared" si="23"/>
        <v>919799.35412151914</v>
      </c>
      <c r="AE42" s="129">
        <f t="shared" si="23"/>
        <v>945094.70277953043</v>
      </c>
      <c r="AF42" s="129">
        <f t="shared" si="23"/>
        <v>969960.90375267668</v>
      </c>
      <c r="AG42" s="129">
        <f t="shared" si="23"/>
        <v>994350.04092199542</v>
      </c>
      <c r="AH42" s="129">
        <f t="shared" si="23"/>
        <v>1018211.6982827635</v>
      </c>
    </row>
    <row r="43" spans="1:34">
      <c r="A43" s="86"/>
      <c r="B43" s="132" t="s">
        <v>330</v>
      </c>
      <c r="C43" s="324">
        <f>GapCalc!I32</f>
        <v>0.15</v>
      </c>
      <c r="D43" s="133" t="s">
        <v>1048</v>
      </c>
      <c r="E43" s="108">
        <f>$C$43*(E41)</f>
        <v>43688.488577270538</v>
      </c>
      <c r="F43" s="108">
        <f t="shared" ref="F43:S43" si="24">$C$43*(F41)</f>
        <v>48272.820720565818</v>
      </c>
      <c r="G43" s="108">
        <f t="shared" si="24"/>
        <v>52892.575653152235</v>
      </c>
      <c r="H43" s="108">
        <f t="shared" si="24"/>
        <v>57545.863075833557</v>
      </c>
      <c r="I43" s="108">
        <f t="shared" si="24"/>
        <v>62230.648221821815</v>
      </c>
      <c r="J43" s="108">
        <f t="shared" si="24"/>
        <v>66944.744842010143</v>
      </c>
      <c r="K43" s="108">
        <f t="shared" si="24"/>
        <v>71685.80789576238</v>
      </c>
      <c r="L43" s="108">
        <f t="shared" si="24"/>
        <v>76451.325935688059</v>
      </c>
      <c r="M43" s="108">
        <f t="shared" si="24"/>
        <v>81238.613174438171</v>
      </c>
      <c r="N43" s="108">
        <f t="shared" si="24"/>
        <v>86044.801221105517</v>
      </c>
      <c r="O43" s="108">
        <f t="shared" si="24"/>
        <v>90866.83047434772</v>
      </c>
      <c r="P43" s="108">
        <f t="shared" si="24"/>
        <v>95701.441158866059</v>
      </c>
      <c r="Q43" s="108">
        <f t="shared" si="24"/>
        <v>100545.16399137434</v>
      </c>
      <c r="R43" s="108">
        <f t="shared" si="24"/>
        <v>105394.31046166646</v>
      </c>
      <c r="S43" s="108">
        <f t="shared" si="24"/>
        <v>110244.96271386105</v>
      </c>
      <c r="T43" s="108">
        <f t="shared" ref="T43:AH43" si="25">$C$43*(T41)</f>
        <v>115092.96301233162</v>
      </c>
      <c r="U43" s="108">
        <f t="shared" si="25"/>
        <v>119933.90277626345</v>
      </c>
      <c r="V43" s="108">
        <f t="shared" si="25"/>
        <v>124763.11116616614</v>
      </c>
      <c r="W43" s="108">
        <f t="shared" si="25"/>
        <v>129575.64320505806</v>
      </c>
      <c r="X43" s="108">
        <f t="shared" si="25"/>
        <v>134366.26741638823</v>
      </c>
      <c r="Y43" s="108">
        <f t="shared" si="25"/>
        <v>139129.45296009266</v>
      </c>
      <c r="Z43" s="108">
        <f t="shared" si="25"/>
        <v>143859.35624749141</v>
      </c>
      <c r="AA43" s="108">
        <f t="shared" si="25"/>
        <v>148549.80701501289</v>
      </c>
      <c r="AB43" s="108">
        <f t="shared" si="25"/>
        <v>153194.29383598507</v>
      </c>
      <c r="AC43" s="108">
        <f t="shared" si="25"/>
        <v>157785.9490489634</v>
      </c>
      <c r="AD43" s="108">
        <f t="shared" si="25"/>
        <v>162317.53308026807</v>
      </c>
      <c r="AE43" s="108">
        <f t="shared" si="25"/>
        <v>166781.41813756418</v>
      </c>
      <c r="AF43" s="108">
        <f t="shared" si="25"/>
        <v>171169.57125047236</v>
      </c>
      <c r="AG43" s="108">
        <f t="shared" si="25"/>
        <v>175473.53663329332</v>
      </c>
      <c r="AH43" s="108">
        <f t="shared" si="25"/>
        <v>179684.41734401707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 t="e">
        <f>E21/Data!$C$38</f>
        <v>#DIV/0!</v>
      </c>
      <c r="F46" s="1529" t="e">
        <f>F21/Data!$C$38</f>
        <v>#DIV/0!</v>
      </c>
      <c r="G46" s="1529" t="e">
        <f>G21/Data!$C$38</f>
        <v>#DIV/0!</v>
      </c>
      <c r="H46" s="1529" t="e">
        <f>H21/Data!$C$38</f>
        <v>#DIV/0!</v>
      </c>
      <c r="I46" s="1529" t="e">
        <f>I21/Data!$C$38</f>
        <v>#DIV/0!</v>
      </c>
      <c r="J46" s="1529" t="e">
        <f>J21/Data!$C$38</f>
        <v>#DIV/0!</v>
      </c>
      <c r="K46" s="1529" t="e">
        <f>K21/Data!$C$38</f>
        <v>#DIV/0!</v>
      </c>
      <c r="L46" s="1529" t="e">
        <f>L21/Data!$C$38</f>
        <v>#DIV/0!</v>
      </c>
      <c r="M46" s="1529" t="e">
        <f>M21/Data!$C$38</f>
        <v>#DIV/0!</v>
      </c>
      <c r="N46" s="1529" t="e">
        <f>N21/Data!$C$38</f>
        <v>#DIV/0!</v>
      </c>
      <c r="O46" s="1529" t="e">
        <f>O21/Data!$C$38</f>
        <v>#DIV/0!</v>
      </c>
      <c r="P46" s="1529" t="e">
        <f>P21/Data!$C$38</f>
        <v>#DIV/0!</v>
      </c>
      <c r="Q46" s="1529" t="e">
        <f>Q21/Data!$C$38</f>
        <v>#DIV/0!</v>
      </c>
      <c r="R46" s="1529" t="e">
        <f>R21/Data!$C$38</f>
        <v>#DIV/0!</v>
      </c>
      <c r="S46" s="1529" t="e">
        <f>S21/Data!$C$38</f>
        <v>#DIV/0!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3.2329517165116781E-3</v>
      </c>
      <c r="F47" s="142">
        <f>F41/GapCalc!$H$33</f>
        <v>3.5721926688626112E-3</v>
      </c>
      <c r="G47" s="142">
        <f>G41/GapCalc!$H$33</f>
        <v>3.9140549105090043E-3</v>
      </c>
      <c r="H47" s="142">
        <f>H41/GapCalc!$H$33</f>
        <v>4.2583985591562257E-3</v>
      </c>
      <c r="I47" s="142">
        <f>I41/GapCalc!$H$33</f>
        <v>4.6050730418960763E-3</v>
      </c>
      <c r="J47" s="142">
        <f>J41/GapCalc!$H$33</f>
        <v>4.9539165761164107E-3</v>
      </c>
      <c r="K47" s="142">
        <f>K41/GapCalc!$H$33</f>
        <v>5.3047556286189681E-3</v>
      </c>
      <c r="L47" s="142">
        <f>L41/GapCalc!$H$33</f>
        <v>5.6574043520921024E-3</v>
      </c>
      <c r="M47" s="142">
        <f>M41/GapCalc!$H$33</f>
        <v>6.0116639980530243E-3</v>
      </c>
      <c r="N47" s="142">
        <f>N41/GapCalc!$H$33</f>
        <v>6.3673223053407483E-3</v>
      </c>
      <c r="O47" s="142">
        <f>O41/GapCalc!$H$33</f>
        <v>6.7241528632064991E-3</v>
      </c>
      <c r="P47" s="142">
        <f>P41/GapCalc!$H$33</f>
        <v>7.0819144480124092E-3</v>
      </c>
      <c r="Q47" s="142">
        <f>Q41/GapCalc!$H$33</f>
        <v>7.4403503325124638E-3</v>
      </c>
      <c r="R47" s="142">
        <f>R41/GapCalc!$H$33</f>
        <v>7.7991875666506951E-3</v>
      </c>
      <c r="S47" s="142">
        <f>S41/GapCalc!$H$33</f>
        <v>8.1581362287724713E-3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2.7480089590349263E-3</v>
      </c>
      <c r="F48" s="142">
        <f>F43/GapCalc!$H$32</f>
        <v>3.0363637685332195E-3</v>
      </c>
      <c r="G48" s="142">
        <f>G43/GapCalc!$H$32</f>
        <v>3.3269466739326539E-3</v>
      </c>
      <c r="H48" s="142">
        <f>H43/GapCalc!$H$32</f>
        <v>3.6196387752827916E-3</v>
      </c>
      <c r="I48" s="142">
        <f>I43/GapCalc!$H$32</f>
        <v>3.914312085611665E-3</v>
      </c>
      <c r="J48" s="142">
        <f>J43/GapCalc!$H$32</f>
        <v>4.2108290896989489E-3</v>
      </c>
      <c r="K48" s="142">
        <f>K43/GapCalc!$H$32</f>
        <v>4.509042284326123E-3</v>
      </c>
      <c r="L48" s="142">
        <f>L43/GapCalc!$H$32</f>
        <v>4.8087936992782876E-3</v>
      </c>
      <c r="M48" s="142">
        <f>M43/GapCalc!$H$32</f>
        <v>5.1099143983450706E-3</v>
      </c>
      <c r="N48" s="142">
        <f>N43/GapCalc!$H$32</f>
        <v>5.412223959539636E-3</v>
      </c>
      <c r="O48" s="142">
        <f>O43/GapCalc!$H$32</f>
        <v>5.7155299337255236E-3</v>
      </c>
      <c r="P48" s="142">
        <f>P43/GapCalc!$H$32</f>
        <v>6.019627280810548E-3</v>
      </c>
      <c r="Q48" s="142">
        <f>Q43/GapCalc!$H$32</f>
        <v>6.3242977826355939E-3</v>
      </c>
      <c r="R48" s="142">
        <f>R43/GapCalc!$H$32</f>
        <v>6.6293094316530908E-3</v>
      </c>
      <c r="S48" s="142">
        <f>S43/GapCalc!$H$32</f>
        <v>6.9344157944565997E-3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4027783.679940246</v>
      </c>
      <c r="D66" s="1544"/>
      <c r="E66" s="1564" t="s">
        <v>284</v>
      </c>
      <c r="G66" s="1520" t="s">
        <v>1072</v>
      </c>
      <c r="H66" s="1565">
        <f>H70/1.63</f>
        <v>710785.3552835728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2285145.3775896933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403260.94898641651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0</v>
      </c>
      <c r="D68" s="1545" t="s">
        <v>67</v>
      </c>
      <c r="G68" s="1521" t="s">
        <v>1078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1058</v>
      </c>
      <c r="C69" s="1568">
        <f>'Debt Calc'!E60</f>
        <v>4280142.0207129074</v>
      </c>
      <c r="D69" s="1546">
        <v>0.9</v>
      </c>
      <c r="G69" s="1521" t="s">
        <v>1074</v>
      </c>
      <c r="H69" s="1568">
        <f>'Debt Calc'!E59*C43</f>
        <v>755319.18012580718</v>
      </c>
      <c r="I69" s="1546">
        <v>0.9</v>
      </c>
    </row>
    <row r="70" spans="2:10">
      <c r="B70" s="1523" t="s">
        <v>1041</v>
      </c>
      <c r="C70" s="1577">
        <f>C67+C68+C69</f>
        <v>6565287.3983026007</v>
      </c>
      <c r="D70" s="1545" t="s">
        <v>67</v>
      </c>
      <c r="G70" s="1523" t="s">
        <v>1041</v>
      </c>
      <c r="H70" s="1577">
        <f>H67+H68+H69</f>
        <v>1158580.1291122236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90089990.836423576</v>
      </c>
      <c r="D74" s="1549"/>
      <c r="F74" s="1559"/>
      <c r="G74" s="1578" t="s">
        <v>1081</v>
      </c>
      <c r="H74" s="1581">
        <f>GapCalc!H32</f>
        <v>15898233.677015925</v>
      </c>
      <c r="I74" s="1549"/>
    </row>
    <row r="75" spans="2:10">
      <c r="B75" s="70" t="s">
        <v>1080</v>
      </c>
      <c r="C75" s="1579">
        <f>(C70-C74)/C74</f>
        <v>-0.92712522959156263</v>
      </c>
      <c r="G75" s="70" t="s">
        <v>1080</v>
      </c>
      <c r="H75" s="1579">
        <f>(H70-H74)/H74</f>
        <v>-0.92712522959156263</v>
      </c>
    </row>
    <row r="76" spans="2:10">
      <c r="B76" s="70" t="s">
        <v>1044</v>
      </c>
      <c r="C76" s="1579">
        <f>C75/7</f>
        <v>-0.13244646137022323</v>
      </c>
      <c r="G76" s="70" t="s">
        <v>1044</v>
      </c>
      <c r="H76" s="1579">
        <f>H75/7</f>
        <v>-0.13244646137022323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2036838.281185189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3666308.9061333402</v>
      </c>
      <c r="D81" s="1545" t="s">
        <v>67</v>
      </c>
    </row>
    <row r="82" spans="2:10">
      <c r="B82" s="1521" t="s">
        <v>1058</v>
      </c>
      <c r="C82" s="1568">
        <f>C68</f>
        <v>0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3666308.9061333402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0.79999999999999993</v>
      </c>
      <c r="D86" s="1548"/>
    </row>
    <row r="87" spans="2:10">
      <c r="B87" s="1523" t="s">
        <v>1044</v>
      </c>
      <c r="C87" s="1566">
        <f>C86/10</f>
        <v>7.9999999999999988E-2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7261247.1508607585</v>
      </c>
      <c r="D93" s="1544"/>
      <c r="E93" s="1564" t="s">
        <v>287</v>
      </c>
      <c r="G93" s="1520" t="s">
        <v>1072</v>
      </c>
      <c r="H93" s="1565">
        <f>H97/1.63</f>
        <v>860315.87082420569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3666308.9061333402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646995.68931764818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0</v>
      </c>
      <c r="D95" s="1545" t="s">
        <v>67</v>
      </c>
      <c r="G95" s="1521" t="s">
        <v>1078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1058</v>
      </c>
      <c r="C96" s="1568">
        <f>'Debt Calc'!H60</f>
        <v>8169523.9497696944</v>
      </c>
      <c r="D96" s="1546">
        <v>0.9</v>
      </c>
      <c r="G96" s="1521" t="s">
        <v>1074</v>
      </c>
      <c r="H96" s="1568">
        <f>'Debt Calc'!E59*C43</f>
        <v>755319.18012580718</v>
      </c>
      <c r="I96" s="1546">
        <v>0.9</v>
      </c>
    </row>
    <row r="97" spans="2:9">
      <c r="B97" s="1523" t="s">
        <v>1041</v>
      </c>
      <c r="C97" s="1577">
        <f>C94+C95+C96</f>
        <v>11835832.855903035</v>
      </c>
      <c r="D97" s="1545" t="s">
        <v>67</v>
      </c>
      <c r="G97" s="1523" t="s">
        <v>1041</v>
      </c>
      <c r="H97" s="1577">
        <f>H94+H95+H96</f>
        <v>1402314.8694434552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0.62999999999999978</v>
      </c>
      <c r="D99" s="1548"/>
      <c r="G99" s="1521" t="s">
        <v>1043</v>
      </c>
      <c r="H99" s="1524">
        <f>(H97-H93)/H93</f>
        <v>0.63</v>
      </c>
      <c r="I99" s="1548"/>
    </row>
    <row r="100" spans="2:9">
      <c r="B100" s="1523" t="s">
        <v>1044</v>
      </c>
      <c r="C100" s="1566">
        <f>C99/7</f>
        <v>8.9999999999999969E-2</v>
      </c>
      <c r="D100" s="1548"/>
      <c r="G100" s="1523" t="s">
        <v>1044</v>
      </c>
      <c r="H100" s="1566">
        <f>H99/7</f>
        <v>0.09</v>
      </c>
      <c r="I100" s="1548"/>
    </row>
    <row r="101" spans="2:9" ht="13.5" thickBot="1">
      <c r="B101" s="1578" t="s">
        <v>1079</v>
      </c>
      <c r="C101" s="1581">
        <f>GapCalc!H33</f>
        <v>90089990.836423576</v>
      </c>
      <c r="D101" s="1549"/>
      <c r="G101" s="1578" t="s">
        <v>1081</v>
      </c>
      <c r="H101" s="1581">
        <f>GapCalc!H32</f>
        <v>15898233.677015925</v>
      </c>
      <c r="I101" s="1549"/>
    </row>
    <row r="102" spans="2:9">
      <c r="B102" s="70" t="s">
        <v>1080</v>
      </c>
      <c r="C102" s="1579">
        <f>(C97-C101)/C101</f>
        <v>-0.86862211055839311</v>
      </c>
      <c r="G102" s="70" t="s">
        <v>1080</v>
      </c>
      <c r="H102" s="1579">
        <f>(H97-H101)/H101</f>
        <v>-0.91179429753439956</v>
      </c>
    </row>
    <row r="103" spans="2:9">
      <c r="B103" s="70" t="s">
        <v>1044</v>
      </c>
      <c r="C103" s="1579">
        <f>C102/10</f>
        <v>-8.6862211055839314E-2</v>
      </c>
      <c r="G103" s="70" t="s">
        <v>1044</v>
      </c>
      <c r="H103" s="1579">
        <f>H102/10</f>
        <v>-9.1179429753439956E-2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24" zoomScale="70" zoomScaleNormal="70" workbookViewId="0">
      <selection activeCell="G51" sqref="G51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176760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35352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212112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212112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212112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252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126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126</v>
      </c>
      <c r="D49" s="876"/>
      <c r="E49" s="855" t="s">
        <v>576</v>
      </c>
      <c r="F49" s="855"/>
      <c r="G49" s="923">
        <v>143</v>
      </c>
      <c r="H49" s="884">
        <f>C53*D53</f>
        <v>50068.038461538468</v>
      </c>
      <c r="I49" s="884">
        <f>G49*H49</f>
        <v>7159729.5000000009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50068.038461538468</v>
      </c>
      <c r="I51" s="930">
        <f>SUM(I48:I50)</f>
        <v>7159729.5000000009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126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7159729.5000000009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126</v>
      </c>
      <c r="D55" s="855"/>
      <c r="E55" s="855"/>
      <c r="F55" s="937"/>
      <c r="G55" s="855"/>
      <c r="H55" s="872" t="s">
        <v>684</v>
      </c>
      <c r="I55" s="939">
        <f>SUM(I53:I54)</f>
        <v>7159729.5000000009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1456282.9525756852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27041648.656078488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27041600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12478796.677163696</v>
      </c>
    </row>
    <row r="15" spans="2:36">
      <c r="B15" s="556"/>
      <c r="C15" s="560" t="s">
        <v>633</v>
      </c>
      <c r="H15" s="561">
        <f>12*PMT(Data!C24/12,Data!C29*12,-'Debt Calc'!H14)</f>
        <v>1456280.3322836296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5093122.8563142922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5093122.8563142922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27041600</v>
      </c>
      <c r="E21" s="561">
        <f>$H$15</f>
        <v>1456280.3322836296</v>
      </c>
      <c r="F21" s="561">
        <f>E21-G21</f>
        <v>0</v>
      </c>
      <c r="G21" s="561">
        <f>D21-H21</f>
        <v>1456280.332283631</v>
      </c>
      <c r="H21" s="561">
        <f>D21-E21</f>
        <v>25585319.667716369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25585319.667716369</v>
      </c>
      <c r="E22" s="561">
        <f t="shared" ref="E22:E50" si="1">$H$15</f>
        <v>1456280.3322836296</v>
      </c>
      <c r="F22" s="561">
        <f t="shared" ref="F22:F50" si="2">E22-G22</f>
        <v>0</v>
      </c>
      <c r="G22" s="561">
        <f t="shared" ref="G22:G50" si="3">D22-H22</f>
        <v>1456280.332283631</v>
      </c>
      <c r="H22" s="561">
        <f t="shared" ref="H22:H39" si="4">D22-E22</f>
        <v>24129039.335432738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24129039.335432738</v>
      </c>
      <c r="E23" s="561">
        <f t="shared" si="1"/>
        <v>1456280.3322836296</v>
      </c>
      <c r="F23" s="561">
        <f t="shared" si="2"/>
        <v>0</v>
      </c>
      <c r="G23" s="561">
        <f t="shared" si="3"/>
        <v>1456280.332283631</v>
      </c>
      <c r="H23" s="561">
        <f t="shared" si="4"/>
        <v>22672759.003149107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22672759.003149107</v>
      </c>
      <c r="E24" s="561">
        <f t="shared" si="1"/>
        <v>1456280.3322836296</v>
      </c>
      <c r="F24" s="561">
        <f t="shared" si="2"/>
        <v>0</v>
      </c>
      <c r="G24" s="561">
        <f t="shared" si="3"/>
        <v>1456280.332283631</v>
      </c>
      <c r="H24" s="561">
        <f t="shared" si="4"/>
        <v>21216478.670865476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21216478.670865476</v>
      </c>
      <c r="E25" s="561">
        <f t="shared" si="1"/>
        <v>1456280.3322836296</v>
      </c>
      <c r="F25" s="561">
        <f t="shared" si="2"/>
        <v>0</v>
      </c>
      <c r="G25" s="561">
        <f t="shared" si="3"/>
        <v>1456280.332283631</v>
      </c>
      <c r="H25" s="561">
        <f t="shared" si="4"/>
        <v>19760198.338581845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19760198.338581845</v>
      </c>
      <c r="E26" s="561">
        <f t="shared" si="1"/>
        <v>1456280.3322836296</v>
      </c>
      <c r="F26" s="561">
        <f t="shared" si="2"/>
        <v>0</v>
      </c>
      <c r="G26" s="561">
        <f t="shared" si="3"/>
        <v>1456280.332283631</v>
      </c>
      <c r="H26" s="561">
        <f t="shared" si="4"/>
        <v>18303918.006298214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18303918.006298214</v>
      </c>
      <c r="E27" s="561">
        <f t="shared" si="1"/>
        <v>1456280.3322836296</v>
      </c>
      <c r="F27" s="561">
        <f t="shared" si="2"/>
        <v>0</v>
      </c>
      <c r="G27" s="561">
        <f t="shared" si="3"/>
        <v>1456280.332283631</v>
      </c>
      <c r="H27" s="561">
        <f t="shared" si="4"/>
        <v>16847637.674014583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16847637.674014583</v>
      </c>
      <c r="E28" s="561">
        <f t="shared" si="1"/>
        <v>1456280.3322836296</v>
      </c>
      <c r="F28" s="561">
        <f t="shared" si="2"/>
        <v>0</v>
      </c>
      <c r="G28" s="561">
        <f t="shared" si="3"/>
        <v>1456280.3322836291</v>
      </c>
      <c r="H28" s="561">
        <f t="shared" si="4"/>
        <v>15391357.341730954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15391357.341730954</v>
      </c>
      <c r="E29" s="561">
        <f t="shared" si="1"/>
        <v>1456280.3322836296</v>
      </c>
      <c r="F29" s="561">
        <f t="shared" si="2"/>
        <v>0</v>
      </c>
      <c r="G29" s="561">
        <f t="shared" si="3"/>
        <v>1456280.3322836291</v>
      </c>
      <c r="H29" s="561">
        <f t="shared" si="4"/>
        <v>13935077.009447325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13935077.009447325</v>
      </c>
      <c r="E30" s="561">
        <f t="shared" si="1"/>
        <v>1456280.3322836296</v>
      </c>
      <c r="F30" s="561">
        <f t="shared" si="2"/>
        <v>0</v>
      </c>
      <c r="G30" s="561">
        <f t="shared" si="3"/>
        <v>1456280.3322836291</v>
      </c>
      <c r="H30" s="561">
        <f>D30-E30</f>
        <v>12478796.677163696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12478796.677163696</v>
      </c>
      <c r="E31" s="561">
        <f t="shared" si="1"/>
        <v>1456280.3322836296</v>
      </c>
      <c r="F31" s="561">
        <f t="shared" si="2"/>
        <v>0</v>
      </c>
      <c r="G31" s="561">
        <f t="shared" si="3"/>
        <v>1456280.3322836291</v>
      </c>
      <c r="H31" s="561">
        <f t="shared" si="4"/>
        <v>11022516.344880067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11022516.344880067</v>
      </c>
      <c r="E32" s="561">
        <f t="shared" si="1"/>
        <v>1456280.3322836296</v>
      </c>
      <c r="F32" s="561">
        <f t="shared" si="2"/>
        <v>0</v>
      </c>
      <c r="G32" s="561">
        <f t="shared" si="3"/>
        <v>1456280.3322836291</v>
      </c>
      <c r="H32" s="561">
        <f t="shared" si="4"/>
        <v>9566236.0125964377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9566236.0125964377</v>
      </c>
      <c r="E33" s="561">
        <f t="shared" si="1"/>
        <v>1456280.3322836296</v>
      </c>
      <c r="F33" s="561">
        <f t="shared" si="2"/>
        <v>0</v>
      </c>
      <c r="G33" s="561">
        <f t="shared" si="3"/>
        <v>1456280.3322836291</v>
      </c>
      <c r="H33" s="561">
        <f t="shared" si="4"/>
        <v>8109955.6803128086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8109955.6803128086</v>
      </c>
      <c r="E34" s="561">
        <f t="shared" si="1"/>
        <v>1456280.3322836296</v>
      </c>
      <c r="F34" s="561">
        <f t="shared" si="2"/>
        <v>0</v>
      </c>
      <c r="G34" s="561">
        <f t="shared" si="3"/>
        <v>1456280.3322836291</v>
      </c>
      <c r="H34" s="561">
        <f t="shared" si="4"/>
        <v>6653675.3480291795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6653675.3480291795</v>
      </c>
      <c r="E35" s="561">
        <f t="shared" si="1"/>
        <v>1456280.3322836296</v>
      </c>
      <c r="F35" s="561">
        <f t="shared" si="2"/>
        <v>0</v>
      </c>
      <c r="G35" s="561">
        <f t="shared" si="3"/>
        <v>1456280.3322836291</v>
      </c>
      <c r="H35" s="561">
        <f t="shared" si="4"/>
        <v>5197395.0157455504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5197395.0157455504</v>
      </c>
      <c r="E36" s="561">
        <f t="shared" si="1"/>
        <v>1456280.3322836296</v>
      </c>
      <c r="F36" s="561">
        <f t="shared" si="2"/>
        <v>0</v>
      </c>
      <c r="G36" s="561">
        <f t="shared" si="3"/>
        <v>1456280.3322836296</v>
      </c>
      <c r="H36" s="561">
        <f t="shared" si="4"/>
        <v>3741114.6834619208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3741114.6834619208</v>
      </c>
      <c r="E37" s="561">
        <f t="shared" si="1"/>
        <v>1456280.3322836296</v>
      </c>
      <c r="F37" s="561">
        <f t="shared" si="2"/>
        <v>0</v>
      </c>
      <c r="G37" s="561">
        <f t="shared" si="3"/>
        <v>1456280.3322836296</v>
      </c>
      <c r="H37" s="561">
        <f t="shared" si="4"/>
        <v>2284834.3511782913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2284834.3511782913</v>
      </c>
      <c r="E38" s="561">
        <f t="shared" si="1"/>
        <v>1456280.3322836296</v>
      </c>
      <c r="F38" s="561">
        <f t="shared" si="2"/>
        <v>0</v>
      </c>
      <c r="G38" s="561">
        <f t="shared" si="3"/>
        <v>1456280.3322836296</v>
      </c>
      <c r="H38" s="561">
        <f>D38-E38</f>
        <v>828554.01889466168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828554.01889466168</v>
      </c>
      <c r="E39" s="561">
        <f t="shared" si="1"/>
        <v>1456280.3322836296</v>
      </c>
      <c r="F39" s="561">
        <f t="shared" si="2"/>
        <v>0</v>
      </c>
      <c r="G39" s="561">
        <f t="shared" si="3"/>
        <v>1456280.3322836296</v>
      </c>
      <c r="H39" s="561">
        <f t="shared" si="4"/>
        <v>-627726.31338896789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-627726.31338896789</v>
      </c>
      <c r="E40" s="561">
        <f t="shared" si="1"/>
        <v>1456280.3322836296</v>
      </c>
      <c r="F40" s="561">
        <f t="shared" si="2"/>
        <v>2084006.6456725975</v>
      </c>
      <c r="G40" s="561">
        <f t="shared" si="3"/>
        <v>-627726.31338896789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1456280.3322836296</v>
      </c>
      <c r="F41" s="561">
        <f t="shared" si="2"/>
        <v>1456280.3322836296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1456280.3322836296</v>
      </c>
      <c r="F42" s="561">
        <f t="shared" si="2"/>
        <v>1456280.3322836296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1456280.3322836296</v>
      </c>
      <c r="F43" s="561">
        <f t="shared" si="2"/>
        <v>1456280.3322836296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1456280.3322836296</v>
      </c>
      <c r="F44" s="561">
        <f t="shared" si="2"/>
        <v>1456280.3322836296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1456280.3322836296</v>
      </c>
      <c r="F45" s="561">
        <f t="shared" si="2"/>
        <v>1456280.3322836296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1456280.3322836296</v>
      </c>
      <c r="F46" s="561">
        <f t="shared" si="2"/>
        <v>1456280.3322836296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1456280.3322836296</v>
      </c>
      <c r="F47" s="561">
        <f t="shared" si="2"/>
        <v>1456280.3322836296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1456280.3322836296</v>
      </c>
      <c r="F48" s="561">
        <f t="shared" si="2"/>
        <v>1456280.3322836296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1456280.3322836296</v>
      </c>
      <c r="F49" s="561">
        <f t="shared" si="2"/>
        <v>1456280.3322836296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1456280.3322836296</v>
      </c>
      <c r="F50" s="561">
        <f t="shared" si="2"/>
        <v>1456280.3322836296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77547251.578510031</v>
      </c>
      <c r="F55" s="561"/>
      <c r="G55" s="1663" t="s">
        <v>1063</v>
      </c>
      <c r="H55" s="1667">
        <f>'Cash Flow'!N15/0.05</f>
        <v>83509908.219413877</v>
      </c>
    </row>
    <row r="56" spans="2:28">
      <c r="D56" s="1653" t="s">
        <v>1064</v>
      </c>
      <c r="E56" s="1665">
        <f>'Cash Flow'!K21/1.2</f>
        <v>1611823.6154561953</v>
      </c>
      <c r="F56" s="561"/>
      <c r="G56" s="1661" t="s">
        <v>1064</v>
      </c>
      <c r="H56" s="1668">
        <f>'Cash Flow'!N21/1.2</f>
        <v>1691595.8005969906</v>
      </c>
    </row>
    <row r="57" spans="2:28">
      <c r="D57" s="1653" t="s">
        <v>1065</v>
      </c>
      <c r="E57" s="1665">
        <f>E55*0.6</f>
        <v>46528350.947106019</v>
      </c>
      <c r="F57" s="561"/>
      <c r="G57" s="1661" t="s">
        <v>1065</v>
      </c>
      <c r="H57" s="1668">
        <f>H55*0.6</f>
        <v>50105944.931648321</v>
      </c>
    </row>
    <row r="58" spans="2:28">
      <c r="D58" s="1653" t="s">
        <v>1066</v>
      </c>
      <c r="E58" s="1665">
        <f>-PV(6.5%,34,E56)</f>
        <v>21883098.874853298</v>
      </c>
      <c r="F58" s="561"/>
      <c r="G58" s="1661" t="s">
        <v>1066</v>
      </c>
      <c r="H58" s="1668">
        <f>-PV(6.5%,30,H56)</f>
        <v>22090001.323951572</v>
      </c>
    </row>
    <row r="59" spans="2:28">
      <c r="D59" s="1652" t="s">
        <v>1067</v>
      </c>
      <c r="E59" s="1665">
        <f>E58-H27</f>
        <v>5035461.2008387148</v>
      </c>
      <c r="F59" s="561"/>
      <c r="G59" s="1660" t="s">
        <v>1067</v>
      </c>
      <c r="H59" s="1668">
        <f>H58-H30</f>
        <v>9611204.6467878763</v>
      </c>
    </row>
    <row r="60" spans="2:28" ht="13.5" thickBot="1">
      <c r="D60" s="1654" t="s">
        <v>1068</v>
      </c>
      <c r="E60" s="1666">
        <f>E59*GapCalc!I33</f>
        <v>4280142.0207129074</v>
      </c>
      <c r="F60" s="561"/>
      <c r="G60" s="1662" t="s">
        <v>1068</v>
      </c>
      <c r="H60" s="1669">
        <f>H59*GapCalc!I33</f>
        <v>8169523.9497696944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16380000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70793329.5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196461.39239999998</v>
      </c>
      <c r="C7" s="1417">
        <f>C4*E4</f>
        <v>849093.77815640997</v>
      </c>
      <c r="D7" s="1409">
        <f>(1-'Rental Income'!O19)</f>
        <v>7.9365079365079083E-3</v>
      </c>
    </row>
    <row r="8" spans="1:5">
      <c r="A8" s="1410" t="s">
        <v>979</v>
      </c>
      <c r="B8" s="1417">
        <f>B7*D7</f>
        <v>1559.2173999999943</v>
      </c>
      <c r="C8" s="1417">
        <f>C7*D7</f>
        <v>6738.839509177833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8298.056909177827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98230.696200000006</v>
      </c>
    </row>
    <row r="14" spans="1:5">
      <c r="A14" t="s">
        <v>991</v>
      </c>
      <c r="B14">
        <v>24</v>
      </c>
      <c r="C14" s="1425">
        <f>C3*(E3/12)*B14</f>
        <v>392922.78480000002</v>
      </c>
    </row>
    <row r="15" spans="1:5">
      <c r="A15" s="40" t="s">
        <v>993</v>
      </c>
      <c r="C15" s="1428">
        <f>SUM(C13+C14)</f>
        <v>491153.48100000003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252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3513828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-175970.40000000002</v>
      </c>
      <c r="E18" s="50"/>
      <c r="F18" s="55">
        <v>0.05</v>
      </c>
    </row>
    <row r="19" spans="1:25">
      <c r="A19" s="40" t="s">
        <v>164</v>
      </c>
      <c r="D19" s="57">
        <f>SUM(D15:D18)</f>
        <v>3343437.6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1890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131433</v>
      </c>
      <c r="E22" s="48">
        <v>1043</v>
      </c>
      <c r="F22" s="453" t="s">
        <v>171</v>
      </c>
      <c r="N22" s="428">
        <f>D22*0.8</f>
        <v>105146.40000000001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38918.879999999997</v>
      </c>
      <c r="Y22" s="688">
        <f>T22/5</f>
        <v>154.44</v>
      </c>
    </row>
    <row r="23" spans="1:25">
      <c r="B23" t="s">
        <v>173</v>
      </c>
      <c r="D23" s="48">
        <f>(E23*$D$10-20)/2</f>
        <v>168074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23466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121351.36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1512</v>
      </c>
      <c r="Y25" s="688">
        <f>T25/5</f>
        <v>6</v>
      </c>
    </row>
    <row r="26" spans="1:25">
      <c r="A26" s="40" t="s">
        <v>182</v>
      </c>
      <c r="D26" s="51">
        <f>SUM(D22:D25)</f>
        <v>444324.36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46872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25200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100800</v>
      </c>
      <c r="Y30">
        <v>400</v>
      </c>
    </row>
    <row r="31" spans="1:25">
      <c r="B31" t="s">
        <v>191</v>
      </c>
      <c r="D31" s="48">
        <f>E31*$D$10</f>
        <v>41328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197421.98</v>
      </c>
    </row>
    <row r="32" spans="1:25">
      <c r="A32" s="42"/>
      <c r="B32" s="43" t="s">
        <v>193</v>
      </c>
      <c r="C32" s="43"/>
      <c r="D32" s="50">
        <f>E32*$D$10</f>
        <v>7560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120960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11340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29400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133560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11340</v>
      </c>
      <c r="Y36" s="688">
        <f>T36/6</f>
        <v>45</v>
      </c>
    </row>
    <row r="37" spans="1:25">
      <c r="B37" t="s">
        <v>201</v>
      </c>
      <c r="D37" s="48">
        <f>E37*$D$10</f>
        <v>199080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31500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106092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83580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438732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92988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66982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99792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34272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214200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13860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391164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8298.056909177827</v>
      </c>
      <c r="Y56" s="1309">
        <f>X56/'Rental Income'!D15</f>
        <v>32.92879725864217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436.27870666666666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1936.2787066666667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211680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158.73015873015873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80882.190242511162</v>
      </c>
    </row>
    <row r="65" spans="1:25">
      <c r="B65" t="s">
        <v>249</v>
      </c>
      <c r="D65" s="48">
        <f>E65*$D$10</f>
        <v>37800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301480</v>
      </c>
      <c r="E67" s="48">
        <f>SUM(E62:E66)</f>
        <v>1333.7301587301588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75600</v>
      </c>
      <c r="E69" s="426">
        <v>300</v>
      </c>
    </row>
    <row r="70" spans="1:25">
      <c r="V70" s="40" t="s">
        <v>255</v>
      </c>
      <c r="X70" s="1307">
        <f>SUM(X68,X64,X54,X39,X31)</f>
        <v>528125.1702425112</v>
      </c>
      <c r="Y70" s="1307">
        <f>X70/D10</f>
        <v>2095.7348025496476</v>
      </c>
    </row>
    <row r="71" spans="1:25">
      <c r="A71" s="40" t="s">
        <v>256</v>
      </c>
      <c r="D71" s="48">
        <f>E71*$D$10</f>
        <v>126000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2168172.5940799997</v>
      </c>
      <c r="E73" s="52">
        <f>E71+E69+E67+E54+E59+E45+E43+E41+E33+E26</f>
        <v>11623.008865396827</v>
      </c>
      <c r="G73" s="147"/>
      <c r="H73">
        <f>('Operating Budget'!D73-'Operating Budget'!D69-'Operating Budget'!D57)*-1</f>
        <v>-2092572.5940799997</v>
      </c>
      <c r="Y73" s="1309">
        <f>Y70-6000</f>
        <v>-3904.2651974503524</v>
      </c>
    </row>
    <row r="75" spans="1:25">
      <c r="A75" s="44" t="s">
        <v>259</v>
      </c>
      <c r="B75" s="45"/>
      <c r="C75" s="45"/>
      <c r="D75" s="52">
        <f>D19-D73</f>
        <v>1175265.0059200004</v>
      </c>
      <c r="E75" s="52">
        <f>D75/D10</f>
        <v>4663.7500234920653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212112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88641661.874999985</v>
      </c>
      <c r="C7" s="465">
        <f>'Dev Summary_5-20'!B8</f>
        <v>3190331</v>
      </c>
      <c r="D7" s="465">
        <f t="shared" ref="D7:D14" si="0">B7-C7</f>
        <v>85451330.874999985</v>
      </c>
      <c r="E7" s="477">
        <f t="shared" ref="E7:E15" si="1">D7/B7</f>
        <v>0.96400867343282759</v>
      </c>
      <c r="F7" s="477"/>
      <c r="G7" s="472" t="e">
        <f t="shared" ref="G7:G14" si="2">B7/$B$15</f>
        <v>#REF!</v>
      </c>
      <c r="I7" s="147">
        <f>B7/$H$4</f>
        <v>805833.28977272718</v>
      </c>
      <c r="J7" s="53">
        <f>B7/$H$5</f>
        <v>417.9002690795428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352362.54028416233</v>
      </c>
      <c r="C9" s="446">
        <f>'Dev Summary_5-20'!B10</f>
        <v>50000</v>
      </c>
      <c r="D9" s="446">
        <f t="shared" si="0"/>
        <v>302362.54028416233</v>
      </c>
      <c r="E9" s="477">
        <f t="shared" si="1"/>
        <v>0.85810069379203147</v>
      </c>
      <c r="F9" s="477"/>
      <c r="G9" s="473" t="e">
        <f t="shared" si="2"/>
        <v>#REF!</v>
      </c>
      <c r="I9" s="53">
        <f t="shared" si="3"/>
        <v>3203.2958207651122</v>
      </c>
      <c r="J9" s="53">
        <f t="shared" si="4"/>
        <v>1.6612098338809795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0.15086369465188201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491153.48100000003</v>
      </c>
      <c r="C12" s="446">
        <f>'Dev Summary_5-20'!B13</f>
        <v>2500000</v>
      </c>
      <c r="D12" s="446">
        <f t="shared" si="0"/>
        <v>-2008846.5189999999</v>
      </c>
      <c r="E12" s="477">
        <f t="shared" si="1"/>
        <v>-4.0900586002362056</v>
      </c>
      <c r="F12" s="477"/>
      <c r="G12" s="473" t="e">
        <f t="shared" si="2"/>
        <v>#REF!</v>
      </c>
      <c r="I12" s="53">
        <f t="shared" si="3"/>
        <v>4465.0316454545455</v>
      </c>
      <c r="J12" s="53">
        <f t="shared" si="4"/>
        <v>2.3155383995247796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3975786</v>
      </c>
      <c r="C14" s="467">
        <f>'Dev Summary_5-20'!B14</f>
        <v>282276.62941911275</v>
      </c>
      <c r="D14" s="467">
        <f t="shared" si="0"/>
        <v>3693509.3705808874</v>
      </c>
      <c r="E14" s="478">
        <f t="shared" si="1"/>
        <v>0.92900105050445059</v>
      </c>
      <c r="F14" s="478"/>
      <c r="G14" s="474" t="e">
        <f t="shared" si="2"/>
        <v>#REF!</v>
      </c>
      <c r="I14" s="53">
        <f t="shared" si="3"/>
        <v>36143.509090909094</v>
      </c>
      <c r="J14" s="53">
        <f t="shared" si="4"/>
        <v>18.743805159538358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27041648.656078488</v>
      </c>
      <c r="C21" s="48">
        <v>18731659</v>
      </c>
      <c r="D21" s="48">
        <f>B21-C21</f>
        <v>8309989.6560784876</v>
      </c>
      <c r="E21" s="55">
        <f>D21/B21</f>
        <v>0.30730336606938158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8928489.7565074172</v>
      </c>
      <c r="C26" s="48">
        <v>12677529</v>
      </c>
      <c r="D26" s="48">
        <f t="shared" si="5"/>
        <v>-3749039.2434925828</v>
      </c>
      <c r="E26" s="55">
        <f t="shared" si="6"/>
        <v>-0.41989623617590455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97505828.062499985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88255.245256249997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79429.720730625006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706543.22743229161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97505828.062499985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22426.340454375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896654.53387354163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78004662.449999988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107062.23818749998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78004662.449999988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114149.73818749998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1061899.9424999999</v>
      </c>
      <c r="E10" s="748">
        <f>'PreDev Flow of Funds'!Y10+'PreDev Flow of Funds'!Y12</f>
        <v>1395966</v>
      </c>
      <c r="F10" s="748">
        <f>(D10-E10)/18</f>
        <v>-18559.225416666672</v>
      </c>
      <c r="G10" s="748">
        <f>$F$10</f>
        <v>-18559.225416666672</v>
      </c>
      <c r="H10" s="748">
        <f t="shared" ref="H10:W10" si="2">$F$10</f>
        <v>-18559.225416666672</v>
      </c>
      <c r="I10" s="748">
        <f t="shared" si="2"/>
        <v>-18559.225416666672</v>
      </c>
      <c r="J10" s="748">
        <f t="shared" si="2"/>
        <v>-18559.225416666672</v>
      </c>
      <c r="K10" s="748">
        <f t="shared" si="2"/>
        <v>-18559.225416666672</v>
      </c>
      <c r="L10" s="748">
        <f t="shared" si="2"/>
        <v>-18559.225416666672</v>
      </c>
      <c r="M10" s="748">
        <f t="shared" si="2"/>
        <v>-18559.225416666672</v>
      </c>
      <c r="N10" s="748">
        <f t="shared" si="2"/>
        <v>-18559.225416666672</v>
      </c>
      <c r="O10" s="748">
        <f t="shared" si="2"/>
        <v>-18559.225416666672</v>
      </c>
      <c r="P10" s="748">
        <f t="shared" si="2"/>
        <v>-18559.225416666672</v>
      </c>
      <c r="Q10" s="748">
        <f t="shared" si="2"/>
        <v>-18559.225416666672</v>
      </c>
      <c r="R10" s="748">
        <f t="shared" si="2"/>
        <v>-18559.225416666672</v>
      </c>
      <c r="S10" s="748">
        <f t="shared" si="2"/>
        <v>-18559.225416666672</v>
      </c>
      <c r="T10" s="748">
        <f t="shared" si="2"/>
        <v>-18559.225416666672</v>
      </c>
      <c r="U10" s="748">
        <f t="shared" si="2"/>
        <v>-18559.225416666672</v>
      </c>
      <c r="V10" s="748">
        <f t="shared" si="2"/>
        <v>-18559.225416666672</v>
      </c>
      <c r="W10" s="748">
        <f t="shared" si="2"/>
        <v>-18559.225416666672</v>
      </c>
      <c r="X10" s="748"/>
      <c r="Y10" s="748">
        <f>SUM(E10:W10)</f>
        <v>1061899.9425000013</v>
      </c>
    </row>
    <row r="11" spans="1:25" ht="15">
      <c r="A11" s="402"/>
      <c r="B11" s="403" t="s">
        <v>387</v>
      </c>
      <c r="C11" s="748"/>
      <c r="D11" s="748">
        <f>'Development Budget'!G41</f>
        <v>1061899.9424999999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88641661.874999985</v>
      </c>
      <c r="E13" s="748">
        <f>'PreDev Flow of Funds'!Y14</f>
        <v>69798.3</v>
      </c>
      <c r="F13" s="748">
        <f>(D13-E13)/18</f>
        <v>4920659.0874999994</v>
      </c>
      <c r="G13" s="748">
        <f>$F$13</f>
        <v>4920659.0874999994</v>
      </c>
      <c r="H13" s="748">
        <f t="shared" ref="H13:W13" si="5">$F$13</f>
        <v>4920659.0874999994</v>
      </c>
      <c r="I13" s="748">
        <f t="shared" si="5"/>
        <v>4920659.0874999994</v>
      </c>
      <c r="J13" s="748">
        <f t="shared" si="5"/>
        <v>4920659.0874999994</v>
      </c>
      <c r="K13" s="748">
        <f t="shared" si="5"/>
        <v>4920659.0874999994</v>
      </c>
      <c r="L13" s="748">
        <f t="shared" si="5"/>
        <v>4920659.0874999994</v>
      </c>
      <c r="M13" s="748">
        <f t="shared" si="5"/>
        <v>4920659.0874999994</v>
      </c>
      <c r="N13" s="748">
        <f t="shared" si="5"/>
        <v>4920659.0874999994</v>
      </c>
      <c r="O13" s="748">
        <f t="shared" si="5"/>
        <v>4920659.0874999994</v>
      </c>
      <c r="P13" s="748">
        <f t="shared" si="5"/>
        <v>4920659.0874999994</v>
      </c>
      <c r="Q13" s="748">
        <f t="shared" si="5"/>
        <v>4920659.0874999994</v>
      </c>
      <c r="R13" s="748">
        <f t="shared" si="5"/>
        <v>4920659.0874999994</v>
      </c>
      <c r="S13" s="748">
        <f t="shared" si="5"/>
        <v>4920659.0874999994</v>
      </c>
      <c r="T13" s="748">
        <f t="shared" si="5"/>
        <v>4920659.0874999994</v>
      </c>
      <c r="U13" s="748">
        <f t="shared" si="5"/>
        <v>4920659.0874999994</v>
      </c>
      <c r="V13" s="748">
        <f t="shared" si="5"/>
        <v>4920659.0874999994</v>
      </c>
      <c r="W13" s="748">
        <f t="shared" si="5"/>
        <v>4920659.0874999994</v>
      </c>
      <c r="X13" s="748"/>
      <c r="Y13" s="748">
        <f t="shared" si="3"/>
        <v>88641661.875000015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88641661.874999985</v>
      </c>
      <c r="E15" s="748">
        <f>'PreDev Flow of Funds'!Y16+'PreDev Flow of Funds'!Y17+'PreDev Flow of Funds'!Y19</f>
        <v>72500</v>
      </c>
      <c r="F15" s="748">
        <f>(D15-E15)/18</f>
        <v>4920508.993055555</v>
      </c>
      <c r="G15" s="748">
        <f>$F$15</f>
        <v>4920508.993055555</v>
      </c>
      <c r="H15" s="748">
        <f t="shared" ref="H15:W15" si="7">$F$15</f>
        <v>4920508.993055555</v>
      </c>
      <c r="I15" s="748">
        <f t="shared" si="7"/>
        <v>4920508.993055555</v>
      </c>
      <c r="J15" s="748">
        <f t="shared" si="7"/>
        <v>4920508.993055555</v>
      </c>
      <c r="K15" s="748">
        <f t="shared" si="7"/>
        <v>4920508.993055555</v>
      </c>
      <c r="L15" s="748">
        <f t="shared" si="7"/>
        <v>4920508.993055555</v>
      </c>
      <c r="M15" s="748">
        <f t="shared" si="7"/>
        <v>4920508.993055555</v>
      </c>
      <c r="N15" s="748">
        <f t="shared" si="7"/>
        <v>4920508.993055555</v>
      </c>
      <c r="O15" s="748">
        <f t="shared" si="7"/>
        <v>4920508.993055555</v>
      </c>
      <c r="P15" s="748">
        <f t="shared" si="7"/>
        <v>4920508.993055555</v>
      </c>
      <c r="Q15" s="748">
        <f t="shared" si="7"/>
        <v>4920508.993055555</v>
      </c>
      <c r="R15" s="748">
        <f t="shared" si="7"/>
        <v>4920508.993055555</v>
      </c>
      <c r="S15" s="748">
        <f t="shared" si="7"/>
        <v>4920508.993055555</v>
      </c>
      <c r="T15" s="748">
        <f t="shared" si="7"/>
        <v>4920508.993055555</v>
      </c>
      <c r="U15" s="748">
        <f t="shared" si="7"/>
        <v>4920508.993055555</v>
      </c>
      <c r="V15" s="748">
        <f t="shared" si="7"/>
        <v>4920508.993055555</v>
      </c>
      <c r="W15" s="748">
        <f t="shared" si="7"/>
        <v>4920508.993055555</v>
      </c>
      <c r="X15" s="748"/>
      <c r="Y15" s="748">
        <f t="shared" si="3"/>
        <v>88641661.87499997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16555000</v>
      </c>
      <c r="E26" s="748">
        <v>0</v>
      </c>
      <c r="F26" s="748">
        <f>D26/2</f>
        <v>8277500</v>
      </c>
      <c r="G26" s="748">
        <f>F26</f>
        <v>8277500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16555000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70793329.5</v>
      </c>
      <c r="E33" s="748">
        <v>0</v>
      </c>
      <c r="F33" s="748">
        <f>D33</f>
        <v>70793329.5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70793329.5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221604.15468749998</v>
      </c>
      <c r="E43" s="748">
        <f>D43</f>
        <v>221604.15468749998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221604.15468749998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412604.15468749998</v>
      </c>
      <c r="E52" s="748">
        <f>D52</f>
        <v>412604.15468749998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412604.15468749998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3975786</v>
      </c>
      <c r="E58" s="748">
        <f>'PreDev Flow of Funds'!Y46</f>
        <v>96238.814999999988</v>
      </c>
      <c r="F58" s="748">
        <f>(D58-E58)/18</f>
        <v>215530.39916666667</v>
      </c>
      <c r="G58" s="748">
        <f>$F$58</f>
        <v>215530.39916666667</v>
      </c>
      <c r="H58" s="748">
        <f t="shared" ref="H58:W58" si="18">$F$58</f>
        <v>215530.39916666667</v>
      </c>
      <c r="I58" s="748">
        <f t="shared" si="18"/>
        <v>215530.39916666667</v>
      </c>
      <c r="J58" s="748">
        <f t="shared" si="18"/>
        <v>215530.39916666667</v>
      </c>
      <c r="K58" s="748">
        <f t="shared" si="18"/>
        <v>215530.39916666667</v>
      </c>
      <c r="L58" s="748">
        <f t="shared" si="18"/>
        <v>215530.39916666667</v>
      </c>
      <c r="M58" s="748">
        <f t="shared" si="18"/>
        <v>215530.39916666667</v>
      </c>
      <c r="N58" s="748">
        <f t="shared" si="18"/>
        <v>215530.39916666667</v>
      </c>
      <c r="O58" s="748">
        <f t="shared" si="18"/>
        <v>215530.39916666667</v>
      </c>
      <c r="P58" s="748">
        <f t="shared" si="18"/>
        <v>215530.39916666667</v>
      </c>
      <c r="Q58" s="748">
        <f t="shared" si="18"/>
        <v>215530.39916666667</v>
      </c>
      <c r="R58" s="748">
        <f t="shared" si="18"/>
        <v>215530.39916666667</v>
      </c>
      <c r="S58" s="748">
        <f t="shared" si="18"/>
        <v>215530.39916666667</v>
      </c>
      <c r="T58" s="748">
        <f t="shared" si="18"/>
        <v>215530.39916666667</v>
      </c>
      <c r="U58" s="748">
        <f t="shared" si="18"/>
        <v>215530.39916666667</v>
      </c>
      <c r="V58" s="748">
        <f t="shared" si="18"/>
        <v>215530.39916666667</v>
      </c>
      <c r="W58" s="748">
        <f t="shared" si="18"/>
        <v>215530.39916666667</v>
      </c>
      <c r="X58" s="748"/>
      <c r="Y58" s="748">
        <f t="shared" si="3"/>
        <v>3975786.0000000019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352362.54028416233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15479361.384374997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86564913.699461266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-8687598.589491494</v>
      </c>
      <c r="E87" s="749">
        <f>E80-E84-E85-E86-E88-E89-E90-E91</f>
        <v>638208.30937499553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15479361.384374997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-967710.44437499985</v>
      </c>
      <c r="K103" s="162">
        <f>J103+(C116*0.25)/2</f>
        <v>-1935420.8887499997</v>
      </c>
      <c r="L103" s="162">
        <f>K103+((C116-K103)/4)</f>
        <v>-3386986.5553124994</v>
      </c>
      <c r="M103" s="162">
        <f>L103+((C116-K103)/4)</f>
        <v>-4838552.2218749989</v>
      </c>
      <c r="N103" s="162">
        <f>M103+((C116-K103)/4)</f>
        <v>-6290117.8884374984</v>
      </c>
      <c r="O103" s="162">
        <f>N103+((C116-K103)/4)</f>
        <v>-7741683.5549999978</v>
      </c>
      <c r="P103" s="162">
        <f>O103</f>
        <v>-7741683.5549999978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9486304.5633333344</v>
      </c>
      <c r="K104" s="371">
        <f>((C117-1033493)/6)+J104</f>
        <v>18972609.126666669</v>
      </c>
      <c r="L104" s="371">
        <f>((C117-1033493)/6)+K104</f>
        <v>28458913.690000005</v>
      </c>
      <c r="M104" s="371">
        <f>((C117-1033493)/6)+L104</f>
        <v>37945218.253333338</v>
      </c>
      <c r="N104" s="371">
        <f>((C117-1033493)/6)+M104</f>
        <v>47431522.81666667</v>
      </c>
      <c r="O104" s="371">
        <f>((C117-1033493)/6)+N104</f>
        <v>56917827.380000003</v>
      </c>
      <c r="P104" s="371">
        <f>(286645+100000+646848)+O104</f>
        <v>57951320.380000003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8518594.1189583354</v>
      </c>
      <c r="K110" s="371">
        <f t="shared" ref="K110:P110" si="9">SUM(K103:K104)</f>
        <v>17037188.237916671</v>
      </c>
      <c r="L110" s="371">
        <f t="shared" si="9"/>
        <v>25071927.134687506</v>
      </c>
      <c r="M110" s="371">
        <f t="shared" si="9"/>
        <v>33106666.031458341</v>
      </c>
      <c r="N110" s="371">
        <f t="shared" si="9"/>
        <v>41141404.928229168</v>
      </c>
      <c r="O110" s="371">
        <f t="shared" si="9"/>
        <v>49176143.825000003</v>
      </c>
      <c r="P110" s="371">
        <f t="shared" si="9"/>
        <v>50209636.825000003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-7741683.5549999988</v>
      </c>
      <c r="D116" s="1769"/>
    </row>
    <row r="117" spans="2:19" ht="16.5" thickBot="1">
      <c r="B117" s="398" t="s">
        <v>601</v>
      </c>
      <c r="C117" s="1772">
        <f>C118-C114-C116-C115</f>
        <v>57951320.380000003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customXml/itemProps2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