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Low Cost Financing\"/>
    </mc:Choice>
  </mc:AlternateContent>
  <xr:revisionPtr revIDLastSave="0" documentId="13_ncr:1_{E903C540-5CA6-4604-9916-1C141F1E2D2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<sst xmlns="http://schemas.openxmlformats.org/spreadsheetml/2006/main" count="1995" uniqueCount="1106">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</sst>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80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3" workbookViewId="0">
      <selection activeCell="D28" sqref="D28:E2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91356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91356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8.9976442882513941E-2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8.9976442882513968E-2</v>
      </c>
      <c r="E16" s="700"/>
    </row>
    <row r="17" spans="1:6">
      <c r="A17" s="1686"/>
      <c r="B17" s="702"/>
      <c r="D17" s="1682"/>
      <c r="E17" s="1754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-2009.9953805785626</v>
      </c>
      <c r="E18" s="1755">
        <f ca="1">-D18/D28</f>
        <v>3.5407937325643624E-5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6740000</v>
      </c>
      <c r="E21" s="1531">
        <f>D21/$D$10</f>
        <v>66732.67326732674</v>
      </c>
    </row>
    <row r="22" spans="1:6">
      <c r="A22" s="64"/>
      <c r="B22" s="4" t="s">
        <v>16</v>
      </c>
      <c r="C22" s="4"/>
      <c r="D22" s="1531">
        <f>'Development Budget'!G44</f>
        <v>34408500</v>
      </c>
      <c r="E22" s="1531">
        <f t="shared" ref="E22:E28" si="0">D22/$D$10</f>
        <v>340678.21782178216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1437720</v>
      </c>
      <c r="E23" s="1531">
        <f t="shared" si="0"/>
        <v>14234.851485148514</v>
      </c>
    </row>
    <row r="24" spans="1:6">
      <c r="A24" s="64"/>
      <c r="B24" s="4" t="s">
        <v>18</v>
      </c>
      <c r="C24" s="4"/>
      <c r="D24" s="1531">
        <f>'Development Budget'!G97</f>
        <v>1903349</v>
      </c>
      <c r="E24" s="1531">
        <f t="shared" si="0"/>
        <v>18845.039603960395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2890225.5013387711</v>
      </c>
      <c r="E25" s="1531">
        <f t="shared" si="0"/>
        <v>28616.094072661101</v>
      </c>
    </row>
    <row r="26" spans="1:6">
      <c r="A26" s="64"/>
      <c r="B26" s="4" t="s">
        <v>20</v>
      </c>
      <c r="C26" s="4"/>
      <c r="D26" s="1531">
        <f>'Development Budget'!G181</f>
        <v>2441293.9981288454</v>
      </c>
      <c r="E26" s="1531">
        <f t="shared" si="0"/>
        <v>24171.227704245994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6945713.872916162</v>
      </c>
      <c r="E27" s="1532">
        <f t="shared" si="0"/>
        <v>68769.444286298633</v>
      </c>
    </row>
    <row r="28" spans="1:6" ht="16.5" thickTop="1">
      <c r="A28" s="4"/>
      <c r="B28" s="4"/>
      <c r="C28" s="150" t="s">
        <v>14</v>
      </c>
      <c r="D28" s="1533">
        <f>SUM(D21:D27)</f>
        <v>56766802.372383781</v>
      </c>
      <c r="E28" s="1531">
        <f t="shared" si="0"/>
        <v>562047.54824142356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36898421.54204946</v>
      </c>
      <c r="E32" s="1586">
        <f t="shared" si="1"/>
        <v>365330.90635692532</v>
      </c>
    </row>
    <row r="33" spans="1:5">
      <c r="A33" s="64"/>
      <c r="B33" s="4" t="s">
        <v>1052</v>
      </c>
      <c r="C33" s="4"/>
      <c r="D33" s="1587">
        <f>GapCalc!D29</f>
        <v>2980257.1245501488</v>
      </c>
      <c r="E33" s="1586">
        <f>D33/$D$10</f>
        <v>29507.49628267474</v>
      </c>
    </row>
    <row r="34" spans="1:5">
      <c r="A34" s="65"/>
      <c r="B34" s="4" t="s">
        <v>26</v>
      </c>
      <c r="C34" s="4"/>
      <c r="D34" s="1587">
        <f>GapCalc!D30</f>
        <v>16888123.705784176</v>
      </c>
      <c r="E34" s="1586">
        <f>D34/$D$10</f>
        <v>167209.14560182352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56766802.372383788</v>
      </c>
      <c r="E36" s="1586">
        <f>D36/$D$10</f>
        <v>562047.54824142368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42519075.487824485</v>
      </c>
      <c r="E40" s="1586">
        <f t="shared" ref="E40" si="2">D40/$D$10</f>
        <v>420980.94542400481</v>
      </c>
    </row>
    <row r="41" spans="1:5">
      <c r="A41" s="60"/>
      <c r="B41" s="4" t="s">
        <v>1052</v>
      </c>
      <c r="C41" s="4"/>
      <c r="D41" s="1591">
        <f>GapCalc!D29+GapCalc!D38</f>
        <v>2980257.1245501488</v>
      </c>
      <c r="E41" s="1586">
        <f>D41/$D$10</f>
        <v>29507.49628267474</v>
      </c>
    </row>
    <row r="42" spans="1:5">
      <c r="A42" s="60"/>
      <c r="B42" s="1557" t="s">
        <v>26</v>
      </c>
      <c r="C42" s="4"/>
      <c r="D42" s="1592">
        <f>GapCalc!D30+GapCalc!D39</f>
        <v>16888123.705784176</v>
      </c>
      <c r="E42" s="1586">
        <f>D42/$D$10</f>
        <v>167209.14560182352</v>
      </c>
    </row>
    <row r="43" spans="1:5">
      <c r="A43" s="60"/>
      <c r="B43" s="1714" t="s">
        <v>1103</v>
      </c>
      <c r="C43" s="4"/>
      <c r="D43" s="1592">
        <f>IF(D32-D40&gt;0,0,D32-D40)</f>
        <v>-5620653.9457750246</v>
      </c>
      <c r="E43" s="1586">
        <f>D43/$D$10</f>
        <v>-55650.039067079451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56766802.372383781</v>
      </c>
      <c r="E45" s="1588">
        <f>D45/$D$10</f>
        <v>562047.54824142356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9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91356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91356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6740000</v>
      </c>
      <c r="E17" s="1531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34408500</v>
      </c>
      <c r="E18" s="1531">
        <f t="shared" ref="E18:E24" si="0">D18/$D$11</f>
        <v>340678.21782178216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1437720</v>
      </c>
      <c r="E19" s="1531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1903349</v>
      </c>
      <c r="E20" s="1531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2890225.5013387711</v>
      </c>
      <c r="E21" s="1531">
        <f t="shared" si="0"/>
        <v>28616.094072661101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2441293.9981288454</v>
      </c>
      <c r="E22" s="1531">
        <f t="shared" si="0"/>
        <v>24171.227704245994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6945713.872916162</v>
      </c>
      <c r="E23" s="1532">
        <f t="shared" si="0"/>
        <v>68769.444286298633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56766802.372383781</v>
      </c>
      <c r="E24" s="1531">
        <f t="shared" si="0"/>
        <v>562047.54824142356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36898421.54204946</v>
      </c>
      <c r="E28" s="1586">
        <f t="shared" si="1"/>
        <v>365330.90635692532</v>
      </c>
      <c r="F28" s="62"/>
      <c r="G28" s="1419" t="s">
        <v>609</v>
      </c>
      <c r="H28" s="1608">
        <f>H32/D11</f>
        <v>29507.49628267474</v>
      </c>
      <c r="I28" s="703"/>
    </row>
    <row r="29" spans="1:10" ht="15.75">
      <c r="A29" s="64"/>
      <c r="B29" s="4" t="s">
        <v>1052</v>
      </c>
      <c r="C29" s="4"/>
      <c r="D29" s="1587">
        <v>2980257.1245501488</v>
      </c>
      <c r="E29" s="1586">
        <f>D29/$D$11</f>
        <v>29507.49628267474</v>
      </c>
      <c r="F29" s="520"/>
      <c r="G29" s="1420" t="s">
        <v>972</v>
      </c>
      <c r="H29" s="1609">
        <f>H33/D11</f>
        <v>167209.14560182352</v>
      </c>
      <c r="I29" s="703"/>
    </row>
    <row r="30" spans="1:10" ht="16.5" thickBot="1">
      <c r="A30" s="65"/>
      <c r="B30" s="4" t="s">
        <v>26</v>
      </c>
      <c r="C30" s="4"/>
      <c r="D30" s="1587">
        <v>16888123.705784176</v>
      </c>
      <c r="E30" s="1586">
        <f>D30/$D$11</f>
        <v>167209.14560182352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2980257.1245501488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56766802.372383788</v>
      </c>
      <c r="E33" s="1586">
        <f>D33/$D$11</f>
        <v>562047.54824142368</v>
      </c>
      <c r="F33" s="62"/>
      <c r="G33" s="1441" t="s">
        <v>972</v>
      </c>
      <c r="H33" s="1611">
        <f>D30+D39</f>
        <v>16888123.705784176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19868380.830334324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0.35000000000000003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42519075.487824485</v>
      </c>
      <c r="E37" s="1586">
        <f t="shared" ref="E37" si="2">D37/$D$11</f>
        <v>420980.94542400481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2980257.1245501488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16888123.705784176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5620653.9457750246</v>
      </c>
      <c r="E41" s="1588">
        <f>D41/$D$11</f>
        <v>55650.039067079451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42519075.487824485</v>
      </c>
      <c r="E42" s="1586">
        <f>D42/$D$11</f>
        <v>420980.94542400481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-843098.09186625364</v>
      </c>
      <c r="I43" s="1596">
        <f>D38+H43</f>
        <v>-843098.09186625364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-4777555.8539087707</v>
      </c>
      <c r="I44" s="1596">
        <f>D39+H44</f>
        <v>-4777555.8539087707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16886415.209710684</v>
      </c>
      <c r="J46" s="1582" t="s">
        <v>1084</v>
      </c>
      <c r="K46" s="1583">
        <f>'Cash Flow'!C76</f>
        <v>8.9976442882513941E-2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6310674.3983513657</v>
      </c>
      <c r="J47" s="1584" t="s">
        <v>1099</v>
      </c>
      <c r="K47" s="1607">
        <f>'Cash Flow'!C70</f>
        <v>27524856.791828413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-1708.4960734918714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2979955.6252430622</v>
      </c>
      <c r="J51" s="1585" t="s">
        <v>1084</v>
      </c>
      <c r="K51" s="1618">
        <f>'Cash Flow'!H76</f>
        <v>8.9976442882513968E-2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2980257.1245501488</v>
      </c>
      <c r="J52" s="1584" t="s">
        <v>1098</v>
      </c>
      <c r="K52" s="1607">
        <f>'Cash Flow'!H70</f>
        <v>4857327.6691461913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-301.49930708669126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-2009.9953805785626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22282295.234476507</v>
      </c>
      <c r="J58" s="1582" t="s">
        <v>1084</v>
      </c>
      <c r="K58" s="1583">
        <f>'Cash Flow'!C103</f>
        <v>0.11506321166842867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36320141.232196704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5394171.5286923312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3264687.3277385919</v>
      </c>
      <c r="J63" s="1585" t="s">
        <v>1084</v>
      </c>
      <c r="K63" s="1618">
        <f>'Cash Flow'!H103</f>
        <v>7.8556417175485921E-2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2980257.1245501488</v>
      </c>
      <c r="J64" s="1584" t="s">
        <v>1098</v>
      </c>
      <c r="K64" s="1607">
        <f>'Cash Flow'!H97</f>
        <v>5321440.3442139048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284430.20318844309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5678601.7318807747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75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12" zoomScale="130" zoomScaleNormal="130" workbookViewId="0">
      <selection activeCell="O23" sqref="O23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0.44554455445544555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0.54455445544554459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31</v>
      </c>
      <c r="E9" s="278">
        <f>IF(D9="","",D9/D$15)</f>
        <v>0.30693069306930693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45</v>
      </c>
      <c r="O9" s="332">
        <f t="shared" si="0"/>
        <v>0.44554455445544555</v>
      </c>
    </row>
    <row r="10" spans="2:19" ht="12.75" customHeight="1">
      <c r="B10" s="268"/>
      <c r="C10" s="209" t="s">
        <v>53</v>
      </c>
      <c r="D10" s="210">
        <f>SUM(E24,E33,E42,E51,E60,E78,E69,E87,E96,E116,E106)</f>
        <v>19</v>
      </c>
      <c r="E10" s="278">
        <f>IF(D10="","",D10/D$15)</f>
        <v>0.18811881188118812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51</v>
      </c>
      <c r="E11" s="278">
        <f>IF(D11="","",D11/D$15)</f>
        <v>0.50495049504950495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55</v>
      </c>
      <c r="O13" s="332">
        <f>N13/$N$18</f>
        <v>0.54455445544554459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76130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316199</v>
      </c>
      <c r="F18" s="285"/>
      <c r="H18" s="286"/>
      <c r="I18" s="287"/>
      <c r="K18" s="226"/>
      <c r="M18" s="328" t="s">
        <v>10</v>
      </c>
      <c r="N18" s="1423">
        <f>N17+N16</f>
        <v>101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0.44554455445544555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23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9200</v>
      </c>
      <c r="K41" s="292">
        <f>E41*I41</f>
        <v>44643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11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7370</v>
      </c>
      <c r="K42" s="292">
        <f>E42*I42</f>
        <v>22880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11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11000</v>
      </c>
      <c r="K43" s="292">
        <f>E43*I43</f>
        <v>27456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45</v>
      </c>
      <c r="F46" s="203"/>
      <c r="G46" s="203"/>
      <c r="H46" s="246"/>
      <c r="I46" s="247"/>
      <c r="J46" s="296">
        <f>SUM(J41:J45)</f>
        <v>27570</v>
      </c>
      <c r="K46" s="297">
        <f>SUM(K41:K45)</f>
        <v>94979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8</v>
      </c>
      <c r="F50" s="223"/>
      <c r="G50" s="308">
        <f>H9*$C$47</f>
        <v>2911.2</v>
      </c>
      <c r="H50" s="308">
        <f>$K$9</f>
        <v>0</v>
      </c>
      <c r="I50" s="1779">
        <v>2400</v>
      </c>
      <c r="J50" s="284">
        <f>D50*E50</f>
        <v>3200</v>
      </c>
      <c r="K50" s="292">
        <f>E50*I50</f>
        <v>19200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8</v>
      </c>
      <c r="F51" s="223"/>
      <c r="G51" s="308">
        <f>H10*$C$47</f>
        <v>3120</v>
      </c>
      <c r="H51" s="308">
        <f>$K$10</f>
        <v>0</v>
      </c>
      <c r="I51" s="1779">
        <f>ROUND(G51-H51,0)</f>
        <v>3120</v>
      </c>
      <c r="J51" s="284">
        <f>D51*E51</f>
        <v>5360</v>
      </c>
      <c r="K51" s="292">
        <f>E51*I51</f>
        <v>24960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39</v>
      </c>
      <c r="F52" s="223"/>
      <c r="G52" s="308">
        <f>H11*$C$47</f>
        <v>3744</v>
      </c>
      <c r="H52" s="228">
        <f>$K$11</f>
        <v>0</v>
      </c>
      <c r="I52" s="1779">
        <v>4540</v>
      </c>
      <c r="J52" s="284">
        <f>D52*E52</f>
        <v>39000</v>
      </c>
      <c r="K52" s="292">
        <f>E52*I52</f>
        <v>177060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9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55</v>
      </c>
      <c r="F55" s="247"/>
      <c r="G55" s="247"/>
      <c r="H55" s="246"/>
      <c r="I55" s="247"/>
      <c r="J55" s="296">
        <f>SUM(J50:J54)</f>
        <v>47560</v>
      </c>
      <c r="K55" s="297">
        <f>SUM(K50:K54)</f>
        <v>221220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20" zoomScaleNormal="100" workbookViewId="0">
      <selection activeCell="O106" sqref="O106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5620653.9457750246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6" t="s">
        <v>85</v>
      </c>
      <c r="G14" s="1757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6565000</v>
      </c>
      <c r="F18" s="845"/>
      <c r="G18" s="1392">
        <f>E18</f>
        <v>6565000</v>
      </c>
      <c r="H18" s="950"/>
      <c r="I18" s="950">
        <f>G18/$F$9</f>
        <v>65000</v>
      </c>
      <c r="J18" s="1015"/>
      <c r="K18" s="1016"/>
      <c r="L18" s="1016"/>
      <c r="M18" s="1431">
        <f>F9*N17</f>
        <v>6565000</v>
      </c>
      <c r="N18" s="1674">
        <v>6565000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6565000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247.52475247524754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1485.1485148514851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6740000</v>
      </c>
      <c r="H28" s="1333"/>
      <c r="I28" s="1325">
        <f t="shared" si="0"/>
        <v>66732.67326732674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6740000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27406800</v>
      </c>
      <c r="H32" s="1039"/>
      <c r="I32" s="950">
        <f t="shared" si="0"/>
        <v>271354.45544554456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30147480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27406800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2740680</v>
      </c>
      <c r="G36" s="854">
        <f>F36</f>
        <v>2740680</v>
      </c>
      <c r="H36" s="950"/>
      <c r="I36" s="950">
        <f t="shared" si="0"/>
        <v>27135.445544554455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1918476.0000000002</v>
      </c>
      <c r="H37" s="1072"/>
      <c r="I37" s="950">
        <f t="shared" si="0"/>
        <v>18994.811881188121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1918476.0000000002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1370340</v>
      </c>
      <c r="H38" s="1072"/>
      <c r="I38" s="950">
        <f t="shared" si="0"/>
        <v>13567.722772277228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1370340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411102</v>
      </c>
      <c r="H40" s="1072"/>
      <c r="I40" s="950">
        <f t="shared" si="0"/>
        <v>4070.3168316831684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411102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411102</v>
      </c>
      <c r="H41" s="1072"/>
      <c r="I41" s="950">
        <f t="shared" si="0"/>
        <v>4070.3168316831684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411102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34408500</v>
      </c>
      <c r="H44" s="1324"/>
      <c r="I44" s="1325">
        <f t="shared" si="0"/>
        <v>340678.21782178216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34408500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34408500</v>
      </c>
      <c r="H46" s="1333"/>
      <c r="I46" s="1325">
        <f t="shared" si="0"/>
        <v>340678.21782178216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34408500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3440850</v>
      </c>
      <c r="H47" s="1039"/>
      <c r="I47" s="950">
        <f t="shared" si="0"/>
        <v>34067.821782178216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3440850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33835</v>
      </c>
      <c r="G49" s="1092">
        <f>F49</f>
        <v>33835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37168</v>
      </c>
      <c r="G50" s="1092">
        <f>F50</f>
        <v>37168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12.128712871287128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72228</v>
      </c>
      <c r="H52" s="1101"/>
      <c r="I52" s="950">
        <f t="shared" si="0"/>
        <v>715.12871287128712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72228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1331800</v>
      </c>
      <c r="H54" s="1039"/>
      <c r="I54" s="950">
        <f t="shared" si="0"/>
        <v>13186.138613861385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1331800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1168000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1168000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75920</v>
      </c>
      <c r="H57" s="1117"/>
      <c r="I57" s="950">
        <f t="shared" si="0"/>
        <v>751.68316831683171</v>
      </c>
      <c r="J57" s="1015"/>
      <c r="K57" s="1118"/>
      <c r="L57" s="1119"/>
      <c r="M57" s="1120">
        <f>(5000*F9)*1.6</f>
        <v>808000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75920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297.02970297029702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1160698.75</v>
      </c>
      <c r="H59" s="1128"/>
      <c r="I59" s="950">
        <f t="shared" si="0"/>
        <v>11492.066831683169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1437720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86021.25</v>
      </c>
      <c r="H67" s="1039"/>
      <c r="I67" s="950">
        <f t="shared" si="0"/>
        <v>851.69554455445541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86021.25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69.306930693069305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940.59405940594058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247.52475247524754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297.02970297029702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336.63366336633663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277021.25</v>
      </c>
      <c r="H80" s="1101"/>
      <c r="I80" s="950">
        <f t="shared" si="0"/>
        <v>2742.7846534653463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277021.25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1803349</v>
      </c>
      <c r="H90" s="1111"/>
      <c r="I90" s="950">
        <f t="shared" si="3"/>
        <v>17854.940594059404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1803349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990.09900990099015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1190487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1190487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262600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1903349</v>
      </c>
      <c r="H97" s="1101"/>
      <c r="I97" s="950">
        <f t="shared" si="3"/>
        <v>18845.039603960395</v>
      </c>
      <c r="J97" s="1102"/>
      <c r="K97" s="1166">
        <f>I97/I250</f>
        <v>3.3529262182397497E-2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1903349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187321.16073915965</v>
      </c>
      <c r="H102" s="1111"/>
      <c r="I102" s="950">
        <f t="shared" si="3"/>
        <v>1854.6649578134618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187321.16073915965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172321.16073915965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3439054.6453947374</v>
      </c>
      <c r="N103" s="1172">
        <v>3446423.2147831926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187321.16073915965</v>
      </c>
      <c r="H114" s="1101"/>
      <c r="I114" s="950">
        <f t="shared" si="3"/>
        <v>1854.6649578134618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187321.16073915965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1600600.6709233173</v>
      </c>
      <c r="H116" s="1177"/>
      <c r="I116" s="950">
        <f t="shared" si="3"/>
        <v>15847.53139528037</v>
      </c>
      <c r="J116" s="1178"/>
      <c r="K116" s="1179" t="s">
        <v>823</v>
      </c>
      <c r="L116" s="1073"/>
      <c r="M116" s="1180">
        <f>0.5*Data!C20*Data!C17/12*Data!C19</f>
        <v>1475936.8616819785</v>
      </c>
      <c r="N116" s="1181">
        <v>1600600.6709233173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1600600.6709233173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400150.16773082933</v>
      </c>
      <c r="H117" s="1094"/>
      <c r="I117" s="950">
        <f t="shared" si="3"/>
        <v>3961.8828488200925</v>
      </c>
      <c r="J117" s="1015"/>
      <c r="K117" s="1184" t="s">
        <v>825</v>
      </c>
      <c r="L117" s="1185"/>
      <c r="M117" s="1186">
        <f>0.01*Data!C20</f>
        <v>368984.21542049461</v>
      </c>
      <c r="N117" s="1172">
        <v>400150.16773082933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400150.16773082933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196851.19675</v>
      </c>
      <c r="H120" s="1039"/>
      <c r="I120" s="950">
        <f t="shared" si="3"/>
        <v>1949.0217500000001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196851.19675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497200.94077500002</v>
      </c>
      <c r="H121" s="1117"/>
      <c r="I121" s="950">
        <f t="shared" si="3"/>
        <v>4922.7815918316837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497200.94077500002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497200.94077500002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70022.525159624405</v>
      </c>
      <c r="H125" s="1111"/>
      <c r="I125" s="950">
        <f t="shared" si="3"/>
        <v>693.29232831311288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70022.525159624405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60022.525159624405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55347.632313074195</v>
      </c>
      <c r="N126" s="1172">
        <v>60022.525159624405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152.47524752475246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2780225.5013387711</v>
      </c>
      <c r="H148" s="1128"/>
      <c r="I148" s="950">
        <f t="shared" si="6"/>
        <v>27526.985161770011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2780225.5013387711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488490.61373267719</v>
      </c>
      <c r="H151" s="1093"/>
      <c r="I151" s="950">
        <f t="shared" ref="I151:I158" si="7">G151/$F$9</f>
        <v>4836.5407300265069</v>
      </c>
      <c r="J151" s="1094"/>
      <c r="K151" s="1244" t="s">
        <v>863</v>
      </c>
      <c r="L151" s="1245"/>
      <c r="M151" s="1558">
        <f>Data!C31*Data!C30</f>
        <v>425190.75487824483</v>
      </c>
      <c r="N151" s="1345">
        <v>488490.61373267719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3320857.9387844512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594.05940594059405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495.04950495049508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1089.1089108910892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2441293.9981288454</v>
      </c>
      <c r="H178" s="1093"/>
      <c r="I178" s="950">
        <f t="shared" si="6"/>
        <v>24171.227704245994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2441293.9981288454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2441293.9981288454</v>
      </c>
      <c r="H181" s="1128"/>
      <c r="I181" s="950">
        <f t="shared" si="6"/>
        <v>24171.227704245994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2441293.9981288454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128.71287128712871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118.81188118811882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247.52475247524754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143.56435643564356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923.26732673267327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495.04950495049508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2782.1782178217823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408148.04551033885</v>
      </c>
      <c r="H233" s="1111"/>
      <c r="I233" s="950">
        <f t="shared" si="8"/>
        <v>4041.0697575281074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408148.04551033885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846898.04551033885</v>
      </c>
      <c r="H234" s="1282"/>
      <c r="I234" s="950">
        <f t="shared" si="8"/>
        <v>8385.1291634687022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846898.04551033885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24752.475247524751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205.44554455445544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24957.920792079207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6.6006600660066006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19.801980198019802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26.402640264026402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56766802.372383781</v>
      </c>
      <c r="H250" s="1298"/>
      <c r="I250" s="1299">
        <f>G250/F9</f>
        <v>562047.54824142356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621.38012141932415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101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91356</v>
      </c>
      <c r="D5" t="s">
        <v>428</v>
      </c>
      <c r="G5" s="510"/>
    </row>
    <row r="6" spans="1:15">
      <c r="B6" s="1350" t="s">
        <v>12</v>
      </c>
      <c r="C6" s="700">
        <f>'Construction Calculation'!C14</f>
        <v>91356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15226</v>
      </c>
      <c r="D8" t="s">
        <v>428</v>
      </c>
      <c r="G8" s="510"/>
    </row>
    <row r="9" spans="1:15">
      <c r="B9" s="1350" t="s">
        <v>430</v>
      </c>
      <c r="C9" s="700">
        <f>'Construction Calculation'!C47</f>
        <v>50.5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36898421.54204946</v>
      </c>
      <c r="D20" s="1375">
        <f>MIN(D22,GapCalc!D24)</f>
        <v>36898421.54204946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36898421.54204946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0.04</v>
      </c>
      <c r="D24" s="1425">
        <f>PMT(C24/12,C25*12,C30)*12</f>
        <v>-2289793.9981288742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2289793.9981288454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43319635.199999996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42519075.487824485</v>
      </c>
      <c r="D30" s="1376">
        <f>-PV($C$24/12,$C$29*12,C27/12)</f>
        <v>42519075.487824485</v>
      </c>
      <c r="E30" s="1384"/>
      <c r="F30" t="s">
        <v>438</v>
      </c>
      <c r="G30" s="1381"/>
      <c r="H30" s="1376">
        <f>PV(G23,G29,-'Cash Flow'!E41*H28,)</f>
        <v>3691463.1974933739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2289793.9981288454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45413441.897907026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37659699.780186653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3794388</v>
      </c>
      <c r="F12" s="89">
        <f>E12*(1+$D$12)</f>
        <v>3889247.6999999997</v>
      </c>
      <c r="G12" s="89">
        <f t="shared" ref="G12:AH12" si="0">F12*(1+$D$12)</f>
        <v>3986478.8924999991</v>
      </c>
      <c r="H12" s="89">
        <f t="shared" si="0"/>
        <v>4086140.8648124989</v>
      </c>
      <c r="I12" s="89">
        <f t="shared" si="0"/>
        <v>4188294.3864328112</v>
      </c>
      <c r="J12" s="89">
        <f t="shared" si="0"/>
        <v>4293001.7460936308</v>
      </c>
      <c r="K12" s="89">
        <f t="shared" si="0"/>
        <v>4400326.7897459716</v>
      </c>
      <c r="L12" s="89">
        <f t="shared" si="0"/>
        <v>4510334.9594896203</v>
      </c>
      <c r="M12" s="89">
        <f t="shared" si="0"/>
        <v>4623093.3334768601</v>
      </c>
      <c r="N12" s="89">
        <f t="shared" si="0"/>
        <v>4738670.6668137815</v>
      </c>
      <c r="O12" s="89">
        <f t="shared" si="0"/>
        <v>4857137.4334841259</v>
      </c>
      <c r="P12" s="89">
        <f t="shared" si="0"/>
        <v>4978565.8693212289</v>
      </c>
      <c r="Q12" s="89">
        <f t="shared" si="0"/>
        <v>5103030.0160542596</v>
      </c>
      <c r="R12" s="89">
        <f t="shared" si="0"/>
        <v>5230605.7664556159</v>
      </c>
      <c r="S12" s="90">
        <f t="shared" si="0"/>
        <v>5361370.910617006</v>
      </c>
      <c r="T12" s="89">
        <f t="shared" si="0"/>
        <v>5495405.183382431</v>
      </c>
      <c r="U12" s="89">
        <f t="shared" si="0"/>
        <v>5632790.3129669912</v>
      </c>
      <c r="V12" s="89">
        <f t="shared" si="0"/>
        <v>5773610.0707911653</v>
      </c>
      <c r="W12" s="89">
        <f t="shared" si="0"/>
        <v>5917950.3225609437</v>
      </c>
      <c r="X12" s="89">
        <f t="shared" si="0"/>
        <v>6065899.0806249669</v>
      </c>
      <c r="Y12" s="89">
        <f t="shared" si="0"/>
        <v>6217546.5576405907</v>
      </c>
      <c r="Z12" s="89">
        <f t="shared" si="0"/>
        <v>6372985.2215816053</v>
      </c>
      <c r="AA12" s="89">
        <f t="shared" si="0"/>
        <v>6532309.8521211445</v>
      </c>
      <c r="AB12" s="89">
        <f t="shared" si="0"/>
        <v>6695617.598424173</v>
      </c>
      <c r="AC12" s="89">
        <f t="shared" si="0"/>
        <v>6863008.0383847766</v>
      </c>
      <c r="AD12" s="89">
        <f t="shared" si="0"/>
        <v>7034583.2393443957</v>
      </c>
      <c r="AE12" s="89">
        <f t="shared" si="0"/>
        <v>7210447.8203280047</v>
      </c>
      <c r="AF12" s="89">
        <f t="shared" si="0"/>
        <v>7390709.0158362044</v>
      </c>
      <c r="AG12" s="89">
        <f t="shared" si="0"/>
        <v>7575476.7412321093</v>
      </c>
      <c r="AH12" s="89">
        <f t="shared" si="0"/>
        <v>7764863.6597629115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-189998.40000000002</v>
      </c>
      <c r="F14" s="100">
        <f t="shared" ref="F14:AH14" si="2">-((F12+F13)*$C$14)</f>
        <v>-194748.36</v>
      </c>
      <c r="G14" s="100">
        <f t="shared" si="2"/>
        <v>-199617.06899999996</v>
      </c>
      <c r="H14" s="100">
        <f t="shared" si="2"/>
        <v>-204607.49572499996</v>
      </c>
      <c r="I14" s="100">
        <f t="shared" si="2"/>
        <v>-209722.68311812493</v>
      </c>
      <c r="J14" s="100">
        <f t="shared" si="2"/>
        <v>-214965.75019607801</v>
      </c>
      <c r="K14" s="100">
        <f t="shared" si="2"/>
        <v>-220339.89395097998</v>
      </c>
      <c r="L14" s="100">
        <f t="shared" si="2"/>
        <v>-225848.39129975444</v>
      </c>
      <c r="M14" s="100">
        <f t="shared" si="2"/>
        <v>-231494.60108224829</v>
      </c>
      <c r="N14" s="100">
        <f t="shared" si="2"/>
        <v>-237281.96610930446</v>
      </c>
      <c r="O14" s="100">
        <f t="shared" si="2"/>
        <v>-243214.01526203711</v>
      </c>
      <c r="P14" s="100">
        <f t="shared" si="2"/>
        <v>-249294.36564358801</v>
      </c>
      <c r="Q14" s="100">
        <f t="shared" si="2"/>
        <v>-255526.72478467773</v>
      </c>
      <c r="R14" s="100">
        <f t="shared" si="2"/>
        <v>-261914.89290429463</v>
      </c>
      <c r="S14" s="101">
        <f t="shared" si="2"/>
        <v>-268462.76522690197</v>
      </c>
      <c r="T14" s="100">
        <f t="shared" si="2"/>
        <v>-275174.33435757452</v>
      </c>
      <c r="U14" s="100">
        <f t="shared" si="2"/>
        <v>-282053.69271651388</v>
      </c>
      <c r="V14" s="100">
        <f t="shared" si="2"/>
        <v>-289105.03503442666</v>
      </c>
      <c r="W14" s="100">
        <f t="shared" si="2"/>
        <v>-296332.66091028735</v>
      </c>
      <c r="X14" s="100">
        <f t="shared" si="2"/>
        <v>-303740.97743304446</v>
      </c>
      <c r="Y14" s="100">
        <f t="shared" si="2"/>
        <v>-311334.50186887057</v>
      </c>
      <c r="Z14" s="100">
        <f t="shared" si="2"/>
        <v>-319117.86441559234</v>
      </c>
      <c r="AA14" s="100">
        <f t="shared" si="2"/>
        <v>-327095.81102598208</v>
      </c>
      <c r="AB14" s="100">
        <f t="shared" si="2"/>
        <v>-335273.20630163164</v>
      </c>
      <c r="AC14" s="100">
        <f t="shared" si="2"/>
        <v>-343655.03645917238</v>
      </c>
      <c r="AD14" s="100">
        <f t="shared" si="2"/>
        <v>-352246.41237065173</v>
      </c>
      <c r="AE14" s="100">
        <f t="shared" si="2"/>
        <v>-361052.57267991791</v>
      </c>
      <c r="AF14" s="100">
        <f t="shared" si="2"/>
        <v>-370078.88699691585</v>
      </c>
      <c r="AG14" s="100">
        <f t="shared" si="2"/>
        <v>-379330.85917183873</v>
      </c>
      <c r="AH14" s="100">
        <f t="shared" si="2"/>
        <v>-388814.13065113471</v>
      </c>
    </row>
    <row r="15" spans="1:34">
      <c r="A15" s="76"/>
      <c r="B15" s="102" t="s">
        <v>312</v>
      </c>
      <c r="C15" s="76"/>
      <c r="D15" s="76"/>
      <c r="E15" s="95">
        <f>SUM(E12:E14)</f>
        <v>3609969.6</v>
      </c>
      <c r="F15" s="95">
        <f t="shared" ref="F15:AH15" si="3">SUM(F12:F14)</f>
        <v>3700218.84</v>
      </c>
      <c r="G15" s="103">
        <f t="shared" si="3"/>
        <v>3792724.3109999988</v>
      </c>
      <c r="H15" s="104">
        <f t="shared" si="3"/>
        <v>3887542.4187749992</v>
      </c>
      <c r="I15" s="104">
        <f t="shared" si="3"/>
        <v>3984730.9792443733</v>
      </c>
      <c r="J15" s="95">
        <f t="shared" si="3"/>
        <v>4084349.2537254822</v>
      </c>
      <c r="K15" s="103">
        <f t="shared" si="3"/>
        <v>4186457.9850686193</v>
      </c>
      <c r="L15" s="95">
        <f t="shared" si="3"/>
        <v>4291119.4346953342</v>
      </c>
      <c r="M15" s="95">
        <f t="shared" si="3"/>
        <v>4398397.4205627171</v>
      </c>
      <c r="N15" s="95">
        <f t="shared" si="3"/>
        <v>4508357.3560767844</v>
      </c>
      <c r="O15" s="95">
        <f t="shared" si="3"/>
        <v>4621066.2899787044</v>
      </c>
      <c r="P15" s="95">
        <f t="shared" si="3"/>
        <v>4736592.9472281719</v>
      </c>
      <c r="Q15" s="95">
        <f t="shared" si="3"/>
        <v>4855007.7709088763</v>
      </c>
      <c r="R15" s="95">
        <f t="shared" si="3"/>
        <v>4976382.9651815975</v>
      </c>
      <c r="S15" s="96">
        <f t="shared" si="3"/>
        <v>5100792.5393111371</v>
      </c>
      <c r="T15" s="95">
        <f t="shared" si="3"/>
        <v>5228312.3527939161</v>
      </c>
      <c r="U15" s="95">
        <f t="shared" si="3"/>
        <v>5359020.1616137633</v>
      </c>
      <c r="V15" s="95">
        <f t="shared" si="3"/>
        <v>5492995.665654107</v>
      </c>
      <c r="W15" s="95">
        <f t="shared" si="3"/>
        <v>5630320.5572954593</v>
      </c>
      <c r="X15" s="95">
        <f t="shared" si="3"/>
        <v>5771078.5712278448</v>
      </c>
      <c r="Y15" s="95">
        <f t="shared" si="3"/>
        <v>5915355.5355085414</v>
      </c>
      <c r="Z15" s="95">
        <f t="shared" si="3"/>
        <v>6063239.423896254</v>
      </c>
      <c r="AA15" s="95">
        <f t="shared" si="3"/>
        <v>6214820.4094936596</v>
      </c>
      <c r="AB15" s="95">
        <f t="shared" si="3"/>
        <v>6370190.9197310014</v>
      </c>
      <c r="AC15" s="95">
        <f t="shared" si="3"/>
        <v>6529445.6927242754</v>
      </c>
      <c r="AD15" s="95">
        <f t="shared" si="3"/>
        <v>6692681.8350423817</v>
      </c>
      <c r="AE15" s="95">
        <f t="shared" si="3"/>
        <v>6859998.8809184395</v>
      </c>
      <c r="AF15" s="95">
        <f t="shared" si="3"/>
        <v>7031498.8529414013</v>
      </c>
      <c r="AG15" s="95">
        <f t="shared" si="3"/>
        <v>7207286.3242649361</v>
      </c>
      <c r="AH15" s="95">
        <f t="shared" si="3"/>
        <v>7387468.4823715584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315</v>
      </c>
      <c r="C19" s="1713" t="s">
        <v>1100</v>
      </c>
      <c r="D19" s="88">
        <v>1.2500000000000001E-2</v>
      </c>
      <c r="E19" s="95">
        <f>IF(C19="Abatement", 0, -'Tax Calc'!B10)</f>
        <v>-225916.80224538615</v>
      </c>
      <c r="F19" s="89">
        <f>E19*(1+$D$19)</f>
        <v>-228740.76227345347</v>
      </c>
      <c r="G19" s="89">
        <f t="shared" ref="G19:AH19" si="6">F19*(1+$D$19)</f>
        <v>-231600.02180187163</v>
      </c>
      <c r="H19" s="89">
        <f t="shared" si="6"/>
        <v>-234495.022074395</v>
      </c>
      <c r="I19" s="89">
        <f t="shared" si="6"/>
        <v>-237426.20985032493</v>
      </c>
      <c r="J19" s="89">
        <f t="shared" si="6"/>
        <v>-240394.03747345397</v>
      </c>
      <c r="K19" s="89">
        <f t="shared" si="6"/>
        <v>-243398.96294187213</v>
      </c>
      <c r="L19" s="89">
        <f t="shared" si="6"/>
        <v>-246441.44997864551</v>
      </c>
      <c r="M19" s="89">
        <f t="shared" si="6"/>
        <v>-249521.96810337857</v>
      </c>
      <c r="N19" s="89">
        <f t="shared" si="6"/>
        <v>-252640.99270467079</v>
      </c>
      <c r="O19" s="89">
        <f t="shared" si="6"/>
        <v>-255799.00511347916</v>
      </c>
      <c r="P19" s="89">
        <f t="shared" si="6"/>
        <v>-258996.49267739765</v>
      </c>
      <c r="Q19" s="89">
        <f t="shared" si="6"/>
        <v>-262233.94883586513</v>
      </c>
      <c r="R19" s="89">
        <f t="shared" si="6"/>
        <v>-265511.87319631345</v>
      </c>
      <c r="S19" s="90">
        <f t="shared" si="6"/>
        <v>-268830.77161126735</v>
      </c>
      <c r="T19" s="89">
        <f t="shared" si="6"/>
        <v>-272191.1562564082</v>
      </c>
      <c r="U19" s="89">
        <f t="shared" si="6"/>
        <v>-275593.5457096133</v>
      </c>
      <c r="V19" s="89">
        <f t="shared" si="6"/>
        <v>-279038.46503098344</v>
      </c>
      <c r="W19" s="89">
        <f t="shared" si="6"/>
        <v>-282526.44584387069</v>
      </c>
      <c r="X19" s="89">
        <f t="shared" si="6"/>
        <v>-286058.02641691908</v>
      </c>
      <c r="Y19" s="89">
        <f t="shared" si="6"/>
        <v>-289633.75174713053</v>
      </c>
      <c r="Z19" s="89">
        <f t="shared" si="6"/>
        <v>-293254.17364396964</v>
      </c>
      <c r="AA19" s="89">
        <f t="shared" si="6"/>
        <v>-296919.85081451928</v>
      </c>
      <c r="AB19" s="89">
        <f t="shared" si="6"/>
        <v>-300631.34894970077</v>
      </c>
      <c r="AC19" s="89">
        <f t="shared" si="6"/>
        <v>-304389.240811572</v>
      </c>
      <c r="AD19" s="89">
        <f t="shared" si="6"/>
        <v>-308194.10632171662</v>
      </c>
      <c r="AE19" s="89">
        <f t="shared" si="6"/>
        <v>-312046.53265073808</v>
      </c>
      <c r="AF19" s="89">
        <f t="shared" si="6"/>
        <v>-315947.11430887232</v>
      </c>
      <c r="AG19" s="89">
        <f t="shared" si="6"/>
        <v>-319896.45323773322</v>
      </c>
      <c r="AH19" s="89">
        <f t="shared" si="6"/>
        <v>-323895.15890320489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2747752.7977546141</v>
      </c>
      <c r="F21" s="95">
        <f t="shared" si="8"/>
        <v>2813968.0777265462</v>
      </c>
      <c r="G21" s="95">
        <f t="shared" si="8"/>
        <v>2881661.939198127</v>
      </c>
      <c r="H21" s="95">
        <f t="shared" si="8"/>
        <v>2950864.3644506047</v>
      </c>
      <c r="I21" s="95">
        <f t="shared" si="8"/>
        <v>3021605.8310152986</v>
      </c>
      <c r="J21" s="95">
        <f t="shared" si="8"/>
        <v>3093917.3150300221</v>
      </c>
      <c r="K21" s="95">
        <f t="shared" si="8"/>
        <v>3167830.2943619713</v>
      </c>
      <c r="L21" s="95">
        <f t="shared" si="8"/>
        <v>3243376.7514801454</v>
      </c>
      <c r="M21" s="95">
        <f t="shared" si="8"/>
        <v>3320589.1760595161</v>
      </c>
      <c r="N21" s="95">
        <f t="shared" si="8"/>
        <v>3399500.5672982978</v>
      </c>
      <c r="O21" s="95">
        <f t="shared" si="8"/>
        <v>3480144.4359288258</v>
      </c>
      <c r="P21" s="95">
        <f t="shared" si="8"/>
        <v>3562554.805901601</v>
      </c>
      <c r="Q21" s="95">
        <f t="shared" si="8"/>
        <v>3646766.2157211169</v>
      </c>
      <c r="R21" s="95">
        <f t="shared" si="8"/>
        <v>3732813.7194110733</v>
      </c>
      <c r="S21" s="96">
        <f t="shared" si="8"/>
        <v>3820732.8870855621</v>
      </c>
      <c r="T21" s="95">
        <f t="shared" si="8"/>
        <v>3910559.8051016992</v>
      </c>
      <c r="U21" s="95">
        <f t="shared" si="8"/>
        <v>4002331.0757680885</v>
      </c>
      <c r="V21" s="95">
        <f t="shared" si="8"/>
        <v>4096083.8165822993</v>
      </c>
      <c r="W21" s="95">
        <f t="shared" si="8"/>
        <v>4191855.6589693362</v>
      </c>
      <c r="X21" s="95">
        <f t="shared" si="8"/>
        <v>4289684.7464917945</v>
      </c>
      <c r="Y21" s="95">
        <f t="shared" si="8"/>
        <v>4389609.7325011101</v>
      </c>
      <c r="Z21" s="95">
        <f t="shared" si="8"/>
        <v>4491669.7771978723</v>
      </c>
      <c r="AA21" s="95">
        <f t="shared" si="8"/>
        <v>4595904.5440678243</v>
      </c>
      <c r="AB21" s="95">
        <f t="shared" si="8"/>
        <v>4702354.1956585888</v>
      </c>
      <c r="AC21" s="95">
        <f t="shared" si="8"/>
        <v>4811059.3886606963</v>
      </c>
      <c r="AD21" s="95">
        <f t="shared" si="8"/>
        <v>4922061.2682548389</v>
      </c>
      <c r="AE21" s="95">
        <f t="shared" si="8"/>
        <v>5035401.4616855709</v>
      </c>
      <c r="AF21" s="95">
        <f t="shared" si="8"/>
        <v>5151122.0710200248</v>
      </c>
      <c r="AG21" s="95">
        <f t="shared" si="8"/>
        <v>5269265.6650482612</v>
      </c>
      <c r="AH21" s="95">
        <f t="shared" si="8"/>
        <v>5389875.2702801479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-2289793.9981288454</v>
      </c>
      <c r="F22" s="95">
        <f t="shared" ref="F22:AH22" si="9">$E$22</f>
        <v>-2289793.9981288454</v>
      </c>
      <c r="G22" s="95">
        <f t="shared" si="9"/>
        <v>-2289793.9981288454</v>
      </c>
      <c r="H22" s="95">
        <f t="shared" si="9"/>
        <v>-2289793.9981288454</v>
      </c>
      <c r="I22" s="95">
        <f t="shared" si="9"/>
        <v>-2289793.9981288454</v>
      </c>
      <c r="J22" s="95">
        <f t="shared" si="9"/>
        <v>-2289793.9981288454</v>
      </c>
      <c r="K22" s="95">
        <f t="shared" si="9"/>
        <v>-2289793.9981288454</v>
      </c>
      <c r="L22" s="95">
        <f t="shared" si="9"/>
        <v>-2289793.9981288454</v>
      </c>
      <c r="M22" s="95">
        <f t="shared" si="9"/>
        <v>-2289793.9981288454</v>
      </c>
      <c r="N22" s="95">
        <f t="shared" si="9"/>
        <v>-2289793.9981288454</v>
      </c>
      <c r="O22" s="95">
        <f t="shared" si="9"/>
        <v>-2289793.9981288454</v>
      </c>
      <c r="P22" s="95">
        <f t="shared" si="9"/>
        <v>-2289793.9981288454</v>
      </c>
      <c r="Q22" s="95">
        <f t="shared" si="9"/>
        <v>-2289793.9981288454</v>
      </c>
      <c r="R22" s="95">
        <f t="shared" si="9"/>
        <v>-2289793.9981288454</v>
      </c>
      <c r="S22" s="96">
        <f t="shared" si="9"/>
        <v>-2289793.9981288454</v>
      </c>
      <c r="T22" s="95">
        <f t="shared" si="9"/>
        <v>-2289793.9981288454</v>
      </c>
      <c r="U22" s="95">
        <f t="shared" si="9"/>
        <v>-2289793.9981288454</v>
      </c>
      <c r="V22" s="95">
        <f t="shared" si="9"/>
        <v>-2289793.9981288454</v>
      </c>
      <c r="W22" s="95">
        <f t="shared" si="9"/>
        <v>-2289793.9981288454</v>
      </c>
      <c r="X22" s="95">
        <f t="shared" si="9"/>
        <v>-2289793.9981288454</v>
      </c>
      <c r="Y22" s="95">
        <f t="shared" si="9"/>
        <v>-2289793.9981288454</v>
      </c>
      <c r="Z22" s="95">
        <f t="shared" si="9"/>
        <v>-2289793.9981288454</v>
      </c>
      <c r="AA22" s="95">
        <f t="shared" si="9"/>
        <v>-2289793.9981288454</v>
      </c>
      <c r="AB22" s="95">
        <f t="shared" si="9"/>
        <v>-2289793.9981288454</v>
      </c>
      <c r="AC22" s="95">
        <f t="shared" si="9"/>
        <v>-2289793.9981288454</v>
      </c>
      <c r="AD22" s="95">
        <f t="shared" si="9"/>
        <v>-2289793.9981288454</v>
      </c>
      <c r="AE22" s="95">
        <f t="shared" si="9"/>
        <v>-2289793.9981288454</v>
      </c>
      <c r="AF22" s="95">
        <f t="shared" si="9"/>
        <v>-2289793.9981288454</v>
      </c>
      <c r="AG22" s="95">
        <f t="shared" si="9"/>
        <v>-2289793.9981288454</v>
      </c>
      <c r="AH22" s="95">
        <f t="shared" si="9"/>
        <v>-2289793.9981288454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457958.79962576879</v>
      </c>
      <c r="F25" s="119">
        <f t="shared" ref="F25:AH25" si="11">+F21+F22+F23</f>
        <v>524174.07959770085</v>
      </c>
      <c r="G25" s="119">
        <f t="shared" si="11"/>
        <v>591867.94106928166</v>
      </c>
      <c r="H25" s="119">
        <f t="shared" si="11"/>
        <v>661070.3663217593</v>
      </c>
      <c r="I25" s="119">
        <f t="shared" si="11"/>
        <v>731811.83288645325</v>
      </c>
      <c r="J25" s="119">
        <f t="shared" si="11"/>
        <v>804123.3169011767</v>
      </c>
      <c r="K25" s="119">
        <f t="shared" si="11"/>
        <v>878036.29623312596</v>
      </c>
      <c r="L25" s="119">
        <f t="shared" si="11"/>
        <v>953582.75335130002</v>
      </c>
      <c r="M25" s="119">
        <f t="shared" si="11"/>
        <v>1030795.1779306708</v>
      </c>
      <c r="N25" s="119">
        <f t="shared" si="11"/>
        <v>1109706.5691694524</v>
      </c>
      <c r="O25" s="119">
        <f t="shared" si="11"/>
        <v>1190350.4377999804</v>
      </c>
      <c r="P25" s="119">
        <f t="shared" si="11"/>
        <v>1272760.8077727556</v>
      </c>
      <c r="Q25" s="119">
        <f t="shared" si="11"/>
        <v>1356972.2175922715</v>
      </c>
      <c r="R25" s="119">
        <f t="shared" si="11"/>
        <v>1443019.7212822279</v>
      </c>
      <c r="S25" s="160">
        <f t="shared" si="11"/>
        <v>1530938.8889567167</v>
      </c>
      <c r="T25" s="119">
        <f t="shared" si="11"/>
        <v>1620765.8069728538</v>
      </c>
      <c r="U25" s="119">
        <f t="shared" si="11"/>
        <v>1712537.0776392431</v>
      </c>
      <c r="V25" s="119">
        <f t="shared" si="11"/>
        <v>1806289.8184534539</v>
      </c>
      <c r="W25" s="119">
        <f t="shared" si="11"/>
        <v>1902061.6608404908</v>
      </c>
      <c r="X25" s="119">
        <f t="shared" si="11"/>
        <v>1999890.7483629491</v>
      </c>
      <c r="Y25" s="119">
        <f t="shared" si="11"/>
        <v>2099815.7343722647</v>
      </c>
      <c r="Z25" s="119">
        <f t="shared" si="11"/>
        <v>2201875.7790690269</v>
      </c>
      <c r="AA25" s="119">
        <f t="shared" si="11"/>
        <v>2306110.5459389789</v>
      </c>
      <c r="AB25" s="119">
        <f t="shared" si="11"/>
        <v>2412560.1975297434</v>
      </c>
      <c r="AC25" s="119">
        <f t="shared" si="11"/>
        <v>2521265.390531851</v>
      </c>
      <c r="AD25" s="119">
        <f t="shared" si="11"/>
        <v>2632267.2701259935</v>
      </c>
      <c r="AE25" s="119">
        <f t="shared" si="11"/>
        <v>2745607.4635567255</v>
      </c>
      <c r="AF25" s="119">
        <f t="shared" si="11"/>
        <v>2861328.0728911795</v>
      </c>
      <c r="AG25" s="119">
        <f t="shared" si="11"/>
        <v>2979471.6669194158</v>
      </c>
      <c r="AH25" s="119">
        <f t="shared" si="11"/>
        <v>3100081.2721513025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1.2289175707622786</v>
      </c>
      <c r="G27" s="122">
        <f t="shared" si="12"/>
        <v>1.2584808683894444</v>
      </c>
      <c r="H27" s="122">
        <f t="shared" si="12"/>
        <v>1.2887029867586199</v>
      </c>
      <c r="I27" s="122">
        <f t="shared" si="12"/>
        <v>1.3195972360327912</v>
      </c>
      <c r="J27" s="122">
        <f t="shared" si="12"/>
        <v>1.351177144126626</v>
      </c>
      <c r="K27" s="122">
        <f t="shared" si="12"/>
        <v>1.3834564580703035</v>
      </c>
      <c r="L27" s="122">
        <f t="shared" si="12"/>
        <v>1.4164491452639585</v>
      </c>
      <c r="M27" s="122">
        <f t="shared" si="12"/>
        <v>1.4501693946149774</v>
      </c>
      <c r="N27" s="122">
        <f t="shared" si="12"/>
        <v>1.484631617549995</v>
      </c>
      <c r="O27" s="122">
        <f t="shared" si="12"/>
        <v>1.5198504488930886</v>
      </c>
      <c r="P27" s="122">
        <f t="shared" si="12"/>
        <v>1.5558407476012339</v>
      </c>
      <c r="Q27" s="122">
        <f t="shared" si="12"/>
        <v>1.5926175973476875</v>
      </c>
      <c r="R27" s="122">
        <f t="shared" si="12"/>
        <v>1.6301963069435166</v>
      </c>
      <c r="S27" s="161">
        <f t="shared" si="12"/>
        <v>1.6685924105870469</v>
      </c>
      <c r="T27" s="122">
        <f t="shared" si="12"/>
        <v>1.7078216679305203</v>
      </c>
      <c r="U27" s="122">
        <f t="shared" si="12"/>
        <v>1.7479000639527746</v>
      </c>
      <c r="V27" s="122">
        <f t="shared" si="12"/>
        <v>1.7888438086262357</v>
      </c>
      <c r="W27" s="122">
        <f t="shared" si="12"/>
        <v>1.8306693363659794</v>
      </c>
      <c r="X27" s="122">
        <f t="shared" si="12"/>
        <v>1.8733933052480718</v>
      </c>
      <c r="Y27" s="122">
        <f t="shared" si="12"/>
        <v>1.9170325959838197</v>
      </c>
      <c r="Z27" s="122">
        <f t="shared" si="12"/>
        <v>1.9616043106359513</v>
      </c>
      <c r="AA27" s="122">
        <f t="shared" si="12"/>
        <v>2.0071257710621424</v>
      </c>
      <c r="AB27" s="122">
        <f t="shared" si="12"/>
        <v>2.0536145170706268</v>
      </c>
      <c r="AC27" s="122">
        <f t="shared" si="12"/>
        <v>2.1010883042719812</v>
      </c>
      <c r="AD27" s="122">
        <f t="shared" si="12"/>
        <v>2.1495651016104538</v>
      </c>
      <c r="AE27" s="122">
        <f t="shared" si="12"/>
        <v>2.1990630885574678</v>
      </c>
      <c r="AF27" s="122">
        <f t="shared" si="12"/>
        <v>2.249600651949204</v>
      </c>
      <c r="AG27" s="122">
        <f t="shared" si="12"/>
        <v>2.3011963824493189</v>
      </c>
      <c r="AH27" s="122">
        <f t="shared" si="12"/>
        <v>2.3538690706170953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457958.79962576879</v>
      </c>
      <c r="F41" s="129">
        <f t="shared" ref="F41:S41" si="20">F25+F37</f>
        <v>524174.07959770085</v>
      </c>
      <c r="G41" s="129">
        <f t="shared" si="20"/>
        <v>591867.94106928166</v>
      </c>
      <c r="H41" s="129">
        <f t="shared" si="20"/>
        <v>661070.3663217593</v>
      </c>
      <c r="I41" s="129">
        <f t="shared" si="20"/>
        <v>731811.83288645325</v>
      </c>
      <c r="J41" s="129">
        <f t="shared" si="20"/>
        <v>804123.3169011767</v>
      </c>
      <c r="K41" s="129">
        <f t="shared" si="20"/>
        <v>878036.29623312596</v>
      </c>
      <c r="L41" s="129">
        <f t="shared" si="20"/>
        <v>953582.75335130002</v>
      </c>
      <c r="M41" s="129">
        <f t="shared" si="20"/>
        <v>1030795.1779306708</v>
      </c>
      <c r="N41" s="129">
        <f t="shared" si="20"/>
        <v>1109706.5691694524</v>
      </c>
      <c r="O41" s="129">
        <f t="shared" si="20"/>
        <v>1190350.4377999804</v>
      </c>
      <c r="P41" s="129">
        <f t="shared" si="20"/>
        <v>1272760.8077727556</v>
      </c>
      <c r="Q41" s="129">
        <f t="shared" si="20"/>
        <v>1356972.2175922715</v>
      </c>
      <c r="R41" s="129">
        <f t="shared" si="20"/>
        <v>1443019.7212822279</v>
      </c>
      <c r="S41" s="130">
        <f t="shared" si="20"/>
        <v>1530938.8889567167</v>
      </c>
      <c r="T41" s="130">
        <f t="shared" ref="T41:AH41" si="21">T25+T37</f>
        <v>1620765.8069728538</v>
      </c>
      <c r="U41" s="130">
        <f t="shared" si="21"/>
        <v>1712537.0776392431</v>
      </c>
      <c r="V41" s="130">
        <f t="shared" si="21"/>
        <v>1806289.8184534539</v>
      </c>
      <c r="W41" s="130">
        <f t="shared" si="21"/>
        <v>1902061.6608404908</v>
      </c>
      <c r="X41" s="130">
        <f t="shared" si="21"/>
        <v>1999890.7483629491</v>
      </c>
      <c r="Y41" s="130">
        <f t="shared" si="21"/>
        <v>2099815.7343722647</v>
      </c>
      <c r="Z41" s="130">
        <f t="shared" si="21"/>
        <v>2201875.7790690269</v>
      </c>
      <c r="AA41" s="130">
        <f t="shared" si="21"/>
        <v>2306110.5459389789</v>
      </c>
      <c r="AB41" s="130">
        <f t="shared" si="21"/>
        <v>2412560.1975297434</v>
      </c>
      <c r="AC41" s="130">
        <f t="shared" si="21"/>
        <v>2521265.390531851</v>
      </c>
      <c r="AD41" s="130">
        <f t="shared" si="21"/>
        <v>2632267.2701259935</v>
      </c>
      <c r="AE41" s="130">
        <f t="shared" si="21"/>
        <v>2745607.4635567255</v>
      </c>
      <c r="AF41" s="130">
        <f t="shared" si="21"/>
        <v>2861328.0728911795</v>
      </c>
      <c r="AG41" s="130">
        <f t="shared" si="21"/>
        <v>2979471.6669194158</v>
      </c>
      <c r="AH41" s="130">
        <f t="shared" si="21"/>
        <v>3100081.2721513025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389264.97968190344</v>
      </c>
      <c r="F42" s="129">
        <f t="shared" ref="F42:S42" si="22">((F41*$C$42))</f>
        <v>445547.9676580457</v>
      </c>
      <c r="G42" s="129">
        <f t="shared" si="22"/>
        <v>503087.74990888941</v>
      </c>
      <c r="H42" s="129">
        <f t="shared" si="22"/>
        <v>561909.81137349538</v>
      </c>
      <c r="I42" s="129">
        <f t="shared" si="22"/>
        <v>622040.05795348529</v>
      </c>
      <c r="J42" s="129">
        <f t="shared" si="22"/>
        <v>683504.81936600013</v>
      </c>
      <c r="K42" s="129">
        <f t="shared" si="22"/>
        <v>746330.85179815709</v>
      </c>
      <c r="L42" s="129">
        <f t="shared" si="22"/>
        <v>810545.34034860495</v>
      </c>
      <c r="M42" s="129">
        <f t="shared" si="22"/>
        <v>876175.90124107013</v>
      </c>
      <c r="N42" s="129">
        <f t="shared" si="22"/>
        <v>943250.58379403455</v>
      </c>
      <c r="O42" s="129">
        <f t="shared" si="22"/>
        <v>1011797.8721299833</v>
      </c>
      <c r="P42" s="129">
        <f t="shared" si="22"/>
        <v>1081846.6866068423</v>
      </c>
      <c r="Q42" s="129">
        <f t="shared" si="22"/>
        <v>1153426.3849534309</v>
      </c>
      <c r="R42" s="129">
        <f t="shared" si="22"/>
        <v>1226566.7630898936</v>
      </c>
      <c r="S42" s="129">
        <f t="shared" si="22"/>
        <v>1301298.0556132093</v>
      </c>
      <c r="T42" s="129">
        <f t="shared" ref="T42:AH42" si="23">((T41*$C$42))</f>
        <v>1377650.9359269256</v>
      </c>
      <c r="U42" s="129">
        <f t="shared" si="23"/>
        <v>1455656.5159933567</v>
      </c>
      <c r="V42" s="129">
        <f t="shared" si="23"/>
        <v>1535346.3456854359</v>
      </c>
      <c r="W42" s="129">
        <f t="shared" si="23"/>
        <v>1616752.4117144172</v>
      </c>
      <c r="X42" s="129">
        <f t="shared" si="23"/>
        <v>1699907.1361085067</v>
      </c>
      <c r="Y42" s="129">
        <f t="shared" si="23"/>
        <v>1784843.374216425</v>
      </c>
      <c r="Z42" s="129">
        <f t="shared" si="23"/>
        <v>1871594.4122086728</v>
      </c>
      <c r="AA42" s="129">
        <f t="shared" si="23"/>
        <v>1960193.9640481321</v>
      </c>
      <c r="AB42" s="129">
        <f t="shared" si="23"/>
        <v>2050676.167900282</v>
      </c>
      <c r="AC42" s="129">
        <f t="shared" si="23"/>
        <v>2143075.5819520731</v>
      </c>
      <c r="AD42" s="129">
        <f t="shared" si="23"/>
        <v>2237427.1796070943</v>
      </c>
      <c r="AE42" s="129">
        <f t="shared" si="23"/>
        <v>2333766.3440232165</v>
      </c>
      <c r="AF42" s="129">
        <f t="shared" si="23"/>
        <v>2432128.8619575026</v>
      </c>
      <c r="AG42" s="129">
        <f t="shared" si="23"/>
        <v>2532550.9168815035</v>
      </c>
      <c r="AH42" s="129">
        <f t="shared" si="23"/>
        <v>2635069.0813286072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68693.819943865325</v>
      </c>
      <c r="F43" s="108">
        <f t="shared" ref="F43:S43" si="24">$C$43*(F41)</f>
        <v>78626.111939655137</v>
      </c>
      <c r="G43" s="108">
        <f t="shared" si="24"/>
        <v>88780.191160392264</v>
      </c>
      <c r="H43" s="108">
        <f t="shared" si="24"/>
        <v>99160.554948263903</v>
      </c>
      <c r="I43" s="108">
        <f t="shared" si="24"/>
        <v>109771.77493296801</v>
      </c>
      <c r="J43" s="108">
        <f t="shared" si="24"/>
        <v>120618.49753517652</v>
      </c>
      <c r="K43" s="108">
        <f t="shared" si="24"/>
        <v>131705.4444349689</v>
      </c>
      <c r="L43" s="108">
        <f t="shared" si="24"/>
        <v>143037.41300269502</v>
      </c>
      <c r="M43" s="108">
        <f t="shared" si="24"/>
        <v>154619.27668960064</v>
      </c>
      <c r="N43" s="108">
        <f t="shared" si="24"/>
        <v>166455.98537541789</v>
      </c>
      <c r="O43" s="108">
        <f t="shared" si="24"/>
        <v>178552.5656699971</v>
      </c>
      <c r="P43" s="108">
        <f t="shared" si="24"/>
        <v>190914.12116591338</v>
      </c>
      <c r="Q43" s="108">
        <f t="shared" si="24"/>
        <v>203545.83263884074</v>
      </c>
      <c r="R43" s="108">
        <f t="shared" si="24"/>
        <v>216452.95819233422</v>
      </c>
      <c r="S43" s="108">
        <f t="shared" si="24"/>
        <v>229640.83334350755</v>
      </c>
      <c r="T43" s="108">
        <f t="shared" ref="T43:AH43" si="25">$C$43*(T41)</f>
        <v>243114.8710459281</v>
      </c>
      <c r="U43" s="108">
        <f t="shared" si="25"/>
        <v>256880.56164588651</v>
      </c>
      <c r="V43" s="108">
        <f t="shared" si="25"/>
        <v>270943.47276801814</v>
      </c>
      <c r="W43" s="108">
        <f t="shared" si="25"/>
        <v>285309.24912607367</v>
      </c>
      <c r="X43" s="108">
        <f t="shared" si="25"/>
        <v>299983.61225444241</v>
      </c>
      <c r="Y43" s="108">
        <f t="shared" si="25"/>
        <v>314972.36015583976</v>
      </c>
      <c r="Z43" s="108">
        <f t="shared" si="25"/>
        <v>330281.36686035409</v>
      </c>
      <c r="AA43" s="108">
        <f t="shared" si="25"/>
        <v>345916.58189084689</v>
      </c>
      <c r="AB43" s="108">
        <f t="shared" si="25"/>
        <v>361884.02962946158</v>
      </c>
      <c r="AC43" s="108">
        <f t="shared" si="25"/>
        <v>378189.80857977772</v>
      </c>
      <c r="AD43" s="108">
        <f t="shared" si="25"/>
        <v>394840.09051889909</v>
      </c>
      <c r="AE43" s="108">
        <f t="shared" si="25"/>
        <v>411841.1195335089</v>
      </c>
      <c r="AF43" s="108">
        <f t="shared" si="25"/>
        <v>429199.21093367698</v>
      </c>
      <c r="AG43" s="108">
        <f t="shared" si="25"/>
        <v>446920.75003791245</v>
      </c>
      <c r="AH43" s="108">
        <f t="shared" si="25"/>
        <v>465012.19082269544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2.7117210153364643E-2</v>
      </c>
      <c r="F47" s="142">
        <f>F41/GapCalc!$H$33</f>
        <v>3.1038029370792176E-2</v>
      </c>
      <c r="G47" s="142">
        <f>G41/GapCalc!$H$33</f>
        <v>3.5046400143703776E-2</v>
      </c>
      <c r="H47" s="142">
        <f>H41/GapCalc!$H$33</f>
        <v>3.9144097819187748E-2</v>
      </c>
      <c r="I47" s="142">
        <f>I41/GapCalc!$H$33</f>
        <v>4.3332927069678437E-2</v>
      </c>
      <c r="J47" s="142">
        <f>J41/GapCalc!$H$33</f>
        <v>4.7614722091700735E-2</v>
      </c>
      <c r="K47" s="142">
        <f>K41/GapCalc!$H$33</f>
        <v>5.1991346790786409E-2</v>
      </c>
      <c r="L47" s="142">
        <f>L41/GapCalc!$H$33</f>
        <v>5.6464694951559265E-2</v>
      </c>
      <c r="M47" s="142">
        <f>M41/GapCalc!$H$33</f>
        <v>6.1036690391936425E-2</v>
      </c>
      <c r="N47" s="142">
        <f>N41/GapCalc!$H$33</f>
        <v>6.570928710034131E-2</v>
      </c>
      <c r="O47" s="142">
        <f>O41/GapCalc!$H$33</f>
        <v>7.0484469354774204E-2</v>
      </c>
      <c r="P47" s="142">
        <f>P41/GapCalc!$H$33</f>
        <v>7.5364251822529912E-2</v>
      </c>
      <c r="Q47" s="142">
        <f>Q41/GapCalc!$H$33</f>
        <v>8.0350679639296402E-2</v>
      </c>
      <c r="R47" s="142">
        <f>R41/GapCalc!$H$33</f>
        <v>8.5445828466308202E-2</v>
      </c>
      <c r="S47" s="142">
        <f>S41/GapCalc!$H$33</f>
        <v>9.0651804524168114E-2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2.3049628630359947E-2</v>
      </c>
      <c r="F48" s="142">
        <f>F43/GapCalc!$H$32</f>
        <v>2.638232496517335E-2</v>
      </c>
      <c r="G48" s="142">
        <f>G43/GapCalc!$H$32</f>
        <v>2.9789440122148212E-2</v>
      </c>
      <c r="H48" s="142">
        <f>H43/GapCalc!$H$32</f>
        <v>3.3272483146309588E-2</v>
      </c>
      <c r="I48" s="142">
        <f>I43/GapCalc!$H$32</f>
        <v>3.6832988009226679E-2</v>
      </c>
      <c r="J48" s="142">
        <f>J43/GapCalc!$H$32</f>
        <v>4.0472513777945626E-2</v>
      </c>
      <c r="K48" s="142">
        <f>K43/GapCalc!$H$32</f>
        <v>4.4192644772168443E-2</v>
      </c>
      <c r="L48" s="142">
        <f>L43/GapCalc!$H$32</f>
        <v>4.7994990708825375E-2</v>
      </c>
      <c r="M48" s="142">
        <f>M43/GapCalc!$H$32</f>
        <v>5.1881186833145965E-2</v>
      </c>
      <c r="N48" s="142">
        <f>N43/GapCalc!$H$32</f>
        <v>5.5852894035290118E-2</v>
      </c>
      <c r="O48" s="142">
        <f>O43/GapCalc!$H$32</f>
        <v>5.9911798951558078E-2</v>
      </c>
      <c r="P48" s="142">
        <f>P43/GapCalc!$H$32</f>
        <v>6.4059614049150435E-2</v>
      </c>
      <c r="Q48" s="142">
        <f>Q43/GapCalc!$H$32</f>
        <v>6.8298077693401946E-2</v>
      </c>
      <c r="R48" s="142">
        <f>R43/GapCalc!$H$32</f>
        <v>7.2628954196361978E-2</v>
      </c>
      <c r="S48" s="142">
        <f>S43/GapCalc!$H$32</f>
        <v>7.7054033845542907E-2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16886415.209710684</v>
      </c>
      <c r="D66" s="1544"/>
      <c r="E66" s="1564" t="s">
        <v>285</v>
      </c>
      <c r="G66" s="1520" t="s">
        <v>1073</v>
      </c>
      <c r="H66" s="1565">
        <f>H70/1.63</f>
        <v>2979955.6252430622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3951686.2377399765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697356.39489529002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4777555.8539087707</v>
      </c>
      <c r="D68" s="1545" t="s">
        <v>68</v>
      </c>
      <c r="G68" s="1521" t="s">
        <v>1079</v>
      </c>
      <c r="H68" s="1568">
        <f>IF(GapCalc!D41*C43&lt; 0,0,GapCalc!D41*C43)</f>
        <v>843098.09186625376</v>
      </c>
      <c r="I68" s="1545" t="s">
        <v>68</v>
      </c>
    </row>
    <row r="69" spans="2:10">
      <c r="B69" s="1521" t="s">
        <v>1059</v>
      </c>
      <c r="C69" s="1568">
        <f>'Debt Calc'!E60</f>
        <v>18795614.700179666</v>
      </c>
      <c r="D69" s="1546">
        <v>0.9</v>
      </c>
      <c r="G69" s="1521" t="s">
        <v>1075</v>
      </c>
      <c r="H69" s="1568">
        <f>'Debt Calc'!E59*C43</f>
        <v>3316873.1823846474</v>
      </c>
      <c r="I69" s="1546">
        <v>0.9</v>
      </c>
    </row>
    <row r="70" spans="2:10">
      <c r="B70" s="1523" t="s">
        <v>1042</v>
      </c>
      <c r="C70" s="1577">
        <f>C67+C68+C69</f>
        <v>27524856.791828413</v>
      </c>
      <c r="D70" s="1545" t="s">
        <v>68</v>
      </c>
      <c r="G70" s="1523" t="s">
        <v>1042</v>
      </c>
      <c r="H70" s="1577">
        <f>H67+H68+H69</f>
        <v>4857327.6691461913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1.6300000000000001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0.63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0.09</v>
      </c>
      <c r="I73" s="1548"/>
    </row>
    <row r="74" spans="2:10" ht="13.5" thickBot="1">
      <c r="B74" s="1578" t="s">
        <v>1080</v>
      </c>
      <c r="C74" s="1581">
        <f>GapCalc!H33</f>
        <v>16888123.705784176</v>
      </c>
      <c r="D74" s="1549"/>
      <c r="F74" s="1559"/>
      <c r="G74" s="1578" t="s">
        <v>1082</v>
      </c>
      <c r="H74" s="1581">
        <f>GapCalc!H32</f>
        <v>2980257.1245501488</v>
      </c>
      <c r="I74" s="1549"/>
    </row>
    <row r="75" spans="2:10">
      <c r="B75" s="70" t="s">
        <v>1081</v>
      </c>
      <c r="C75" s="1579">
        <f>(C70-C74)/C74</f>
        <v>0.62983510017759758</v>
      </c>
      <c r="G75" s="70" t="s">
        <v>1081</v>
      </c>
      <c r="H75" s="1579">
        <f>(H70-H74)/H74</f>
        <v>0.62983510017759781</v>
      </c>
    </row>
    <row r="76" spans="2:10">
      <c r="B76" s="70" t="s">
        <v>1045</v>
      </c>
      <c r="C76" s="1579">
        <f>C75/7</f>
        <v>8.9976442882513941E-2</v>
      </c>
      <c r="G76" s="70" t="s">
        <v>1045</v>
      </c>
      <c r="H76" s="1579">
        <f>H75/7</f>
        <v>8.9976442882513968E-2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6310674.3983513657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6581658.0631236862</v>
      </c>
      <c r="D81" s="1545" t="s">
        <v>68</v>
      </c>
    </row>
    <row r="82" spans="2:10">
      <c r="B82" s="1521" t="s">
        <v>1059</v>
      </c>
      <c r="C82" s="1568">
        <f>C68</f>
        <v>4777555.8539087707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11359213.917032458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0.79999999999999993</v>
      </c>
      <c r="D86" s="1548"/>
    </row>
    <row r="87" spans="2:10">
      <c r="B87" s="1523" t="s">
        <v>1045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22282295.234476507</v>
      </c>
      <c r="D93" s="1544"/>
      <c r="E93" s="1564" t="s">
        <v>288</v>
      </c>
      <c r="G93" s="1520" t="s">
        <v>1073</v>
      </c>
      <c r="H93" s="1565">
        <f>H97/1.63</f>
        <v>3264687.3277385919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6581658.0631236862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1161469.0699630035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4777555.8539087707</v>
      </c>
      <c r="D95" s="1545" t="s">
        <v>68</v>
      </c>
      <c r="G95" s="1521" t="s">
        <v>1079</v>
      </c>
      <c r="H95" s="1568">
        <f>IF(GapCalc!D41*C43&lt; 0,0,GapCalc!D41*C43)</f>
        <v>843098.09186625376</v>
      </c>
      <c r="I95" s="1545" t="s">
        <v>68</v>
      </c>
    </row>
    <row r="96" spans="2:10">
      <c r="B96" s="1521" t="s">
        <v>1059</v>
      </c>
      <c r="C96" s="1568">
        <f>'Debt Calc'!H60</f>
        <v>24960927.315164246</v>
      </c>
      <c r="D96" s="1546">
        <v>0.9</v>
      </c>
      <c r="G96" s="1521" t="s">
        <v>1075</v>
      </c>
      <c r="H96" s="1568">
        <f>'Debt Calc'!E59*C43</f>
        <v>3316873.1823846474</v>
      </c>
      <c r="I96" s="1546">
        <v>0.9</v>
      </c>
    </row>
    <row r="97" spans="2:9">
      <c r="B97" s="1523" t="s">
        <v>1042</v>
      </c>
      <c r="C97" s="1577">
        <f>C94+C95+C96</f>
        <v>36320141.232196704</v>
      </c>
      <c r="D97" s="1545" t="s">
        <v>68</v>
      </c>
      <c r="G97" s="1523" t="s">
        <v>1042</v>
      </c>
      <c r="H97" s="1577">
        <f>H94+H95+H96</f>
        <v>5321440.3442139048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0.62999999999999989</v>
      </c>
      <c r="D99" s="1548"/>
      <c r="G99" s="1521" t="s">
        <v>1044</v>
      </c>
      <c r="H99" s="1524">
        <f>(H97-H93)/H93</f>
        <v>0.63</v>
      </c>
      <c r="I99" s="1548"/>
    </row>
    <row r="100" spans="2:9">
      <c r="B100" s="1523" t="s">
        <v>1045</v>
      </c>
      <c r="C100" s="1566">
        <f>C99/7</f>
        <v>8.9999999999999983E-2</v>
      </c>
      <c r="D100" s="1548"/>
      <c r="G100" s="1523" t="s">
        <v>1045</v>
      </c>
      <c r="H100" s="1566">
        <f>H99/7</f>
        <v>0.09</v>
      </c>
      <c r="I100" s="1548"/>
    </row>
    <row r="101" spans="2:9" ht="13.5" thickBot="1">
      <c r="B101" s="1578" t="s">
        <v>1080</v>
      </c>
      <c r="C101" s="1581">
        <f>GapCalc!H33</f>
        <v>16888123.705784176</v>
      </c>
      <c r="D101" s="1549"/>
      <c r="G101" s="1578" t="s">
        <v>1082</v>
      </c>
      <c r="H101" s="1581">
        <f>GapCalc!H32</f>
        <v>2980257.1245501488</v>
      </c>
      <c r="I101" s="1549"/>
    </row>
    <row r="102" spans="2:9">
      <c r="B102" s="70" t="s">
        <v>1081</v>
      </c>
      <c r="C102" s="1579">
        <f>(C97-C101)/C101</f>
        <v>1.1506321166842868</v>
      </c>
      <c r="G102" s="70" t="s">
        <v>1081</v>
      </c>
      <c r="H102" s="1579">
        <f>(H97-H101)/H101</f>
        <v>0.78556417175485926</v>
      </c>
    </row>
    <row r="103" spans="2:9">
      <c r="B103" s="70" t="s">
        <v>1045</v>
      </c>
      <c r="C103" s="1579">
        <f>C102/10</f>
        <v>0.11506321166842867</v>
      </c>
      <c r="G103" s="70" t="s">
        <v>1045</v>
      </c>
      <c r="H103" s="1579">
        <f>H102/10</f>
        <v>7.8556417175485921E-2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76130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15226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91356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8"/>
      <c r="R16" s="1758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9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60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91356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91356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101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50.5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50.5</v>
      </c>
      <c r="D49" s="876"/>
      <c r="E49" s="855" t="s">
        <v>577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0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0</v>
      </c>
      <c r="D55" s="855"/>
      <c r="E55" s="855"/>
      <c r="F55" s="937"/>
      <c r="G55" s="855"/>
      <c r="H55" s="872" t="s">
        <v>685</v>
      </c>
      <c r="I55" s="939">
        <f>SUM(I53:I54)</f>
        <v>0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50.5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1"/>
      <c r="E92" s="1761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59" sqref="H59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2289793.9981288454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42519075.487824485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42519000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19621100.67142196</v>
      </c>
    </row>
    <row r="15" spans="2:36">
      <c r="B15" s="556"/>
      <c r="C15" s="560" t="s">
        <v>634</v>
      </c>
      <c r="H15" s="561">
        <f>12*PMT(Data!C24/12,Data!C29*12,-'Debt Calc'!H14)</f>
        <v>2289789.9328578059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-2049181.1379439719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-2049181.1379439719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42519000</v>
      </c>
      <c r="E21" s="561">
        <f>$H$15</f>
        <v>2289789.9328578059</v>
      </c>
      <c r="F21" s="561">
        <f>E21-G21</f>
        <v>0</v>
      </c>
      <c r="G21" s="561">
        <f>D21-H21</f>
        <v>2289789.932857804</v>
      </c>
      <c r="H21" s="561">
        <f>D21-E21</f>
        <v>40229210.067142196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40229210.067142196</v>
      </c>
      <c r="E22" s="561">
        <f t="shared" ref="E22:E50" si="1">$H$15</f>
        <v>2289789.9328578059</v>
      </c>
      <c r="F22" s="561">
        <f t="shared" ref="F22:F50" si="2">E22-G22</f>
        <v>0</v>
      </c>
      <c r="G22" s="561">
        <f t="shared" ref="G22:G50" si="3">D22-H22</f>
        <v>2289789.932857804</v>
      </c>
      <c r="H22" s="561">
        <f t="shared" ref="H22:H39" si="4">D22-E22</f>
        <v>37939420.134284392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37939420.134284392</v>
      </c>
      <c r="E23" s="561">
        <f t="shared" si="1"/>
        <v>2289789.9328578059</v>
      </c>
      <c r="F23" s="561">
        <f t="shared" si="2"/>
        <v>0</v>
      </c>
      <c r="G23" s="561">
        <f t="shared" si="3"/>
        <v>2289789.932857804</v>
      </c>
      <c r="H23" s="561">
        <f t="shared" si="4"/>
        <v>35649630.201426588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35649630.201426588</v>
      </c>
      <c r="E24" s="561">
        <f t="shared" si="1"/>
        <v>2289789.9328578059</v>
      </c>
      <c r="F24" s="561">
        <f t="shared" si="2"/>
        <v>0</v>
      </c>
      <c r="G24" s="561">
        <f t="shared" si="3"/>
        <v>2289789.932857804</v>
      </c>
      <c r="H24" s="561">
        <f t="shared" si="4"/>
        <v>33359840.268568784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33359840.268568784</v>
      </c>
      <c r="E25" s="561">
        <f t="shared" si="1"/>
        <v>2289789.9328578059</v>
      </c>
      <c r="F25" s="561">
        <f t="shared" si="2"/>
        <v>0</v>
      </c>
      <c r="G25" s="561">
        <f t="shared" si="3"/>
        <v>2289789.932857804</v>
      </c>
      <c r="H25" s="561">
        <f t="shared" si="4"/>
        <v>31070050.33571098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31070050.33571098</v>
      </c>
      <c r="E26" s="561">
        <f t="shared" si="1"/>
        <v>2289789.9328578059</v>
      </c>
      <c r="F26" s="561">
        <f t="shared" si="2"/>
        <v>0</v>
      </c>
      <c r="G26" s="561">
        <f t="shared" si="3"/>
        <v>2289789.932857804</v>
      </c>
      <c r="H26" s="561">
        <f t="shared" si="4"/>
        <v>28780260.402853176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28780260.402853176</v>
      </c>
      <c r="E27" s="561">
        <f t="shared" si="1"/>
        <v>2289789.9328578059</v>
      </c>
      <c r="F27" s="561">
        <f t="shared" si="2"/>
        <v>0</v>
      </c>
      <c r="G27" s="561">
        <f t="shared" si="3"/>
        <v>2289789.932857804</v>
      </c>
      <c r="H27" s="561">
        <f t="shared" si="4"/>
        <v>26490470.469995372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26490470.469995372</v>
      </c>
      <c r="E28" s="561">
        <f t="shared" si="1"/>
        <v>2289789.9328578059</v>
      </c>
      <c r="F28" s="561">
        <f t="shared" si="2"/>
        <v>0</v>
      </c>
      <c r="G28" s="561">
        <f t="shared" si="3"/>
        <v>2289789.932857804</v>
      </c>
      <c r="H28" s="561">
        <f t="shared" si="4"/>
        <v>24200680.537137568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24200680.537137568</v>
      </c>
      <c r="E29" s="561">
        <f t="shared" si="1"/>
        <v>2289789.9328578059</v>
      </c>
      <c r="F29" s="561">
        <f t="shared" si="2"/>
        <v>0</v>
      </c>
      <c r="G29" s="561">
        <f t="shared" si="3"/>
        <v>2289789.932857804</v>
      </c>
      <c r="H29" s="561">
        <f t="shared" si="4"/>
        <v>21910890.604279764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21910890.604279764</v>
      </c>
      <c r="E30" s="561">
        <f t="shared" si="1"/>
        <v>2289789.9328578059</v>
      </c>
      <c r="F30" s="561">
        <f t="shared" si="2"/>
        <v>0</v>
      </c>
      <c r="G30" s="561">
        <f t="shared" si="3"/>
        <v>2289789.932857804</v>
      </c>
      <c r="H30" s="561">
        <f>D30-E30</f>
        <v>19621100.67142196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19621100.67142196</v>
      </c>
      <c r="E31" s="561">
        <f t="shared" si="1"/>
        <v>2289789.9328578059</v>
      </c>
      <c r="F31" s="561">
        <f t="shared" si="2"/>
        <v>0</v>
      </c>
      <c r="G31" s="561">
        <f t="shared" si="3"/>
        <v>2289789.932857804</v>
      </c>
      <c r="H31" s="561">
        <f t="shared" si="4"/>
        <v>17331310.738564156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17331310.738564156</v>
      </c>
      <c r="E32" s="561">
        <f t="shared" si="1"/>
        <v>2289789.9328578059</v>
      </c>
      <c r="F32" s="561">
        <f t="shared" si="2"/>
        <v>0</v>
      </c>
      <c r="G32" s="561">
        <f t="shared" si="3"/>
        <v>2289789.9328578059</v>
      </c>
      <c r="H32" s="561">
        <f t="shared" si="4"/>
        <v>15041520.80570635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15041520.80570635</v>
      </c>
      <c r="E33" s="561">
        <f t="shared" si="1"/>
        <v>2289789.9328578059</v>
      </c>
      <c r="F33" s="561">
        <f t="shared" si="2"/>
        <v>0</v>
      </c>
      <c r="G33" s="561">
        <f t="shared" si="3"/>
        <v>2289789.9328578059</v>
      </c>
      <c r="H33" s="561">
        <f t="shared" si="4"/>
        <v>12751730.872848544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12751730.872848544</v>
      </c>
      <c r="E34" s="561">
        <f t="shared" si="1"/>
        <v>2289789.9328578059</v>
      </c>
      <c r="F34" s="561">
        <f t="shared" si="2"/>
        <v>0</v>
      </c>
      <c r="G34" s="561">
        <f t="shared" si="3"/>
        <v>2289789.9328578059</v>
      </c>
      <c r="H34" s="561">
        <f t="shared" si="4"/>
        <v>10461940.939990738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10461940.939990738</v>
      </c>
      <c r="E35" s="561">
        <f t="shared" si="1"/>
        <v>2289789.9328578059</v>
      </c>
      <c r="F35" s="561">
        <f t="shared" si="2"/>
        <v>0</v>
      </c>
      <c r="G35" s="561">
        <f t="shared" si="3"/>
        <v>2289789.9328578059</v>
      </c>
      <c r="H35" s="561">
        <f t="shared" si="4"/>
        <v>8172151.0071329325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8172151.0071329325</v>
      </c>
      <c r="E36" s="561">
        <f t="shared" si="1"/>
        <v>2289789.9328578059</v>
      </c>
      <c r="F36" s="561">
        <f t="shared" si="2"/>
        <v>0</v>
      </c>
      <c r="G36" s="561">
        <f t="shared" si="3"/>
        <v>2289789.9328578059</v>
      </c>
      <c r="H36" s="561">
        <f t="shared" si="4"/>
        <v>5882361.0742751267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5882361.0742751267</v>
      </c>
      <c r="E37" s="561">
        <f t="shared" si="1"/>
        <v>2289789.9328578059</v>
      </c>
      <c r="F37" s="561">
        <f t="shared" si="2"/>
        <v>0</v>
      </c>
      <c r="G37" s="561">
        <f t="shared" si="3"/>
        <v>2289789.9328578059</v>
      </c>
      <c r="H37" s="561">
        <f t="shared" si="4"/>
        <v>3592571.1414173208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3592571.1414173208</v>
      </c>
      <c r="E38" s="561">
        <f t="shared" si="1"/>
        <v>2289789.9328578059</v>
      </c>
      <c r="F38" s="561">
        <f t="shared" si="2"/>
        <v>0</v>
      </c>
      <c r="G38" s="561">
        <f t="shared" si="3"/>
        <v>2289789.9328578059</v>
      </c>
      <c r="H38" s="561">
        <f>D38-E38</f>
        <v>1302781.208559515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1302781.208559515</v>
      </c>
      <c r="E39" s="561">
        <f t="shared" si="1"/>
        <v>2289789.9328578059</v>
      </c>
      <c r="F39" s="561">
        <f t="shared" si="2"/>
        <v>0</v>
      </c>
      <c r="G39" s="561">
        <f t="shared" si="3"/>
        <v>2289789.9328578059</v>
      </c>
      <c r="H39" s="561">
        <f t="shared" si="4"/>
        <v>-987008.72429829091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-987008.72429829091</v>
      </c>
      <c r="E40" s="561">
        <f t="shared" si="1"/>
        <v>2289789.9328578059</v>
      </c>
      <c r="F40" s="561">
        <f t="shared" si="2"/>
        <v>3276798.6571560968</v>
      </c>
      <c r="G40" s="561">
        <f t="shared" si="3"/>
        <v>-987008.72429829091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2289789.9328578059</v>
      </c>
      <c r="F41" s="561">
        <f t="shared" si="2"/>
        <v>2289789.9328578059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2289789.9328578059</v>
      </c>
      <c r="F42" s="561">
        <f t="shared" si="2"/>
        <v>2289789.9328578059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2289789.9328578059</v>
      </c>
      <c r="F43" s="561">
        <f t="shared" si="2"/>
        <v>2289789.9328578059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2289789.9328578059</v>
      </c>
      <c r="F44" s="561">
        <f t="shared" si="2"/>
        <v>2289789.9328578059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2289789.9328578059</v>
      </c>
      <c r="F45" s="561">
        <f t="shared" si="2"/>
        <v>2289789.9328578059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2289789.9328578059</v>
      </c>
      <c r="F46" s="561">
        <f t="shared" si="2"/>
        <v>2289789.9328578059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2289789.9328578059</v>
      </c>
      <c r="F47" s="561">
        <f t="shared" si="2"/>
        <v>2289789.9328578059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2289789.9328578059</v>
      </c>
      <c r="F48" s="561">
        <f t="shared" si="2"/>
        <v>2289789.9328578059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2289789.9328578059</v>
      </c>
      <c r="F49" s="561">
        <f t="shared" si="2"/>
        <v>2289789.9328578059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2289789.9328578059</v>
      </c>
      <c r="F50" s="561">
        <f t="shared" si="2"/>
        <v>2289789.9328578059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83729159.701372385</v>
      </c>
      <c r="F55" s="561"/>
      <c r="G55" s="1663" t="s">
        <v>1064</v>
      </c>
      <c r="H55" s="1667">
        <f>'Cash Flow'!N15/0.05</f>
        <v>90167147.121535689</v>
      </c>
    </row>
    <row r="56" spans="2:28">
      <c r="D56" s="1653" t="s">
        <v>1065</v>
      </c>
      <c r="E56" s="1665">
        <f>'Cash Flow'!K21/1.2</f>
        <v>2639858.5786349764</v>
      </c>
      <c r="F56" s="561"/>
      <c r="G56" s="1661" t="s">
        <v>1065</v>
      </c>
      <c r="H56" s="1668">
        <f>'Cash Flow'!N21/1.2</f>
        <v>2832917.1394152483</v>
      </c>
    </row>
    <row r="57" spans="2:28">
      <c r="D57" s="1653" t="s">
        <v>1066</v>
      </c>
      <c r="E57" s="1665">
        <f>E55*0.6</f>
        <v>50237495.820823431</v>
      </c>
      <c r="F57" s="561"/>
      <c r="G57" s="1661" t="s">
        <v>1066</v>
      </c>
      <c r="H57" s="1668">
        <f>H55*0.6</f>
        <v>54100288.272921413</v>
      </c>
    </row>
    <row r="58" spans="2:28">
      <c r="D58" s="1653" t="s">
        <v>1067</v>
      </c>
      <c r="E58" s="1665">
        <f>-PV(4%,34,E56)</f>
        <v>48602958.352559686</v>
      </c>
      <c r="F58" s="561"/>
      <c r="G58" s="1661" t="s">
        <v>1067</v>
      </c>
      <c r="H58" s="1668">
        <f>-PV(4%,30,H56)</f>
        <v>48986897.512791663</v>
      </c>
    </row>
    <row r="59" spans="2:28">
      <c r="D59" s="1652" t="s">
        <v>1068</v>
      </c>
      <c r="E59" s="1665">
        <f>E58-H27</f>
        <v>22112487.882564314</v>
      </c>
      <c r="F59" s="561"/>
      <c r="G59" s="1660" t="s">
        <v>1068</v>
      </c>
      <c r="H59" s="1668">
        <f>H58-H30</f>
        <v>29365796.841369703</v>
      </c>
    </row>
    <row r="60" spans="2:28" ht="13.5" thickBot="1">
      <c r="D60" s="1654" t="s">
        <v>1069</v>
      </c>
      <c r="E60" s="1666">
        <f>E59*GapCalc!I33</f>
        <v>18795614.700179666</v>
      </c>
      <c r="F60" s="561"/>
      <c r="G60" s="1662" t="s">
        <v>1069</v>
      </c>
      <c r="H60" s="1669">
        <f>H59*GapCalc!I33</f>
        <v>24960927.315164246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6565000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27406800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78740.478699999992</v>
      </c>
      <c r="C7" s="1417">
        <f>C4*E4</f>
        <v>328716.611064</v>
      </c>
      <c r="D7" s="1409">
        <f>(1-'Rental Income'!O19)</f>
        <v>0.5544554455445545</v>
      </c>
    </row>
    <row r="8" spans="1:5">
      <c r="A8" s="1410" t="s">
        <v>980</v>
      </c>
      <c r="B8" s="1417">
        <f>B7*D7</f>
        <v>43658.087200000002</v>
      </c>
      <c r="C8" s="1417">
        <f>C7*D7</f>
        <v>182258.71504538614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225916.80224538615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39370.239350000003</v>
      </c>
    </row>
    <row r="14" spans="1:5">
      <c r="A14" t="s">
        <v>992</v>
      </c>
      <c r="B14">
        <v>24</v>
      </c>
      <c r="C14" s="1425">
        <f>C3*(E3/12)*B14</f>
        <v>157480.95740000001</v>
      </c>
    </row>
    <row r="15" spans="1:5">
      <c r="A15" s="40" t="s">
        <v>994</v>
      </c>
      <c r="C15" s="1428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3794388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-189998.40000000002</v>
      </c>
      <c r="E18" s="50"/>
      <c r="F18" s="55">
        <v>0.05</v>
      </c>
    </row>
    <row r="19" spans="1:25">
      <c r="A19" s="40" t="s">
        <v>165</v>
      </c>
      <c r="D19" s="57">
        <f>SUM(D15:D18)</f>
        <v>3609969.6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52686.5</v>
      </c>
      <c r="E22" s="48">
        <v>1043</v>
      </c>
      <c r="F22" s="453" t="s">
        <v>172</v>
      </c>
      <c r="N22" s="428">
        <f>D22*0.8</f>
        <v>42149.200000000004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174</v>
      </c>
      <c r="D23" s="48">
        <f>(E23*$D$10-20)/2</f>
        <v>67357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9423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59429.279999999999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183</v>
      </c>
      <c r="D26" s="51">
        <f>SUM(D22:D25)</f>
        <v>188895.78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18786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10100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192</v>
      </c>
      <c r="D31" s="48">
        <f>E31*$D$10</f>
        <v>16564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194</v>
      </c>
      <c r="C32" s="43"/>
      <c r="D32" s="50">
        <f>E32*$D$10</f>
        <v>3030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48480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53530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202</v>
      </c>
      <c r="D37" s="48">
        <f>E37*$D$10</f>
        <v>79790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42521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175841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37269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26816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39996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13736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85850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5555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174177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225916.80224538615</v>
      </c>
      <c r="Y56" s="1309">
        <f>X56/'Rental Income'!D15</f>
        <v>2236.8000222315459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1088.5369710891089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84840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396.03960396039605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298500.93557871948</v>
      </c>
    </row>
    <row r="65" spans="1:25">
      <c r="B65" t="s">
        <v>250</v>
      </c>
      <c r="D65" s="48">
        <f>E65*$D$10</f>
        <v>15150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151990</v>
      </c>
      <c r="E67" s="48">
        <f>SUM(E62:E66)</f>
        <v>1571.0396039603961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30300</v>
      </c>
      <c r="E69" s="426">
        <v>300</v>
      </c>
    </row>
    <row r="70" spans="1:25">
      <c r="V70" s="40" t="s">
        <v>256</v>
      </c>
      <c r="X70" s="1307">
        <f>SUM(X68,X64,X54,X39,X31)</f>
        <v>609903.30891205277</v>
      </c>
      <c r="Y70" s="1307">
        <f>X70/D10</f>
        <v>6038.6466228916115</v>
      </c>
    </row>
    <row r="71" spans="1:25">
      <c r="A71" s="40" t="s">
        <v>257</v>
      </c>
      <c r="D71" s="48">
        <f>E71*$D$10</f>
        <v>50500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309">
        <f>Y70-6000</f>
        <v>38.646622891611514</v>
      </c>
    </row>
    <row r="75" spans="1:25">
      <c r="A75" s="44" t="s">
        <v>260</v>
      </c>
      <c r="B75" s="45"/>
      <c r="C75" s="45"/>
      <c r="D75" s="52">
        <f>D19-D73</f>
        <v>2615758.58592</v>
      </c>
      <c r="E75" s="52">
        <f>D75/D10</f>
        <v>25898.599860594059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91356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34408500</v>
      </c>
      <c r="C7" s="465">
        <f>'Dev Summary_5-20'!B8</f>
        <v>3190331</v>
      </c>
      <c r="D7" s="465">
        <f t="shared" ref="D7:D14" si="0">B7-C7</f>
        <v>31218169</v>
      </c>
      <c r="E7" s="477">
        <f t="shared" ref="E7:E15" si="1">D7/B7</f>
        <v>0.90728073005216736</v>
      </c>
      <c r="F7" s="477"/>
      <c r="G7" s="472" t="e">
        <f t="shared" ref="G7:G14" si="2">B7/$B$15</f>
        <v>#REF!</v>
      </c>
      <c r="I7" s="147">
        <f>B7/$H$4</f>
        <v>312804.54545454547</v>
      </c>
      <c r="J7" s="53">
        <f>B7/$H$5</f>
        <v>376.6419282805727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187321.16073915965</v>
      </c>
      <c r="C9" s="446">
        <f>'Dev Summary_5-20'!B10</f>
        <v>50000</v>
      </c>
      <c r="D9" s="446">
        <f t="shared" si="0"/>
        <v>137321.16073915965</v>
      </c>
      <c r="E9" s="477">
        <f t="shared" si="1"/>
        <v>0.73307874133011686</v>
      </c>
      <c r="F9" s="477"/>
      <c r="G9" s="473" t="e">
        <f t="shared" si="2"/>
        <v>#REF!</v>
      </c>
      <c r="I9" s="53">
        <f t="shared" si="3"/>
        <v>1702.9196430832694</v>
      </c>
      <c r="J9" s="53">
        <f t="shared" si="4"/>
        <v>2.0504527424488774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0.35027803318884365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2.1547703133893776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19.739798152283374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42519075.487824485</v>
      </c>
      <c r="C21" s="48">
        <v>18731659</v>
      </c>
      <c r="D21" s="48">
        <f>B21-C21</f>
        <v>23787416.487824485</v>
      </c>
      <c r="E21" s="55">
        <f>D21/B21</f>
        <v>0.55945281535192626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5620653.9457750246</v>
      </c>
      <c r="C28" s="50"/>
      <c r="D28" s="50">
        <f t="shared" si="5"/>
        <v>5620653.9457750246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37849350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34564.415000000001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31107.9735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293919.25416666665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37849350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8705.3505000000005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368296.99316666665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30279480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42633.241880000001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30279480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49720.741880000001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2" t="s">
        <v>456</v>
      </c>
      <c r="B5" s="1763"/>
      <c r="C5" s="1763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2" t="s">
        <v>470</v>
      </c>
      <c r="B5" s="1763"/>
      <c r="C5" s="1763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411102</v>
      </c>
      <c r="E10" s="748">
        <f>'PreDev Flow of Funds'!Y10+'PreDev Flow of Funds'!Y12</f>
        <v>1395966</v>
      </c>
      <c r="F10" s="748">
        <f>(D10-E10)/18</f>
        <v>-54714.666666666664</v>
      </c>
      <c r="G10" s="748">
        <f>$F$10</f>
        <v>-54714.666666666664</v>
      </c>
      <c r="H10" s="748">
        <f t="shared" ref="H10:W10" si="2">$F$10</f>
        <v>-54714.666666666664</v>
      </c>
      <c r="I10" s="748">
        <f t="shared" si="2"/>
        <v>-54714.666666666664</v>
      </c>
      <c r="J10" s="748">
        <f t="shared" si="2"/>
        <v>-54714.666666666664</v>
      </c>
      <c r="K10" s="748">
        <f t="shared" si="2"/>
        <v>-54714.666666666664</v>
      </c>
      <c r="L10" s="748">
        <f t="shared" si="2"/>
        <v>-54714.666666666664</v>
      </c>
      <c r="M10" s="748">
        <f t="shared" si="2"/>
        <v>-54714.666666666664</v>
      </c>
      <c r="N10" s="748">
        <f t="shared" si="2"/>
        <v>-54714.666666666664</v>
      </c>
      <c r="O10" s="748">
        <f t="shared" si="2"/>
        <v>-54714.666666666664</v>
      </c>
      <c r="P10" s="748">
        <f t="shared" si="2"/>
        <v>-54714.666666666664</v>
      </c>
      <c r="Q10" s="748">
        <f t="shared" si="2"/>
        <v>-54714.666666666664</v>
      </c>
      <c r="R10" s="748">
        <f t="shared" si="2"/>
        <v>-54714.666666666664</v>
      </c>
      <c r="S10" s="748">
        <f t="shared" si="2"/>
        <v>-54714.666666666664</v>
      </c>
      <c r="T10" s="748">
        <f t="shared" si="2"/>
        <v>-54714.666666666664</v>
      </c>
      <c r="U10" s="748">
        <f t="shared" si="2"/>
        <v>-54714.666666666664</v>
      </c>
      <c r="V10" s="748">
        <f t="shared" si="2"/>
        <v>-54714.666666666664</v>
      </c>
      <c r="W10" s="748">
        <f t="shared" si="2"/>
        <v>-54714.666666666664</v>
      </c>
      <c r="X10" s="748"/>
      <c r="Y10" s="748">
        <f>SUM(E10:W10)</f>
        <v>411101.99999999983</v>
      </c>
    </row>
    <row r="11" spans="1:25" ht="15">
      <c r="A11" s="402"/>
      <c r="B11" s="403" t="s">
        <v>388</v>
      </c>
      <c r="C11" s="748"/>
      <c r="D11" s="748">
        <f>'Development Budget'!G41</f>
        <v>411102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34408500</v>
      </c>
      <c r="E13" s="748">
        <f>'PreDev Flow of Funds'!Y14</f>
        <v>69798.3</v>
      </c>
      <c r="F13" s="748">
        <f>(D13-E13)/18</f>
        <v>1907705.6500000001</v>
      </c>
      <c r="G13" s="748">
        <f>$F$13</f>
        <v>1907705.6500000001</v>
      </c>
      <c r="H13" s="748">
        <f t="shared" ref="H13:W13" si="5">$F$13</f>
        <v>1907705.6500000001</v>
      </c>
      <c r="I13" s="748">
        <f t="shared" si="5"/>
        <v>1907705.6500000001</v>
      </c>
      <c r="J13" s="748">
        <f t="shared" si="5"/>
        <v>1907705.6500000001</v>
      </c>
      <c r="K13" s="748">
        <f t="shared" si="5"/>
        <v>1907705.6500000001</v>
      </c>
      <c r="L13" s="748">
        <f t="shared" si="5"/>
        <v>1907705.6500000001</v>
      </c>
      <c r="M13" s="748">
        <f t="shared" si="5"/>
        <v>1907705.6500000001</v>
      </c>
      <c r="N13" s="748">
        <f t="shared" si="5"/>
        <v>1907705.6500000001</v>
      </c>
      <c r="O13" s="748">
        <f t="shared" si="5"/>
        <v>1907705.6500000001</v>
      </c>
      <c r="P13" s="748">
        <f t="shared" si="5"/>
        <v>1907705.6500000001</v>
      </c>
      <c r="Q13" s="748">
        <f t="shared" si="5"/>
        <v>1907705.6500000001</v>
      </c>
      <c r="R13" s="748">
        <f t="shared" si="5"/>
        <v>1907705.6500000001</v>
      </c>
      <c r="S13" s="748">
        <f t="shared" si="5"/>
        <v>1907705.6500000001</v>
      </c>
      <c r="T13" s="748">
        <f t="shared" si="5"/>
        <v>1907705.6500000001</v>
      </c>
      <c r="U13" s="748">
        <f t="shared" si="5"/>
        <v>1907705.6500000001</v>
      </c>
      <c r="V13" s="748">
        <f t="shared" si="5"/>
        <v>1907705.6500000001</v>
      </c>
      <c r="W13" s="748">
        <f t="shared" si="5"/>
        <v>1907705.6500000001</v>
      </c>
      <c r="X13" s="748"/>
      <c r="Y13" s="748">
        <f t="shared" si="3"/>
        <v>34408499.999999993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34408500</v>
      </c>
      <c r="E15" s="748">
        <f>'PreDev Flow of Funds'!Y16+'PreDev Flow of Funds'!Y17+'PreDev Flow of Funds'!Y19</f>
        <v>72500</v>
      </c>
      <c r="F15" s="748">
        <f>(D15-E15)/18</f>
        <v>1907555.5555555555</v>
      </c>
      <c r="G15" s="748">
        <f>$F$15</f>
        <v>1907555.5555555555</v>
      </c>
      <c r="H15" s="748">
        <f t="shared" ref="H15:W15" si="7">$F$15</f>
        <v>1907555.5555555555</v>
      </c>
      <c r="I15" s="748">
        <f t="shared" si="7"/>
        <v>1907555.5555555555</v>
      </c>
      <c r="J15" s="748">
        <f t="shared" si="7"/>
        <v>1907555.5555555555</v>
      </c>
      <c r="K15" s="748">
        <f t="shared" si="7"/>
        <v>1907555.5555555555</v>
      </c>
      <c r="L15" s="748">
        <f t="shared" si="7"/>
        <v>1907555.5555555555</v>
      </c>
      <c r="M15" s="748">
        <f t="shared" si="7"/>
        <v>1907555.5555555555</v>
      </c>
      <c r="N15" s="748">
        <f t="shared" si="7"/>
        <v>1907555.5555555555</v>
      </c>
      <c r="O15" s="748">
        <f t="shared" si="7"/>
        <v>1907555.5555555555</v>
      </c>
      <c r="P15" s="748">
        <f t="shared" si="7"/>
        <v>1907555.5555555555</v>
      </c>
      <c r="Q15" s="748">
        <f t="shared" si="7"/>
        <v>1907555.5555555555</v>
      </c>
      <c r="R15" s="748">
        <f t="shared" si="7"/>
        <v>1907555.5555555555</v>
      </c>
      <c r="S15" s="748">
        <f t="shared" si="7"/>
        <v>1907555.5555555555</v>
      </c>
      <c r="T15" s="748">
        <f t="shared" si="7"/>
        <v>1907555.5555555555</v>
      </c>
      <c r="U15" s="748">
        <f t="shared" si="7"/>
        <v>1907555.5555555555</v>
      </c>
      <c r="V15" s="748">
        <f t="shared" si="7"/>
        <v>1907555.5555555555</v>
      </c>
      <c r="W15" s="748">
        <f t="shared" si="7"/>
        <v>1907555.5555555555</v>
      </c>
      <c r="X15" s="748"/>
      <c r="Y15" s="748">
        <f t="shared" si="3"/>
        <v>34408500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27406800</v>
      </c>
      <c r="E33" s="748">
        <v>0</v>
      </c>
      <c r="F33" s="748">
        <f>D33</f>
        <v>27406800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27406800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86021.25</v>
      </c>
      <c r="E43" s="748">
        <f>D43</f>
        <v>86021.25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86021.25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277021.25</v>
      </c>
      <c r="E52" s="748">
        <f>D52</f>
        <v>277021.25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277021.25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187321.16073915965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15208195.574999997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36898421.54204946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-12677085.385449853</v>
      </c>
      <c r="E87" s="749">
        <f>E80-E84-E85-E86-E88-E89-E90-E91</f>
        <v>367042.49999999627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15208195.574999997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2"/>
      <c r="B5" s="1763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4"/>
      <c r="B6" s="1766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2"/>
      <c r="B39" s="1763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4"/>
      <c r="B40" s="1766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2"/>
      <c r="B72" s="1763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4"/>
      <c r="B73" s="1765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7" t="s">
        <v>590</v>
      </c>
      <c r="D74" s="1768"/>
      <c r="E74" s="1768"/>
      <c r="F74" s="1768"/>
      <c r="G74" s="1768"/>
      <c r="H74" s="1768"/>
      <c r="I74" s="1769"/>
      <c r="J74" s="1770" t="s">
        <v>583</v>
      </c>
      <c r="K74" s="1771"/>
      <c r="L74" s="1771"/>
      <c r="M74" s="1771"/>
      <c r="N74" s="1771"/>
      <c r="O74" s="1772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7"/>
      <c r="D78" s="1768"/>
      <c r="E78" s="1768"/>
      <c r="F78" s="1768"/>
      <c r="G78" s="1768"/>
      <c r="H78" s="1768"/>
      <c r="I78" s="1769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7"/>
      <c r="D85" s="1768"/>
      <c r="E85" s="1768"/>
      <c r="F85" s="1768"/>
      <c r="G85" s="1768"/>
      <c r="H85" s="1768"/>
      <c r="I85" s="1769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7"/>
      <c r="D91" s="1768"/>
      <c r="E91" s="1768"/>
      <c r="F91" s="1768"/>
      <c r="G91" s="1768"/>
      <c r="H91" s="1768"/>
      <c r="I91" s="1769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-1347342.5774999999</v>
      </c>
      <c r="K103" s="162">
        <f>J103+(C116*0.25)/2</f>
        <v>-2694685.1549999998</v>
      </c>
      <c r="L103" s="162">
        <f>K103+((C116-K103)/4)</f>
        <v>-4715699.0212500002</v>
      </c>
      <c r="M103" s="162">
        <f>L103+((C116-K103)/4)</f>
        <v>-6736712.8875000002</v>
      </c>
      <c r="N103" s="162">
        <f>M103+((C116-K103)/4)</f>
        <v>-8757726.7537500001</v>
      </c>
      <c r="O103" s="162">
        <f>N103+((C116-K103)/4)</f>
        <v>-10778740.620000001</v>
      </c>
      <c r="P103" s="162">
        <f>O103</f>
        <v>-10778740.620000001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9992480.7408333328</v>
      </c>
      <c r="K104" s="371">
        <f>((C117-1033493)/6)+J104</f>
        <v>19984961.481666666</v>
      </c>
      <c r="L104" s="371">
        <f>((C117-1033493)/6)+K104</f>
        <v>29977442.222499996</v>
      </c>
      <c r="M104" s="371">
        <f>((C117-1033493)/6)+L104</f>
        <v>39969922.963333331</v>
      </c>
      <c r="N104" s="371">
        <f>((C117-1033493)/6)+M104</f>
        <v>49962403.704166666</v>
      </c>
      <c r="O104" s="371">
        <f>((C117-1033493)/6)+N104</f>
        <v>59954884.445</v>
      </c>
      <c r="P104" s="371">
        <f>(286645+100000+646848)+O104</f>
        <v>60988377.445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8645138.1633333322</v>
      </c>
      <c r="K110" s="371">
        <f t="shared" ref="K110:P110" si="9">SUM(K103:K104)</f>
        <v>17290276.326666664</v>
      </c>
      <c r="L110" s="371">
        <f t="shared" si="9"/>
        <v>25261743.201249994</v>
      </c>
      <c r="M110" s="371">
        <f t="shared" si="9"/>
        <v>33233210.075833332</v>
      </c>
      <c r="N110" s="371">
        <f t="shared" si="9"/>
        <v>41204676.950416669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5">
        <f>'PreDev Flow of Funds'!D47</f>
        <v>14824249.954999998</v>
      </c>
      <c r="D114" s="1774"/>
    </row>
    <row r="115" spans="2:19">
      <c r="B115" s="397" t="s">
        <v>601</v>
      </c>
      <c r="C115" s="1776">
        <f>M102</f>
        <v>1323400.22</v>
      </c>
      <c r="D115" s="1774"/>
    </row>
    <row r="116" spans="2:19">
      <c r="B116" s="397" t="s">
        <v>583</v>
      </c>
      <c r="C116" s="1776">
        <f>'Development Budget'!G37-Predevelopment!D27-Predevelopment!D28-Predevelopment!D29-Timeline!M102-Predevelopment!D17</f>
        <v>-10778740.619999999</v>
      </c>
      <c r="D116" s="1774"/>
    </row>
    <row r="117" spans="2:19" ht="16.5" thickBot="1">
      <c r="B117" s="398" t="s">
        <v>602</v>
      </c>
      <c r="C117" s="1777">
        <f>C118-C114-C116-C115</f>
        <v>60988377.445</v>
      </c>
      <c r="D117" s="1778"/>
    </row>
    <row r="118" spans="2:19" ht="16.5" thickTop="1">
      <c r="B118" s="368" t="s">
        <v>586</v>
      </c>
      <c r="C118" s="1773">
        <v>66357287</v>
      </c>
      <c r="D118" s="1774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