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Low Cost Financing\"/>
    </mc:Choice>
  </mc:AlternateContent>
  <xr:revisionPtr revIDLastSave="0" documentId="13_ncr:1_{B1642A8B-6C93-448F-BC58-2AA3FB22578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<sst xmlns="http://schemas.openxmlformats.org/spreadsheetml/2006/main" count="1995" uniqueCount="1106">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</sst>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8" workbookViewId="0">
      <selection activeCell="D28" sqref="D28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151</v>
      </c>
      <c r="E10" s="699"/>
    </row>
    <row r="11" spans="1:5">
      <c r="A11" s="690"/>
      <c r="B11" s="698" t="s">
        <v>11</v>
      </c>
      <c r="C11" s="698"/>
      <c r="D11" s="700">
        <f>D12+D13</f>
        <v>138036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138036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1095</v>
      </c>
      <c r="B14" s="1691"/>
      <c r="C14" s="1691"/>
      <c r="D14" s="1715" t="s">
        <v>1104</v>
      </c>
      <c r="E14" s="700"/>
    </row>
    <row r="15" spans="1:5">
      <c r="A15" s="1582" t="s">
        <v>1092</v>
      </c>
      <c r="B15" s="1678"/>
      <c r="C15" s="1685"/>
      <c r="D15" s="1679" cm="1">
        <f t="array" aca="1" ref="D15" ca="1">IF(D14="Year 7 Takeout", INDIRECT("GapCalc!K46"), INDIRECT("GapCalc!K58"))</f>
        <v>8.2350688281582943E-2</v>
      </c>
      <c r="E15" s="700"/>
    </row>
    <row r="16" spans="1:5">
      <c r="A16" s="1681" t="s">
        <v>1093</v>
      </c>
      <c r="B16" s="702"/>
      <c r="D16" s="1680" cm="1">
        <f t="array" aca="1" ref="D16" ca="1">IF(D14="Year 7 Takeout", INDIRECT("GapCalc!K51"), INDIRECT("GapCalc!K63"))</f>
        <v>8.2350688281582915E-2</v>
      </c>
      <c r="E16" s="700"/>
    </row>
    <row r="17" spans="1:6">
      <c r="A17" s="1686"/>
      <c r="B17" s="702"/>
      <c r="D17" s="1682"/>
      <c r="E17" s="1753" t="s">
        <v>962</v>
      </c>
    </row>
    <row r="18" spans="1:6">
      <c r="A18" s="1683" t="s">
        <v>1094</v>
      </c>
      <c r="B18" s="47"/>
      <c r="C18" s="47"/>
      <c r="D18" s="1684" cm="1">
        <f t="array" aca="1" ref="D18" ca="1">IF(D14="Year 7 Takeout", INDIRECT("GapCalc!I55"), INDIRECT("GapCalc!I67"))</f>
        <v>-933826.10451302165</v>
      </c>
      <c r="E18" s="1754">
        <f ca="1">D18/-D28</f>
        <v>1.0420734411228268E-2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10055000</v>
      </c>
      <c r="E21" s="1531">
        <f>D21/$D$10</f>
        <v>66589.403973509936</v>
      </c>
    </row>
    <row r="22" spans="1:6">
      <c r="A22" s="64"/>
      <c r="B22" s="4" t="s">
        <v>16</v>
      </c>
      <c r="C22" s="4"/>
      <c r="D22" s="1531">
        <f>'Development Budget'!G44</f>
        <v>57311708.750000007</v>
      </c>
      <c r="E22" s="1531">
        <f t="shared" ref="E22:E28" si="0">D22/$D$10</f>
        <v>379547.74006622523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1863720</v>
      </c>
      <c r="E23" s="1531">
        <f t="shared" si="0"/>
        <v>12342.51655629139</v>
      </c>
    </row>
    <row r="24" spans="1:6">
      <c r="A24" s="64"/>
      <c r="B24" s="4" t="s">
        <v>18</v>
      </c>
      <c r="C24" s="4"/>
      <c r="D24" s="1531">
        <f>'Development Budget'!G97</f>
        <v>2622699</v>
      </c>
      <c r="E24" s="1531">
        <f t="shared" si="0"/>
        <v>17368.867549668874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4515646.6684568534</v>
      </c>
      <c r="E25" s="1531">
        <f t="shared" si="0"/>
        <v>29904.944824217571</v>
      </c>
    </row>
    <row r="26" spans="1:6">
      <c r="A26" s="64"/>
      <c r="B26" s="4" t="s">
        <v>20</v>
      </c>
      <c r="C26" s="4"/>
      <c r="D26" s="1531">
        <f>'Development Budget'!G181</f>
        <v>3726229.3253831677</v>
      </c>
      <c r="E26" s="1531">
        <f t="shared" si="0"/>
        <v>24677.015399888529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9517308.3698657602</v>
      </c>
      <c r="E27" s="1532">
        <f t="shared" si="0"/>
        <v>63028.532250766621</v>
      </c>
    </row>
    <row r="28" spans="1:6" ht="16.5" thickTop="1">
      <c r="A28" s="4"/>
      <c r="B28" s="4"/>
      <c r="C28" s="150" t="s">
        <v>14</v>
      </c>
      <c r="D28" s="1533">
        <f>SUM(D21:D27)</f>
        <v>89612312.113705784</v>
      </c>
      <c r="E28" s="1531">
        <f t="shared" si="0"/>
        <v>593459.02062056807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61185169.041633822</v>
      </c>
      <c r="E32" s="1586">
        <f t="shared" si="1"/>
        <v>405199.79497770744</v>
      </c>
    </row>
    <row r="33" spans="1:5">
      <c r="A33" s="64"/>
      <c r="B33" s="4" t="s">
        <v>1052</v>
      </c>
      <c r="C33" s="4"/>
      <c r="D33" s="1587">
        <f>GapCalc!D29</f>
        <v>4264071.4608107936</v>
      </c>
      <c r="E33" s="1586">
        <f>D33/$D$10</f>
        <v>28238.883846429097</v>
      </c>
    </row>
    <row r="34" spans="1:5">
      <c r="A34" s="65"/>
      <c r="B34" s="4" t="s">
        <v>26</v>
      </c>
      <c r="C34" s="4"/>
      <c r="D34" s="1587">
        <f>GapCalc!D30</f>
        <v>24163071.611261163</v>
      </c>
      <c r="E34" s="1586">
        <f>D34/$D$10</f>
        <v>160020.34179643154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89612312.113705784</v>
      </c>
      <c r="E36" s="1586">
        <f>D36/$D$10</f>
        <v>593459.02062056807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64986306.844423294</v>
      </c>
      <c r="E40" s="1586">
        <f t="shared" ref="E40" si="2">D40/$D$10</f>
        <v>430372.89300942578</v>
      </c>
    </row>
    <row r="41" spans="1:5">
      <c r="A41" s="60"/>
      <c r="B41" s="4" t="s">
        <v>1052</v>
      </c>
      <c r="C41" s="4"/>
      <c r="D41" s="1591">
        <f>GapCalc!D29+GapCalc!D38</f>
        <v>4264071.4608107936</v>
      </c>
      <c r="E41" s="1586">
        <f>D41/$D$10</f>
        <v>28238.883846429097</v>
      </c>
    </row>
    <row r="42" spans="1:5">
      <c r="A42" s="60"/>
      <c r="B42" s="1557" t="s">
        <v>26</v>
      </c>
      <c r="C42" s="4"/>
      <c r="D42" s="1592">
        <f>GapCalc!D30+GapCalc!D39</f>
        <v>24163071.611261163</v>
      </c>
      <c r="E42" s="1586">
        <f>D42/$D$10</f>
        <v>160020.34179643154</v>
      </c>
    </row>
    <row r="43" spans="1:5">
      <c r="A43" s="60"/>
      <c r="B43" s="1714" t="s">
        <v>1103</v>
      </c>
      <c r="C43" s="4"/>
      <c r="D43" s="1592">
        <f>IF(D32-D40&gt;0,0,D32-D40)</f>
        <v>-3801137.802789472</v>
      </c>
      <c r="E43" s="1586">
        <f>D43/$D$10</f>
        <v>-25173.098031718357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89612312.113705784</v>
      </c>
      <c r="E45" s="1588">
        <f>D45/$D$10</f>
        <v>593459.02062056807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2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151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138036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138036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10055000</v>
      </c>
      <c r="E17" s="1531">
        <f>D17/$D$11</f>
        <v>66589.403973509936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57311708.750000007</v>
      </c>
      <c r="E18" s="1531">
        <f t="shared" ref="E18:E24" si="0">D18/$D$11</f>
        <v>379547.74006622523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1863720</v>
      </c>
      <c r="E19" s="1531">
        <f t="shared" si="0"/>
        <v>12342.51655629139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2622699</v>
      </c>
      <c r="E20" s="1531">
        <f t="shared" si="0"/>
        <v>17368.867549668874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4515646.6684568534</v>
      </c>
      <c r="E21" s="1531">
        <f t="shared" si="0"/>
        <v>29904.944824217571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3726229.3253831677</v>
      </c>
      <c r="E22" s="1531">
        <f t="shared" si="0"/>
        <v>24677.015399888529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9517308.3698657602</v>
      </c>
      <c r="E23" s="1532">
        <f t="shared" si="0"/>
        <v>63028.532250766621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89612312.113705784</v>
      </c>
      <c r="E24" s="1531">
        <f t="shared" si="0"/>
        <v>593459.02062056807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61185169.041633822</v>
      </c>
      <c r="E28" s="1586">
        <f t="shared" si="1"/>
        <v>405199.79497770744</v>
      </c>
      <c r="F28" s="62"/>
      <c r="G28" s="1419" t="s">
        <v>609</v>
      </c>
      <c r="H28" s="1608">
        <f>H32/D11</f>
        <v>28238.883846429097</v>
      </c>
      <c r="I28" s="703"/>
    </row>
    <row r="29" spans="1:10" ht="15.75">
      <c r="A29" s="64"/>
      <c r="B29" s="4" t="s">
        <v>1052</v>
      </c>
      <c r="C29" s="4"/>
      <c r="D29" s="1587">
        <v>4264071.4608107936</v>
      </c>
      <c r="E29" s="1586">
        <f>D29/$D$11</f>
        <v>28238.883846429097</v>
      </c>
      <c r="F29" s="520"/>
      <c r="G29" s="1420" t="s">
        <v>972</v>
      </c>
      <c r="H29" s="1609">
        <f>H33/D11</f>
        <v>160020.34179643154</v>
      </c>
      <c r="I29" s="703"/>
    </row>
    <row r="30" spans="1:10" ht="16.5" thickBot="1">
      <c r="A30" s="65"/>
      <c r="B30" s="4" t="s">
        <v>26</v>
      </c>
      <c r="C30" s="4"/>
      <c r="D30" s="1587">
        <v>24163071.611261163</v>
      </c>
      <c r="E30" s="1586">
        <f>D30/$D$11</f>
        <v>160020.34179643154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4264071.4608107936</v>
      </c>
      <c r="I32" s="1346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89612312.113705784</v>
      </c>
      <c r="E33" s="1586">
        <f>D33/$D$11</f>
        <v>593459.02062056807</v>
      </c>
      <c r="F33" s="62"/>
      <c r="G33" s="1441" t="s">
        <v>972</v>
      </c>
      <c r="H33" s="1611">
        <f>D30+D39</f>
        <v>24163071.611261163</v>
      </c>
      <c r="I33" s="1346">
        <f>H33/H34</f>
        <v>0.85000000000000009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28427143.072071955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0.31722363145816163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64986306.844423294</v>
      </c>
      <c r="E37" s="1586">
        <f t="shared" ref="E37" si="2">D37/$D$11</f>
        <v>430372.89300942578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0</v>
      </c>
      <c r="E38" s="1586">
        <f>D38/$D$11</f>
        <v>0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609</v>
      </c>
      <c r="H39" s="1616">
        <f>-D32*0.15</f>
        <v>0</v>
      </c>
      <c r="I39" s="1596">
        <f>D29+H39</f>
        <v>4264071.4608107936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24163071.611261163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3801137.802789472</v>
      </c>
      <c r="E41" s="1588">
        <f>D41/$D$11</f>
        <v>25173.098031718357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64986306.844423294</v>
      </c>
      <c r="E42" s="1586">
        <f>D42/$D$11</f>
        <v>430372.89300942578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-570170.67041842081</v>
      </c>
      <c r="I43" s="1596">
        <f>D38+H43</f>
        <v>-570170.67041842081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-3230967.1323710512</v>
      </c>
      <c r="I44" s="1596">
        <f>D39+H44</f>
        <v>-3230967.1323710512</v>
      </c>
      <c r="J44" s="690"/>
    </row>
    <row r="45" spans="1:12" ht="15.75">
      <c r="A45" s="60"/>
      <c r="D45" s="159"/>
      <c r="E45" s="159"/>
      <c r="G45" s="4"/>
      <c r="H45" s="1705" t="s">
        <v>1096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23369319.422425095</v>
      </c>
      <c r="J46" s="1582" t="s">
        <v>1084</v>
      </c>
      <c r="K46" s="1583">
        <f>'Cash Flow'!C76</f>
        <v>8.2350688281582943E-2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7404654.3489161124</v>
      </c>
      <c r="J47" s="1584" t="s">
        <v>1099</v>
      </c>
      <c r="K47" s="1607">
        <f>'Cash Flow'!C70</f>
        <v>38091990.6585529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-793752.18883606791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4123997.5451338398</v>
      </c>
      <c r="J51" s="1585" t="s">
        <v>1084</v>
      </c>
      <c r="K51" s="1618">
        <f>'Cash Flow'!H76</f>
        <v>8.2350688281582915E-2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4264071.4608107936</v>
      </c>
      <c r="J52" s="1584" t="s">
        <v>1098</v>
      </c>
      <c r="K52" s="1607">
        <f>'Cash Flow'!H70</f>
        <v>6722115.9985681586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-140073.91567695374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-933826.10451302165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1097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31653052.491021995</v>
      </c>
      <c r="J58" s="1582" t="s">
        <v>1084</v>
      </c>
      <c r="K58" s="1583">
        <f>'Cash Flow'!C103</f>
        <v>0.11352614597359519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1098</v>
      </c>
      <c r="K59" s="1607">
        <f>'Cash Flow'!C97</f>
        <v>51594475.560365848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7489980.8797608316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4561457.081866391</v>
      </c>
      <c r="J63" s="1585" t="s">
        <v>1084</v>
      </c>
      <c r="K63" s="1618">
        <f>'Cash Flow'!H103</f>
        <v>7.4367974640566936E-2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4264071.4608107936</v>
      </c>
      <c r="J64" s="1584" t="s">
        <v>1098</v>
      </c>
      <c r="K64" s="1607">
        <f>'Cash Flow'!H97</f>
        <v>7435175.0434422167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297385.62105559744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7787366.500816429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30" zoomScale="130" zoomScaleNormal="130" workbookViewId="0">
      <selection activeCell="P23" sqref="P22:P23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0.39735099337748342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0.59602649006622521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44</v>
      </c>
      <c r="E9" s="278">
        <f>IF(D9="","",D9/D$15)</f>
        <v>0.29139072847682118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1105</v>
      </c>
      <c r="N9" s="298">
        <f>E46+E183</f>
        <v>60</v>
      </c>
      <c r="O9" s="332">
        <f t="shared" si="0"/>
        <v>0.39735099337748342</v>
      </c>
    </row>
    <row r="10" spans="2:19" ht="12.75" customHeight="1">
      <c r="B10" s="268"/>
      <c r="C10" s="209" t="s">
        <v>53</v>
      </c>
      <c r="D10" s="210">
        <f>SUM(E24,E33,E42,E51,E60,E78,E69,E87,E96,E116,E106)</f>
        <v>29</v>
      </c>
      <c r="E10" s="278">
        <f>IF(D10="","",D10/D$15)</f>
        <v>0.19205298013245034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78</v>
      </c>
      <c r="E11" s="278">
        <f>IF(D11="","",D11/D$15)</f>
        <v>0.51655629139072845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90</v>
      </c>
      <c r="O13" s="332">
        <f>N13/$N$18</f>
        <v>0.59602649006622521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151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150</v>
      </c>
      <c r="O16" s="283">
        <f>SUM(O7:O15)</f>
        <v>0.99337748344370858</v>
      </c>
    </row>
    <row r="17" spans="2:21" ht="12.75" customHeight="1">
      <c r="B17" s="268"/>
      <c r="C17" s="201" t="s">
        <v>62</v>
      </c>
      <c r="E17" s="284">
        <f>SUM(J28+J37,J46,J55,J64,J82,J91,J73,J100,J120,J110)</f>
        <v>115030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6.6225165562913907E-3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486634</v>
      </c>
      <c r="F18" s="285"/>
      <c r="H18" s="286"/>
      <c r="I18" s="287"/>
      <c r="K18" s="226"/>
      <c r="M18" s="328" t="s">
        <v>10</v>
      </c>
      <c r="N18" s="1423">
        <f>N17+N16</f>
        <v>151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0.39735099337748342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0.6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1455.6</v>
      </c>
      <c r="H32" s="308">
        <f>$K$9</f>
        <v>0</v>
      </c>
      <c r="I32" s="228">
        <f>ROUND(G32-H32,0)</f>
        <v>1456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1560</v>
      </c>
      <c r="H33" s="308">
        <f>$K$10</f>
        <v>0</v>
      </c>
      <c r="I33" s="228">
        <f>ROUND(G33-H33,0)</f>
        <v>1560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1872</v>
      </c>
      <c r="H34" s="228">
        <f>$K$11</f>
        <v>0</v>
      </c>
      <c r="I34" s="228">
        <f>ROUND(G34-H34,0)</f>
        <v>1872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2163.6</v>
      </c>
      <c r="H35" s="228">
        <v>0</v>
      </c>
      <c r="I35" s="228">
        <f>ROUND(G35-H35,0)</f>
        <v>2164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30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12000</v>
      </c>
      <c r="K41" s="292">
        <f>E41*I41</f>
        <v>58230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16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10720</v>
      </c>
      <c r="K42" s="292">
        <f>E42*I42</f>
        <v>33280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14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14000</v>
      </c>
      <c r="K43" s="292">
        <f>E43*I43</f>
        <v>34944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60</v>
      </c>
      <c r="F46" s="203"/>
      <c r="G46" s="203"/>
      <c r="H46" s="246"/>
      <c r="I46" s="247"/>
      <c r="J46" s="296">
        <f>SUM(J41:J45)</f>
        <v>36720</v>
      </c>
      <c r="K46" s="297">
        <f>SUM(K41:K45)</f>
        <v>126454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14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5600</v>
      </c>
      <c r="K50" s="292">
        <f>E50*I50</f>
        <v>33600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13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8710</v>
      </c>
      <c r="K51" s="292">
        <f>E51*I51</f>
        <v>40560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63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63000</v>
      </c>
      <c r="K52" s="292">
        <f>E52*I52</f>
        <v>286020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90</v>
      </c>
      <c r="F55" s="247"/>
      <c r="G55" s="247"/>
      <c r="H55" s="246"/>
      <c r="I55" s="247"/>
      <c r="J55" s="296">
        <f>SUM(J50:J54)</f>
        <v>77310</v>
      </c>
      <c r="K55" s="297">
        <f>SUM(K50:K54)</f>
        <v>360180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151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90" zoomScaleNormal="100" workbookViewId="0">
      <selection activeCell="N103" sqref="N103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3801137.802789472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151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85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9880000</v>
      </c>
      <c r="F18" s="845"/>
      <c r="G18" s="1392">
        <f>E18</f>
        <v>9880000</v>
      </c>
      <c r="H18" s="950"/>
      <c r="I18" s="950">
        <f>G18/$F$9</f>
        <v>65430.463576158938</v>
      </c>
      <c r="J18" s="1015"/>
      <c r="K18" s="1016"/>
      <c r="L18" s="1016"/>
      <c r="M18" s="1431">
        <f>F9*N17</f>
        <v>9815000</v>
      </c>
      <c r="N18" s="1674">
        <v>9880000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9880000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165.56291390728478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993.37748344370857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10055000</v>
      </c>
      <c r="H28" s="1333"/>
      <c r="I28" s="1325">
        <f t="shared" si="0"/>
        <v>66589.403973509936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10055000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45729367</v>
      </c>
      <c r="H32" s="1039"/>
      <c r="I32" s="950">
        <f t="shared" si="0"/>
        <v>302843.49006622517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50302303.700000003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41410800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4318567.0000000009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4572936.7</v>
      </c>
      <c r="G36" s="854">
        <f>F36</f>
        <v>4572936.7</v>
      </c>
      <c r="H36" s="950"/>
      <c r="I36" s="950">
        <f t="shared" si="0"/>
        <v>30284.349006622517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3201055.6900000004</v>
      </c>
      <c r="H37" s="1072"/>
      <c r="I37" s="950">
        <f t="shared" si="0"/>
        <v>21199.044304635765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3201055.6900000004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2286468.35</v>
      </c>
      <c r="H38" s="1072"/>
      <c r="I38" s="950">
        <f t="shared" si="0"/>
        <v>15142.174503311258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2286468.35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685940.505</v>
      </c>
      <c r="H40" s="1072"/>
      <c r="I40" s="950">
        <f t="shared" si="0"/>
        <v>4542.6523509933777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685940.505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685940.505</v>
      </c>
      <c r="H41" s="1072"/>
      <c r="I41" s="950">
        <f t="shared" si="0"/>
        <v>4542.6523509933777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685940.505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57311708.750000007</v>
      </c>
      <c r="H44" s="1324"/>
      <c r="I44" s="1325">
        <f t="shared" si="0"/>
        <v>379547.74006622523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57311708.750000007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57311708.750000007</v>
      </c>
      <c r="H46" s="1333"/>
      <c r="I46" s="1325">
        <f t="shared" si="0"/>
        <v>379547.74006622523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57311708.750000007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5731170.8750000009</v>
      </c>
      <c r="H47" s="1039"/>
      <c r="I47" s="950">
        <f t="shared" si="0"/>
        <v>37954.774006622523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5731170.8750000009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50585</v>
      </c>
      <c r="G49" s="1092">
        <f>F49</f>
        <v>50585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55568</v>
      </c>
      <c r="G50" s="1092">
        <f>F50</f>
        <v>55568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8.112582781456954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107378</v>
      </c>
      <c r="H52" s="1101"/>
      <c r="I52" s="950">
        <f t="shared" si="0"/>
        <v>711.11258278145692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107378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1731800</v>
      </c>
      <c r="H54" s="1039"/>
      <c r="I54" s="950">
        <f t="shared" si="0"/>
        <v>11468.874172185431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1731800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1090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1568000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1568000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101920</v>
      </c>
      <c r="H57" s="1117"/>
      <c r="I57" s="950">
        <f t="shared" si="0"/>
        <v>674.96688741721857</v>
      </c>
      <c r="J57" s="1015"/>
      <c r="K57" s="1118"/>
      <c r="L57" s="1119"/>
      <c r="M57" s="1120">
        <f>(5000*F9)*1.6</f>
        <v>1208000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101920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198.67549668874173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1529440.7281249999</v>
      </c>
      <c r="H59" s="1128"/>
      <c r="I59" s="950">
        <f t="shared" si="0"/>
        <v>10128.746543874171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1863720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143279.27187500003</v>
      </c>
      <c r="H67" s="1039"/>
      <c r="I67" s="950">
        <f t="shared" si="0"/>
        <v>948.86935016556311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143279.27187500003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46.357615894039732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629.13907284768209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165.56291390728478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198.67549668874173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225.16556291390728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334279.27187500003</v>
      </c>
      <c r="H80" s="1101"/>
      <c r="I80" s="950">
        <f t="shared" si="0"/>
        <v>2213.7700124172188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334279.27187500003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2522699</v>
      </c>
      <c r="H90" s="1111"/>
      <c r="I90" s="950">
        <f t="shared" si="3"/>
        <v>16706.615894039736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2522699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51432</v>
      </c>
      <c r="G91" s="1110">
        <v>100000</v>
      </c>
      <c r="H91" s="1111"/>
      <c r="I91" s="950">
        <f t="shared" si="3"/>
        <v>662.25165562913912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f>M94</f>
        <v>1779837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1779837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392600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2622699</v>
      </c>
      <c r="H97" s="1101"/>
      <c r="I97" s="950">
        <f t="shared" si="3"/>
        <v>17368.867549668874</v>
      </c>
      <c r="J97" s="1102"/>
      <c r="K97" s="1166">
        <f>I97/I250</f>
        <v>2.9267172536204103E-2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2622699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246154.8713460635</v>
      </c>
      <c r="H102" s="1111"/>
      <c r="I102" s="950">
        <f t="shared" si="3"/>
        <v>1630.1647109010828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246154.8713460635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231154.8713460635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4594170.4128096383</v>
      </c>
      <c r="N103" s="1172">
        <v>4623097.4269212699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246154.8713460635</v>
      </c>
      <c r="H114" s="1101"/>
      <c r="I114" s="950">
        <f t="shared" si="3"/>
        <v>1630.1647109010828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246154.8713460635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2551897.4638606142</v>
      </c>
      <c r="H116" s="1177"/>
      <c r="I116" s="950">
        <f t="shared" si="3"/>
        <v>16899.98320437493</v>
      </c>
      <c r="J116" s="1178"/>
      <c r="K116" s="1179" t="s">
        <v>823</v>
      </c>
      <c r="L116" s="1073"/>
      <c r="M116" s="1180">
        <f>0.5*Data!C20*Data!C17/12*Data!C19</f>
        <v>2447406.7616653531</v>
      </c>
      <c r="N116" s="1181">
        <v>2551897.4638606142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2551897.4638606142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637974.36596515356</v>
      </c>
      <c r="H117" s="1094"/>
      <c r="I117" s="950">
        <f t="shared" si="3"/>
        <v>4224.9958010937326</v>
      </c>
      <c r="J117" s="1015"/>
      <c r="K117" s="1184" t="s">
        <v>825</v>
      </c>
      <c r="L117" s="1185"/>
      <c r="M117" s="1186">
        <f>0.01*Data!C20</f>
        <v>611851.69041633827</v>
      </c>
      <c r="N117" s="1172">
        <v>637974.36596515356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637974.36596515356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296251.30599999998</v>
      </c>
      <c r="H120" s="1039"/>
      <c r="I120" s="950">
        <f t="shared" si="3"/>
        <v>1961.929178807947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296251.30599999998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798427.37773631257</v>
      </c>
      <c r="H121" s="1117"/>
      <c r="I121" s="950">
        <f t="shared" si="3"/>
        <v>5287.5985280550503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798427.37773631257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798427.37773631257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105696.15489477303</v>
      </c>
      <c r="H125" s="1111"/>
      <c r="I125" s="950">
        <f t="shared" si="3"/>
        <v>699.97453572697373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105696.15489477303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95696.154894773033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91777.753562450729</v>
      </c>
      <c r="N126" s="1172">
        <v>95696.154894773033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101.98675496688742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4405646.6684568534</v>
      </c>
      <c r="H148" s="1128"/>
      <c r="I148" s="950">
        <f t="shared" si="6"/>
        <v>29176.468003025519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4405646.6684568534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724744.61907996854</v>
      </c>
      <c r="H151" s="1093"/>
      <c r="I151" s="950">
        <f t="shared" ref="I151:I158" si="7">G151/$F$9</f>
        <v>4799.6332389401887</v>
      </c>
      <c r="J151" s="1094"/>
      <c r="K151" s="1244" t="s">
        <v>863</v>
      </c>
      <c r="L151" s="1245"/>
      <c r="M151" s="1558">
        <f>Data!C31*Data!C30</f>
        <v>649863.06844423292</v>
      </c>
      <c r="N151" s="1345">
        <v>724744.61907996854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1089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5506665.2137470441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397.35099337748346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331.12582781456956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728.47682119205297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3726229.3253831677</v>
      </c>
      <c r="H178" s="1093"/>
      <c r="I178" s="950">
        <f t="shared" si="6"/>
        <v>24677.015399888529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3726229.3253831677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3726229.3253831677</v>
      </c>
      <c r="H181" s="1128"/>
      <c r="I181" s="950">
        <f t="shared" si="6"/>
        <v>24677.015399888529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3726229.3253831677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86.092715231788077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79.47019867549669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165.56291390728478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96.026490066225165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617.5496688741722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331.12582781456956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1860.9271523178809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595437.95685305423</v>
      </c>
      <c r="H233" s="1111"/>
      <c r="I233" s="950">
        <f t="shared" si="8"/>
        <v>3943.2977275036706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595437.95685305423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1034187.9568530542</v>
      </c>
      <c r="H234" s="1282"/>
      <c r="I234" s="950">
        <f t="shared" si="8"/>
        <v>6848.9268665765185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1034187.9568530542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16556.291390728478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137.41721854304635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16693.708609271522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4.4150110375275933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13.245033112582782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17.660044150110373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89612312.113705784</v>
      </c>
      <c r="H250" s="1298"/>
      <c r="I250" s="1299">
        <f>G250/F9</f>
        <v>593459.02062056807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649.19522525794559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9" zoomScale="70" zoomScaleNormal="70" workbookViewId="0">
      <selection activeCell="J41" sqref="J41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151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138036</v>
      </c>
      <c r="D5" t="s">
        <v>428</v>
      </c>
      <c r="G5" s="510"/>
    </row>
    <row r="6" spans="1:15">
      <c r="B6" s="1350" t="s">
        <v>12</v>
      </c>
      <c r="C6" s="700">
        <f>'Construction Calculation'!C14</f>
        <v>138036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23006</v>
      </c>
      <c r="D8" t="s">
        <v>428</v>
      </c>
      <c r="G8" s="510"/>
    </row>
    <row r="9" spans="1:15">
      <c r="B9" s="1350" t="s">
        <v>430</v>
      </c>
      <c r="C9" s="700">
        <f>'Construction Calculation'!C47</f>
        <v>75.5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v>0.04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1101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61185169.041633822</v>
      </c>
      <c r="D20" s="1375">
        <f>MIN(D22,GapCalc!D24)</f>
        <v>58248002.873908758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58248002.873908758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0.04</v>
      </c>
      <c r="D24" s="1425">
        <f>PMT(C24/12,C25*12,C30)*12</f>
        <v>-3499729.3253832124</v>
      </c>
      <c r="E24" s="1384"/>
      <c r="G24" s="1377"/>
      <c r="H24" s="1385"/>
      <c r="K24" s="1425"/>
    </row>
    <row r="25" spans="1:13">
      <c r="A25" s="1371"/>
      <c r="B25" t="s">
        <v>1102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3499729.3253831677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66635143.199999988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64986306.844423294</v>
      </c>
      <c r="D30" s="1376">
        <f>-PV($C$24/12,$C$29*12,C27/12)</f>
        <v>64986306.844423294</v>
      </c>
      <c r="E30" s="1384"/>
      <c r="F30" t="s">
        <v>438</v>
      </c>
      <c r="G30" s="1381"/>
      <c r="H30" s="1376">
        <f>PV(G23,G29,-'Cash Flow'!E41*H28,)</f>
        <v>5642045.5361475386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1102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3499729.3253831677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0</v>
      </c>
      <c r="D38" s="516" t="s">
        <v>1039</v>
      </c>
      <c r="E38" s="1391">
        <f>C37*GapCalc!D24</f>
        <v>71689849.690964624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57559219.656243078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5839608</v>
      </c>
      <c r="F12" s="89">
        <f>E12*(1+$D$12)</f>
        <v>5985598.1999999993</v>
      </c>
      <c r="G12" s="89">
        <f t="shared" ref="G12:AH12" si="0">F12*(1+$D$12)</f>
        <v>6135238.1549999984</v>
      </c>
      <c r="H12" s="89">
        <f t="shared" si="0"/>
        <v>6288619.1088749981</v>
      </c>
      <c r="I12" s="89">
        <f t="shared" si="0"/>
        <v>6445834.5865968727</v>
      </c>
      <c r="J12" s="89">
        <f t="shared" si="0"/>
        <v>6606980.4512617942</v>
      </c>
      <c r="K12" s="89">
        <f t="shared" si="0"/>
        <v>6772154.9625433385</v>
      </c>
      <c r="L12" s="89">
        <f t="shared" si="0"/>
        <v>6941458.8366069216</v>
      </c>
      <c r="M12" s="89">
        <f t="shared" si="0"/>
        <v>7114995.3075220939</v>
      </c>
      <c r="N12" s="89">
        <f t="shared" si="0"/>
        <v>7292870.1902101459</v>
      </c>
      <c r="O12" s="89">
        <f t="shared" si="0"/>
        <v>7475191.9449653989</v>
      </c>
      <c r="P12" s="89">
        <f t="shared" si="0"/>
        <v>7662071.7435895335</v>
      </c>
      <c r="Q12" s="89">
        <f t="shared" si="0"/>
        <v>7853623.5371792708</v>
      </c>
      <c r="R12" s="89">
        <f t="shared" si="0"/>
        <v>8049964.1256087516</v>
      </c>
      <c r="S12" s="90">
        <f t="shared" si="0"/>
        <v>8251213.2287489697</v>
      </c>
      <c r="T12" s="89">
        <f t="shared" si="0"/>
        <v>8457493.5594676938</v>
      </c>
      <c r="U12" s="89">
        <f t="shared" si="0"/>
        <v>8668930.8984543849</v>
      </c>
      <c r="V12" s="89">
        <f t="shared" si="0"/>
        <v>8885654.1709157433</v>
      </c>
      <c r="W12" s="89">
        <f t="shared" si="0"/>
        <v>9107795.525188636</v>
      </c>
      <c r="X12" s="89">
        <f t="shared" si="0"/>
        <v>9335490.4133183509</v>
      </c>
      <c r="Y12" s="89">
        <f t="shared" si="0"/>
        <v>9568877.6736513097</v>
      </c>
      <c r="Z12" s="89">
        <f t="shared" si="0"/>
        <v>9808099.6154925916</v>
      </c>
      <c r="AA12" s="89">
        <f t="shared" si="0"/>
        <v>10053302.105879905</v>
      </c>
      <c r="AB12" s="89">
        <f t="shared" si="0"/>
        <v>10304634.658526901</v>
      </c>
      <c r="AC12" s="89">
        <f t="shared" si="0"/>
        <v>10562250.524990072</v>
      </c>
      <c r="AD12" s="89">
        <f t="shared" si="0"/>
        <v>10826306.788114823</v>
      </c>
      <c r="AE12" s="89">
        <f t="shared" si="0"/>
        <v>11096964.457817692</v>
      </c>
      <c r="AF12" s="89">
        <f t="shared" si="0"/>
        <v>11374388.569263134</v>
      </c>
      <c r="AG12" s="89">
        <f t="shared" si="0"/>
        <v>11658748.283494711</v>
      </c>
      <c r="AH12" s="89">
        <f t="shared" si="0"/>
        <v>11950216.990582077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-292259.40000000002</v>
      </c>
      <c r="F14" s="100">
        <f t="shared" ref="F14:AH14" si="2">-((F12+F13)*$C$14)</f>
        <v>-299565.88499999995</v>
      </c>
      <c r="G14" s="100">
        <f t="shared" si="2"/>
        <v>-307055.03212499991</v>
      </c>
      <c r="H14" s="100">
        <f t="shared" si="2"/>
        <v>-314731.40792812494</v>
      </c>
      <c r="I14" s="100">
        <f t="shared" si="2"/>
        <v>-322599.69312632806</v>
      </c>
      <c r="J14" s="100">
        <f t="shared" si="2"/>
        <v>-330664.68545448617</v>
      </c>
      <c r="K14" s="100">
        <f t="shared" si="2"/>
        <v>-338931.30259084835</v>
      </c>
      <c r="L14" s="100">
        <f t="shared" si="2"/>
        <v>-347404.58515561954</v>
      </c>
      <c r="M14" s="100">
        <f t="shared" si="2"/>
        <v>-356089.69978451001</v>
      </c>
      <c r="N14" s="100">
        <f t="shared" si="2"/>
        <v>-364991.94227912271</v>
      </c>
      <c r="O14" s="100">
        <f t="shared" si="2"/>
        <v>-374116.74083610077</v>
      </c>
      <c r="P14" s="100">
        <f t="shared" si="2"/>
        <v>-383469.65935700323</v>
      </c>
      <c r="Q14" s="100">
        <f t="shared" si="2"/>
        <v>-393056.40084092831</v>
      </c>
      <c r="R14" s="100">
        <f t="shared" si="2"/>
        <v>-402882.81086195144</v>
      </c>
      <c r="S14" s="101">
        <f t="shared" si="2"/>
        <v>-412954.8811335002</v>
      </c>
      <c r="T14" s="100">
        <f t="shared" si="2"/>
        <v>-423278.75316183764</v>
      </c>
      <c r="U14" s="100">
        <f t="shared" si="2"/>
        <v>-433860.72199088358</v>
      </c>
      <c r="V14" s="100">
        <f t="shared" si="2"/>
        <v>-444707.24004065554</v>
      </c>
      <c r="W14" s="100">
        <f t="shared" si="2"/>
        <v>-455824.92104167194</v>
      </c>
      <c r="X14" s="100">
        <f t="shared" si="2"/>
        <v>-467220.54406771366</v>
      </c>
      <c r="Y14" s="100">
        <f t="shared" si="2"/>
        <v>-478901.05766940652</v>
      </c>
      <c r="Z14" s="100">
        <f t="shared" si="2"/>
        <v>-490873.58411114162</v>
      </c>
      <c r="AA14" s="100">
        <f t="shared" si="2"/>
        <v>-503145.42371392011</v>
      </c>
      <c r="AB14" s="100">
        <f t="shared" si="2"/>
        <v>-515724.05930676806</v>
      </c>
      <c r="AC14" s="100">
        <f t="shared" si="2"/>
        <v>-528617.16078943713</v>
      </c>
      <c r="AD14" s="100">
        <f t="shared" si="2"/>
        <v>-541832.58980917314</v>
      </c>
      <c r="AE14" s="100">
        <f t="shared" si="2"/>
        <v>-555378.40455440234</v>
      </c>
      <c r="AF14" s="100">
        <f t="shared" si="2"/>
        <v>-569262.86466826231</v>
      </c>
      <c r="AG14" s="100">
        <f t="shared" si="2"/>
        <v>-583494.43628496886</v>
      </c>
      <c r="AH14" s="100">
        <f t="shared" si="2"/>
        <v>-598081.79719209287</v>
      </c>
    </row>
    <row r="15" spans="1:34">
      <c r="A15" s="76"/>
      <c r="B15" s="102" t="s">
        <v>312</v>
      </c>
      <c r="C15" s="76"/>
      <c r="D15" s="76"/>
      <c r="E15" s="95">
        <f>SUM(E12:E14)</f>
        <v>5552928.5999999996</v>
      </c>
      <c r="F15" s="95">
        <f t="shared" ref="F15:AH15" si="3">SUM(F12:F14)</f>
        <v>5691751.8149999995</v>
      </c>
      <c r="G15" s="103">
        <f t="shared" si="3"/>
        <v>5834045.6103749983</v>
      </c>
      <c r="H15" s="104">
        <f t="shared" si="3"/>
        <v>5979896.7506343732</v>
      </c>
      <c r="I15" s="104">
        <f t="shared" si="3"/>
        <v>6129394.1694002319</v>
      </c>
      <c r="J15" s="95">
        <f t="shared" si="3"/>
        <v>6282629.0236352375</v>
      </c>
      <c r="K15" s="103">
        <f t="shared" si="3"/>
        <v>6439694.7492261184</v>
      </c>
      <c r="L15" s="95">
        <f t="shared" si="3"/>
        <v>6600687.1179567706</v>
      </c>
      <c r="M15" s="95">
        <f t="shared" si="3"/>
        <v>6765704.2959056897</v>
      </c>
      <c r="N15" s="95">
        <f t="shared" si="3"/>
        <v>6934846.9033033308</v>
      </c>
      <c r="O15" s="95">
        <f t="shared" si="3"/>
        <v>7108218.0758859143</v>
      </c>
      <c r="P15" s="95">
        <f t="shared" si="3"/>
        <v>7285923.5277830614</v>
      </c>
      <c r="Q15" s="95">
        <f t="shared" si="3"/>
        <v>7468071.6159776375</v>
      </c>
      <c r="R15" s="95">
        <f t="shared" si="3"/>
        <v>7654773.4063770762</v>
      </c>
      <c r="S15" s="96">
        <f t="shared" si="3"/>
        <v>7846142.7415365027</v>
      </c>
      <c r="T15" s="95">
        <f t="shared" si="3"/>
        <v>8042296.3100749152</v>
      </c>
      <c r="U15" s="95">
        <f t="shared" si="3"/>
        <v>8243353.7178267874</v>
      </c>
      <c r="V15" s="95">
        <f t="shared" si="3"/>
        <v>8449437.5607724544</v>
      </c>
      <c r="W15" s="95">
        <f t="shared" si="3"/>
        <v>8660673.4997917674</v>
      </c>
      <c r="X15" s="95">
        <f t="shared" si="3"/>
        <v>8877190.337286558</v>
      </c>
      <c r="Y15" s="95">
        <f t="shared" si="3"/>
        <v>9099120.0957187228</v>
      </c>
      <c r="Z15" s="95">
        <f t="shared" si="3"/>
        <v>9326598.098111691</v>
      </c>
      <c r="AA15" s="95">
        <f t="shared" si="3"/>
        <v>9559763.0505644809</v>
      </c>
      <c r="AB15" s="95">
        <f t="shared" si="3"/>
        <v>9798757.1268285923</v>
      </c>
      <c r="AC15" s="95">
        <f t="shared" si="3"/>
        <v>10043726.054999305</v>
      </c>
      <c r="AD15" s="95">
        <f t="shared" si="3"/>
        <v>10294819.206374288</v>
      </c>
      <c r="AE15" s="95">
        <f t="shared" si="3"/>
        <v>10552189.686533643</v>
      </c>
      <c r="AF15" s="95">
        <f t="shared" si="3"/>
        <v>10815994.428696983</v>
      </c>
      <c r="AG15" s="95">
        <f t="shared" si="3"/>
        <v>11086394.289414408</v>
      </c>
      <c r="AH15" s="95">
        <f t="shared" si="3"/>
        <v>11363554.146649765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-906000</v>
      </c>
      <c r="F18" s="89">
        <f>E18*(1+$D$18)</f>
        <v>-937709.99999999988</v>
      </c>
      <c r="G18" s="94">
        <f t="shared" ref="G18:AH18" si="5">F18*(1+$D$18)</f>
        <v>-970529.84999999986</v>
      </c>
      <c r="H18" s="106">
        <f t="shared" si="5"/>
        <v>-1004498.3947499997</v>
      </c>
      <c r="I18" s="106">
        <f t="shared" si="5"/>
        <v>-1039655.8385662497</v>
      </c>
      <c r="J18" s="89">
        <f t="shared" si="5"/>
        <v>-1076043.7929160683</v>
      </c>
      <c r="K18" s="94">
        <f t="shared" si="5"/>
        <v>-1113705.3256681305</v>
      </c>
      <c r="L18" s="89">
        <f t="shared" si="5"/>
        <v>-1152685.0120665149</v>
      </c>
      <c r="M18" s="89">
        <f t="shared" si="5"/>
        <v>-1193028.9874888428</v>
      </c>
      <c r="N18" s="89">
        <f t="shared" si="5"/>
        <v>-1234785.0020509523</v>
      </c>
      <c r="O18" s="89">
        <f t="shared" si="5"/>
        <v>-1278002.4771227355</v>
      </c>
      <c r="P18" s="89">
        <f t="shared" si="5"/>
        <v>-1322732.563822031</v>
      </c>
      <c r="Q18" s="89">
        <f t="shared" si="5"/>
        <v>-1369028.2035558021</v>
      </c>
      <c r="R18" s="89">
        <f t="shared" si="5"/>
        <v>-1416944.1906802552</v>
      </c>
      <c r="S18" s="90">
        <f t="shared" si="5"/>
        <v>-1466537.2373540639</v>
      </c>
      <c r="T18" s="89">
        <f t="shared" si="5"/>
        <v>-1517866.0406614561</v>
      </c>
      <c r="U18" s="89">
        <f t="shared" si="5"/>
        <v>-1570991.3520846069</v>
      </c>
      <c r="V18" s="89">
        <f t="shared" si="5"/>
        <v>-1625976.0494075681</v>
      </c>
      <c r="W18" s="89">
        <f t="shared" si="5"/>
        <v>-1682885.2111368328</v>
      </c>
      <c r="X18" s="89">
        <f t="shared" si="5"/>
        <v>-1741786.1935266219</v>
      </c>
      <c r="Y18" s="89">
        <f t="shared" si="5"/>
        <v>-1802748.7103000535</v>
      </c>
      <c r="Z18" s="89">
        <f t="shared" si="5"/>
        <v>-1865844.9151605552</v>
      </c>
      <c r="AA18" s="89">
        <f t="shared" si="5"/>
        <v>-1931149.4871911744</v>
      </c>
      <c r="AB18" s="89">
        <f t="shared" si="5"/>
        <v>-1998739.7192428655</v>
      </c>
      <c r="AC18" s="89">
        <f t="shared" si="5"/>
        <v>-2068695.6094163656</v>
      </c>
      <c r="AD18" s="89">
        <f t="shared" si="5"/>
        <v>-2141099.9557459382</v>
      </c>
      <c r="AE18" s="89">
        <f t="shared" si="5"/>
        <v>-2216038.4541970459</v>
      </c>
      <c r="AF18" s="89">
        <f t="shared" si="5"/>
        <v>-2293599.8000939423</v>
      </c>
      <c r="AG18" s="89">
        <f t="shared" si="5"/>
        <v>-2373875.7930972301</v>
      </c>
      <c r="AH18" s="89">
        <f t="shared" si="5"/>
        <v>-2456961.4458556329</v>
      </c>
    </row>
    <row r="19" spans="1:34">
      <c r="A19" s="86"/>
      <c r="B19" s="87" t="s">
        <v>315</v>
      </c>
      <c r="C19" s="1713" t="s">
        <v>1100</v>
      </c>
      <c r="D19" s="88">
        <v>1.2500000000000001E-2</v>
      </c>
      <c r="E19" s="95">
        <f>IF(C19="Abatement", 0, -'Tax Calc'!B10)</f>
        <v>-401953.40954019903</v>
      </c>
      <c r="F19" s="89">
        <f>E19*(1+$D$19)</f>
        <v>-406977.8271594515</v>
      </c>
      <c r="G19" s="89">
        <f t="shared" ref="G19:AH19" si="6">F19*(1+$D$19)</f>
        <v>-412065.04999894463</v>
      </c>
      <c r="H19" s="89">
        <f t="shared" si="6"/>
        <v>-417215.8631239314</v>
      </c>
      <c r="I19" s="89">
        <f t="shared" si="6"/>
        <v>-422431.06141298055</v>
      </c>
      <c r="J19" s="89">
        <f t="shared" si="6"/>
        <v>-427711.44968064281</v>
      </c>
      <c r="K19" s="89">
        <f t="shared" si="6"/>
        <v>-433057.84280165081</v>
      </c>
      <c r="L19" s="89">
        <f t="shared" si="6"/>
        <v>-438471.06583667145</v>
      </c>
      <c r="M19" s="89">
        <f t="shared" si="6"/>
        <v>-443951.95415962982</v>
      </c>
      <c r="N19" s="89">
        <f t="shared" si="6"/>
        <v>-449501.35358662519</v>
      </c>
      <c r="O19" s="89">
        <f t="shared" si="6"/>
        <v>-455120.12050645798</v>
      </c>
      <c r="P19" s="89">
        <f t="shared" si="6"/>
        <v>-460809.12201278866</v>
      </c>
      <c r="Q19" s="89">
        <f t="shared" si="6"/>
        <v>-466569.23603794852</v>
      </c>
      <c r="R19" s="89">
        <f t="shared" si="6"/>
        <v>-472401.35148842284</v>
      </c>
      <c r="S19" s="90">
        <f t="shared" si="6"/>
        <v>-478306.36838202807</v>
      </c>
      <c r="T19" s="89">
        <f t="shared" si="6"/>
        <v>-484285.19798680343</v>
      </c>
      <c r="U19" s="89">
        <f t="shared" si="6"/>
        <v>-490338.76296163845</v>
      </c>
      <c r="V19" s="89">
        <f t="shared" si="6"/>
        <v>-496467.99749865889</v>
      </c>
      <c r="W19" s="89">
        <f t="shared" si="6"/>
        <v>-502673.8474673921</v>
      </c>
      <c r="X19" s="89">
        <f t="shared" si="6"/>
        <v>-508957.2705607345</v>
      </c>
      <c r="Y19" s="89">
        <f t="shared" si="6"/>
        <v>-515319.23644274368</v>
      </c>
      <c r="Z19" s="89">
        <f t="shared" si="6"/>
        <v>-521760.72689827794</v>
      </c>
      <c r="AA19" s="89">
        <f t="shared" si="6"/>
        <v>-528282.73598450643</v>
      </c>
      <c r="AB19" s="89">
        <f t="shared" si="6"/>
        <v>-534886.27018431271</v>
      </c>
      <c r="AC19" s="89">
        <f t="shared" si="6"/>
        <v>-541572.34856161661</v>
      </c>
      <c r="AD19" s="89">
        <f t="shared" si="6"/>
        <v>-548342.00291863678</v>
      </c>
      <c r="AE19" s="89">
        <f t="shared" si="6"/>
        <v>-555196.27795511973</v>
      </c>
      <c r="AF19" s="89">
        <f t="shared" si="6"/>
        <v>-562136.23142955871</v>
      </c>
      <c r="AG19" s="89">
        <f t="shared" si="6"/>
        <v>-569162.93432242819</v>
      </c>
      <c r="AH19" s="89">
        <f t="shared" si="6"/>
        <v>-576277.47100145847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-45300</v>
      </c>
      <c r="F20" s="108">
        <f>+E20</f>
        <v>-45300</v>
      </c>
      <c r="G20" s="108">
        <f>F20</f>
        <v>-45300</v>
      </c>
      <c r="H20" s="108">
        <f>G20</f>
        <v>-45300</v>
      </c>
      <c r="I20" s="108">
        <f>H20</f>
        <v>-45300</v>
      </c>
      <c r="J20" s="108">
        <f t="shared" ref="J20:AH20" si="7">I20</f>
        <v>-45300</v>
      </c>
      <c r="K20" s="108">
        <f t="shared" si="7"/>
        <v>-45300</v>
      </c>
      <c r="L20" s="108">
        <f t="shared" si="7"/>
        <v>-45300</v>
      </c>
      <c r="M20" s="108">
        <f t="shared" si="7"/>
        <v>-45300</v>
      </c>
      <c r="N20" s="108">
        <f t="shared" si="7"/>
        <v>-45300</v>
      </c>
      <c r="O20" s="108">
        <f>N20</f>
        <v>-45300</v>
      </c>
      <c r="P20" s="108">
        <f t="shared" si="7"/>
        <v>-45300</v>
      </c>
      <c r="Q20" s="108">
        <f t="shared" si="7"/>
        <v>-45300</v>
      </c>
      <c r="R20" s="108">
        <f t="shared" si="7"/>
        <v>-45300</v>
      </c>
      <c r="S20" s="109">
        <f t="shared" si="7"/>
        <v>-45300</v>
      </c>
      <c r="T20" s="108">
        <f t="shared" si="7"/>
        <v>-45300</v>
      </c>
      <c r="U20" s="108">
        <f t="shared" si="7"/>
        <v>-45300</v>
      </c>
      <c r="V20" s="108">
        <f t="shared" si="7"/>
        <v>-45300</v>
      </c>
      <c r="W20" s="108">
        <f t="shared" si="7"/>
        <v>-45300</v>
      </c>
      <c r="X20" s="108">
        <f t="shared" si="7"/>
        <v>-45300</v>
      </c>
      <c r="Y20" s="108">
        <f t="shared" si="7"/>
        <v>-45300</v>
      </c>
      <c r="Z20" s="108">
        <f t="shared" si="7"/>
        <v>-45300</v>
      </c>
      <c r="AA20" s="108">
        <f t="shared" si="7"/>
        <v>-45300</v>
      </c>
      <c r="AB20" s="108">
        <f t="shared" si="7"/>
        <v>-45300</v>
      </c>
      <c r="AC20" s="108">
        <f t="shared" si="7"/>
        <v>-45300</v>
      </c>
      <c r="AD20" s="108">
        <f t="shared" si="7"/>
        <v>-45300</v>
      </c>
      <c r="AE20" s="108">
        <f t="shared" si="7"/>
        <v>-45300</v>
      </c>
      <c r="AF20" s="108">
        <f t="shared" si="7"/>
        <v>-45300</v>
      </c>
      <c r="AG20" s="108">
        <f t="shared" si="7"/>
        <v>-45300</v>
      </c>
      <c r="AH20" s="108">
        <f t="shared" si="7"/>
        <v>-45300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4199675.1904598009</v>
      </c>
      <c r="F21" s="95">
        <f t="shared" si="8"/>
        <v>4301763.9878405482</v>
      </c>
      <c r="G21" s="95">
        <f t="shared" si="8"/>
        <v>4406150.710376054</v>
      </c>
      <c r="H21" s="95">
        <f t="shared" si="8"/>
        <v>4512882.4927604422</v>
      </c>
      <c r="I21" s="95">
        <f t="shared" si="8"/>
        <v>4622007.2694210019</v>
      </c>
      <c r="J21" s="95">
        <f t="shared" si="8"/>
        <v>4733573.7810385264</v>
      </c>
      <c r="K21" s="95">
        <f t="shared" si="8"/>
        <v>4847631.5807563365</v>
      </c>
      <c r="L21" s="95">
        <f t="shared" si="8"/>
        <v>4964231.0400535837</v>
      </c>
      <c r="M21" s="95">
        <f t="shared" si="8"/>
        <v>5083423.3542572176</v>
      </c>
      <c r="N21" s="95">
        <f t="shared" si="8"/>
        <v>5205260.5476657534</v>
      </c>
      <c r="O21" s="95">
        <f t="shared" si="8"/>
        <v>5329795.478256721</v>
      </c>
      <c r="P21" s="95">
        <f t="shared" si="8"/>
        <v>5457081.8419482419</v>
      </c>
      <c r="Q21" s="95">
        <f t="shared" si="8"/>
        <v>5587174.1763838874</v>
      </c>
      <c r="R21" s="95">
        <f t="shared" si="8"/>
        <v>5720127.8642083984</v>
      </c>
      <c r="S21" s="96">
        <f t="shared" si="8"/>
        <v>5855999.135800411</v>
      </c>
      <c r="T21" s="95">
        <f t="shared" si="8"/>
        <v>5994845.0714266561</v>
      </c>
      <c r="U21" s="95">
        <f t="shared" si="8"/>
        <v>6136723.6027805423</v>
      </c>
      <c r="V21" s="95">
        <f t="shared" si="8"/>
        <v>6281693.5138662281</v>
      </c>
      <c r="W21" s="95">
        <f t="shared" si="8"/>
        <v>6429814.4411875429</v>
      </c>
      <c r="X21" s="95">
        <f t="shared" si="8"/>
        <v>6581146.8731992012</v>
      </c>
      <c r="Y21" s="95">
        <f t="shared" si="8"/>
        <v>6735752.1489759255</v>
      </c>
      <c r="Z21" s="95">
        <f t="shared" si="8"/>
        <v>6893692.4560528575</v>
      </c>
      <c r="AA21" s="95">
        <f t="shared" si="8"/>
        <v>7055030.8273888007</v>
      </c>
      <c r="AB21" s="95">
        <f t="shared" si="8"/>
        <v>7219831.1374014141</v>
      </c>
      <c r="AC21" s="95">
        <f t="shared" si="8"/>
        <v>7388158.0970213227</v>
      </c>
      <c r="AD21" s="95">
        <f t="shared" si="8"/>
        <v>7560077.2477097129</v>
      </c>
      <c r="AE21" s="95">
        <f t="shared" si="8"/>
        <v>7735654.954381478</v>
      </c>
      <c r="AF21" s="95">
        <f t="shared" si="8"/>
        <v>7914958.3971734829</v>
      </c>
      <c r="AG21" s="95">
        <f t="shared" si="8"/>
        <v>8098055.5619947501</v>
      </c>
      <c r="AH21" s="95">
        <f t="shared" si="8"/>
        <v>8285015.2297926741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-3499729.3253831677</v>
      </c>
      <c r="F22" s="95">
        <f t="shared" ref="F22:AH22" si="9">$E$22</f>
        <v>-3499729.3253831677</v>
      </c>
      <c r="G22" s="95">
        <f t="shared" si="9"/>
        <v>-3499729.3253831677</v>
      </c>
      <c r="H22" s="95">
        <f t="shared" si="9"/>
        <v>-3499729.3253831677</v>
      </c>
      <c r="I22" s="95">
        <f t="shared" si="9"/>
        <v>-3499729.3253831677</v>
      </c>
      <c r="J22" s="95">
        <f t="shared" si="9"/>
        <v>-3499729.3253831677</v>
      </c>
      <c r="K22" s="95">
        <f t="shared" si="9"/>
        <v>-3499729.3253831677</v>
      </c>
      <c r="L22" s="95">
        <f t="shared" si="9"/>
        <v>-3499729.3253831677</v>
      </c>
      <c r="M22" s="95">
        <f t="shared" si="9"/>
        <v>-3499729.3253831677</v>
      </c>
      <c r="N22" s="95">
        <f t="shared" si="9"/>
        <v>-3499729.3253831677</v>
      </c>
      <c r="O22" s="95">
        <f t="shared" si="9"/>
        <v>-3499729.3253831677</v>
      </c>
      <c r="P22" s="95">
        <f t="shared" si="9"/>
        <v>-3499729.3253831677</v>
      </c>
      <c r="Q22" s="95">
        <f t="shared" si="9"/>
        <v>-3499729.3253831677</v>
      </c>
      <c r="R22" s="95">
        <f t="shared" si="9"/>
        <v>-3499729.3253831677</v>
      </c>
      <c r="S22" s="96">
        <f t="shared" si="9"/>
        <v>-3499729.3253831677</v>
      </c>
      <c r="T22" s="95">
        <f t="shared" si="9"/>
        <v>-3499729.3253831677</v>
      </c>
      <c r="U22" s="95">
        <f t="shared" si="9"/>
        <v>-3499729.3253831677</v>
      </c>
      <c r="V22" s="95">
        <f t="shared" si="9"/>
        <v>-3499729.3253831677</v>
      </c>
      <c r="W22" s="95">
        <f t="shared" si="9"/>
        <v>-3499729.3253831677</v>
      </c>
      <c r="X22" s="95">
        <f t="shared" si="9"/>
        <v>-3499729.3253831677</v>
      </c>
      <c r="Y22" s="95">
        <f t="shared" si="9"/>
        <v>-3499729.3253831677</v>
      </c>
      <c r="Z22" s="95">
        <f t="shared" si="9"/>
        <v>-3499729.3253831677</v>
      </c>
      <c r="AA22" s="95">
        <f t="shared" si="9"/>
        <v>-3499729.3253831677</v>
      </c>
      <c r="AB22" s="95">
        <f t="shared" si="9"/>
        <v>-3499729.3253831677</v>
      </c>
      <c r="AC22" s="95">
        <f t="shared" si="9"/>
        <v>-3499729.3253831677</v>
      </c>
      <c r="AD22" s="95">
        <f t="shared" si="9"/>
        <v>-3499729.3253831677</v>
      </c>
      <c r="AE22" s="95">
        <f t="shared" si="9"/>
        <v>-3499729.3253831677</v>
      </c>
      <c r="AF22" s="95">
        <f t="shared" si="9"/>
        <v>-3499729.3253831677</v>
      </c>
      <c r="AG22" s="95">
        <f t="shared" si="9"/>
        <v>-3499729.3253831677</v>
      </c>
      <c r="AH22" s="95">
        <f t="shared" si="9"/>
        <v>-3499729.3253831677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699945.86507663317</v>
      </c>
      <c r="F25" s="119">
        <f t="shared" ref="F25:AH25" si="11">+F21+F22+F23</f>
        <v>802034.66245738044</v>
      </c>
      <c r="G25" s="119">
        <f t="shared" si="11"/>
        <v>906421.38499288633</v>
      </c>
      <c r="H25" s="119">
        <f t="shared" si="11"/>
        <v>1013153.1673772745</v>
      </c>
      <c r="I25" s="119">
        <f t="shared" si="11"/>
        <v>1122277.9440378342</v>
      </c>
      <c r="J25" s="119">
        <f t="shared" si="11"/>
        <v>1233844.4556553587</v>
      </c>
      <c r="K25" s="119">
        <f t="shared" si="11"/>
        <v>1347902.2553731687</v>
      </c>
      <c r="L25" s="119">
        <f t="shared" si="11"/>
        <v>1464501.714670416</v>
      </c>
      <c r="M25" s="119">
        <f t="shared" si="11"/>
        <v>1583694.0288740499</v>
      </c>
      <c r="N25" s="119">
        <f t="shared" si="11"/>
        <v>1705531.2222825857</v>
      </c>
      <c r="O25" s="119">
        <f t="shared" si="11"/>
        <v>1830066.1528735533</v>
      </c>
      <c r="P25" s="119">
        <f t="shared" si="11"/>
        <v>1957352.5165650742</v>
      </c>
      <c r="Q25" s="119">
        <f t="shared" si="11"/>
        <v>2087444.8510007197</v>
      </c>
      <c r="R25" s="119">
        <f t="shared" si="11"/>
        <v>2220398.5388252307</v>
      </c>
      <c r="S25" s="160">
        <f t="shared" si="11"/>
        <v>2356269.8104172433</v>
      </c>
      <c r="T25" s="119">
        <f t="shared" si="11"/>
        <v>2495115.7460434884</v>
      </c>
      <c r="U25" s="119">
        <f t="shared" si="11"/>
        <v>2636994.2773973746</v>
      </c>
      <c r="V25" s="119">
        <f t="shared" si="11"/>
        <v>2781964.1884830603</v>
      </c>
      <c r="W25" s="119">
        <f t="shared" si="11"/>
        <v>2930085.1158043751</v>
      </c>
      <c r="X25" s="119">
        <f t="shared" si="11"/>
        <v>3081417.5478160335</v>
      </c>
      <c r="Y25" s="119">
        <f t="shared" si="11"/>
        <v>3236022.8235927578</v>
      </c>
      <c r="Z25" s="119">
        <f t="shared" si="11"/>
        <v>3393963.1306696897</v>
      </c>
      <c r="AA25" s="119">
        <f t="shared" si="11"/>
        <v>3555301.502005633</v>
      </c>
      <c r="AB25" s="119">
        <f t="shared" si="11"/>
        <v>3720101.8120182464</v>
      </c>
      <c r="AC25" s="119">
        <f t="shared" si="11"/>
        <v>3888428.771638155</v>
      </c>
      <c r="AD25" s="119">
        <f t="shared" si="11"/>
        <v>4060347.9223265452</v>
      </c>
      <c r="AE25" s="119">
        <f t="shared" si="11"/>
        <v>4235925.6289983103</v>
      </c>
      <c r="AF25" s="119">
        <f t="shared" si="11"/>
        <v>4415229.0717903152</v>
      </c>
      <c r="AG25" s="119">
        <f t="shared" si="11"/>
        <v>4598326.2366115823</v>
      </c>
      <c r="AH25" s="119">
        <f t="shared" si="11"/>
        <v>4785285.9044095064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1.2291704837400732</v>
      </c>
      <c r="G27" s="122">
        <f t="shared" si="12"/>
        <v>1.2589975683029848</v>
      </c>
      <c r="H27" s="122">
        <f t="shared" si="12"/>
        <v>1.2894947217857624</v>
      </c>
      <c r="I27" s="122">
        <f t="shared" si="12"/>
        <v>1.3206756407982956</v>
      </c>
      <c r="J27" s="122">
        <f t="shared" si="12"/>
        <v>1.3525542523264342</v>
      </c>
      <c r="K27" s="122">
        <f t="shared" si="12"/>
        <v>1.3851447155061323</v>
      </c>
      <c r="L27" s="122">
        <f t="shared" si="12"/>
        <v>1.418461423301665</v>
      </c>
      <c r="M27" s="122">
        <f t="shared" si="12"/>
        <v>1.4525190040805969</v>
      </c>
      <c r="N27" s="122">
        <f t="shared" si="12"/>
        <v>1.4873323230778299</v>
      </c>
      <c r="O27" s="122">
        <f t="shared" si="12"/>
        <v>1.522916483740693</v>
      </c>
      <c r="P27" s="122">
        <f t="shared" si="12"/>
        <v>1.5592868289466282</v>
      </c>
      <c r="Q27" s="122">
        <f t="shared" si="12"/>
        <v>1.5964589420846642</v>
      </c>
      <c r="R27" s="122">
        <f t="shared" si="12"/>
        <v>1.6344486479914073</v>
      </c>
      <c r="S27" s="161">
        <f t="shared" si="12"/>
        <v>1.6732720137318811</v>
      </c>
      <c r="T27" s="122">
        <f t="shared" si="12"/>
        <v>1.7129453492150599</v>
      </c>
      <c r="U27" s="122">
        <f t="shared" si="12"/>
        <v>1.753485207633497</v>
      </c>
      <c r="V27" s="122">
        <f t="shared" si="12"/>
        <v>1.7949083857159374</v>
      </c>
      <c r="W27" s="122">
        <f t="shared" si="12"/>
        <v>1.8372319237812984</v>
      </c>
      <c r="X27" s="122">
        <f t="shared" si="12"/>
        <v>1.8804731055818622</v>
      </c>
      <c r="Y27" s="122">
        <f t="shared" si="12"/>
        <v>1.9246494579229958</v>
      </c>
      <c r="Z27" s="122">
        <f t="shared" si="12"/>
        <v>1.9697787500460773</v>
      </c>
      <c r="AA27" s="122">
        <f t="shared" si="12"/>
        <v>2.0158789927607845</v>
      </c>
      <c r="AB27" s="122">
        <f t="shared" si="12"/>
        <v>2.0629684373122057</v>
      </c>
      <c r="AC27" s="122">
        <f t="shared" si="12"/>
        <v>2.1110655739676183</v>
      </c>
      <c r="AD27" s="122">
        <f t="shared" si="12"/>
        <v>2.1601891303070984</v>
      </c>
      <c r="AE27" s="122">
        <f t="shared" si="12"/>
        <v>2.2103580692014062</v>
      </c>
      <c r="AF27" s="122">
        <f t="shared" si="12"/>
        <v>2.2615915864598799</v>
      </c>
      <c r="AG27" s="122">
        <f t="shared" si="12"/>
        <v>2.3139091081302796</v>
      </c>
      <c r="AH27" s="122">
        <f t="shared" si="12"/>
        <v>2.3673302874317543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699945.86507663317</v>
      </c>
      <c r="F41" s="129">
        <f t="shared" ref="F41:S41" si="20">F25+F37</f>
        <v>802034.66245738044</v>
      </c>
      <c r="G41" s="129">
        <f t="shared" si="20"/>
        <v>906421.38499288633</v>
      </c>
      <c r="H41" s="129">
        <f t="shared" si="20"/>
        <v>1013153.1673772745</v>
      </c>
      <c r="I41" s="129">
        <f t="shared" si="20"/>
        <v>1122277.9440378342</v>
      </c>
      <c r="J41" s="129">
        <f t="shared" si="20"/>
        <v>1233844.4556553587</v>
      </c>
      <c r="K41" s="129">
        <f t="shared" si="20"/>
        <v>1347902.2553731687</v>
      </c>
      <c r="L41" s="129">
        <f t="shared" si="20"/>
        <v>1464501.714670416</v>
      </c>
      <c r="M41" s="129">
        <f t="shared" si="20"/>
        <v>1583694.0288740499</v>
      </c>
      <c r="N41" s="129">
        <f t="shared" si="20"/>
        <v>1705531.2222825857</v>
      </c>
      <c r="O41" s="129">
        <f t="shared" si="20"/>
        <v>1830066.1528735533</v>
      </c>
      <c r="P41" s="129">
        <f t="shared" si="20"/>
        <v>1957352.5165650742</v>
      </c>
      <c r="Q41" s="129">
        <f t="shared" si="20"/>
        <v>2087444.8510007197</v>
      </c>
      <c r="R41" s="129">
        <f t="shared" si="20"/>
        <v>2220398.5388252307</v>
      </c>
      <c r="S41" s="130">
        <f t="shared" si="20"/>
        <v>2356269.8104172433</v>
      </c>
      <c r="T41" s="130">
        <f t="shared" ref="T41:AH41" si="21">T25+T37</f>
        <v>2495115.7460434884</v>
      </c>
      <c r="U41" s="130">
        <f t="shared" si="21"/>
        <v>2636994.2773973746</v>
      </c>
      <c r="V41" s="130">
        <f t="shared" si="21"/>
        <v>2781964.1884830603</v>
      </c>
      <c r="W41" s="130">
        <f t="shared" si="21"/>
        <v>2930085.1158043751</v>
      </c>
      <c r="X41" s="130">
        <f t="shared" si="21"/>
        <v>3081417.5478160335</v>
      </c>
      <c r="Y41" s="130">
        <f t="shared" si="21"/>
        <v>3236022.8235927578</v>
      </c>
      <c r="Z41" s="130">
        <f t="shared" si="21"/>
        <v>3393963.1306696897</v>
      </c>
      <c r="AA41" s="130">
        <f t="shared" si="21"/>
        <v>3555301.502005633</v>
      </c>
      <c r="AB41" s="130">
        <f t="shared" si="21"/>
        <v>3720101.8120182464</v>
      </c>
      <c r="AC41" s="130">
        <f t="shared" si="21"/>
        <v>3888428.771638155</v>
      </c>
      <c r="AD41" s="130">
        <f t="shared" si="21"/>
        <v>4060347.9223265452</v>
      </c>
      <c r="AE41" s="130">
        <f t="shared" si="21"/>
        <v>4235925.6289983103</v>
      </c>
      <c r="AF41" s="130">
        <f t="shared" si="21"/>
        <v>4415229.0717903152</v>
      </c>
      <c r="AG41" s="130">
        <f t="shared" si="21"/>
        <v>4598326.2366115823</v>
      </c>
      <c r="AH41" s="130">
        <f t="shared" si="21"/>
        <v>4785285.9044095064</v>
      </c>
    </row>
    <row r="42" spans="1:34">
      <c r="A42" s="86"/>
      <c r="B42" s="110" t="s">
        <v>330</v>
      </c>
      <c r="C42" s="323">
        <f>GapCalc!I33</f>
        <v>0.85000000000000009</v>
      </c>
      <c r="D42" s="131" t="s">
        <v>1049</v>
      </c>
      <c r="E42" s="129">
        <f>((E41*$C$42))</f>
        <v>594953.98531513824</v>
      </c>
      <c r="F42" s="129">
        <f t="shared" ref="F42:S42" si="22">((F41*$C$42))</f>
        <v>681729.46308877342</v>
      </c>
      <c r="G42" s="129">
        <f t="shared" si="22"/>
        <v>770458.17724395345</v>
      </c>
      <c r="H42" s="129">
        <f t="shared" si="22"/>
        <v>861180.19227068336</v>
      </c>
      <c r="I42" s="129">
        <f t="shared" si="22"/>
        <v>953936.25243215915</v>
      </c>
      <c r="J42" s="129">
        <f t="shared" si="22"/>
        <v>1048767.787307055</v>
      </c>
      <c r="K42" s="129">
        <f t="shared" si="22"/>
        <v>1145716.9170671937</v>
      </c>
      <c r="L42" s="129">
        <f t="shared" si="22"/>
        <v>1244826.4574698538</v>
      </c>
      <c r="M42" s="129">
        <f t="shared" si="22"/>
        <v>1346139.9245429426</v>
      </c>
      <c r="N42" s="129">
        <f t="shared" si="22"/>
        <v>1449701.538940198</v>
      </c>
      <c r="O42" s="129">
        <f t="shared" si="22"/>
        <v>1555556.2299425204</v>
      </c>
      <c r="P42" s="129">
        <f t="shared" si="22"/>
        <v>1663749.6390803133</v>
      </c>
      <c r="Q42" s="129">
        <f t="shared" si="22"/>
        <v>1774328.1233506119</v>
      </c>
      <c r="R42" s="129">
        <f t="shared" si="22"/>
        <v>1887338.7580014463</v>
      </c>
      <c r="S42" s="129">
        <f t="shared" si="22"/>
        <v>2002829.338854657</v>
      </c>
      <c r="T42" s="129">
        <f t="shared" ref="T42:AH42" si="23">((T41*$C$42))</f>
        <v>2120848.3841369655</v>
      </c>
      <c r="U42" s="129">
        <f t="shared" si="23"/>
        <v>2241445.1357877688</v>
      </c>
      <c r="V42" s="129">
        <f t="shared" si="23"/>
        <v>2364669.5602106014</v>
      </c>
      <c r="W42" s="129">
        <f t="shared" si="23"/>
        <v>2490572.348433719</v>
      </c>
      <c r="X42" s="129">
        <f t="shared" si="23"/>
        <v>2619204.9156436287</v>
      </c>
      <c r="Y42" s="129">
        <f t="shared" si="23"/>
        <v>2750619.4000538443</v>
      </c>
      <c r="Z42" s="129">
        <f t="shared" si="23"/>
        <v>2884868.6610692367</v>
      </c>
      <c r="AA42" s="129">
        <f t="shared" si="23"/>
        <v>3022006.2767047882</v>
      </c>
      <c r="AB42" s="129">
        <f t="shared" si="23"/>
        <v>3162086.5402155099</v>
      </c>
      <c r="AC42" s="129">
        <f t="shared" si="23"/>
        <v>3305164.455892432</v>
      </c>
      <c r="AD42" s="129">
        <f t="shared" si="23"/>
        <v>3451295.7339775637</v>
      </c>
      <c r="AE42" s="129">
        <f t="shared" si="23"/>
        <v>3600536.7846485642</v>
      </c>
      <c r="AF42" s="129">
        <f t="shared" si="23"/>
        <v>3752944.7110217684</v>
      </c>
      <c r="AG42" s="129">
        <f t="shared" si="23"/>
        <v>3908577.3011198454</v>
      </c>
      <c r="AH42" s="129">
        <f t="shared" si="23"/>
        <v>4067493.0187480808</v>
      </c>
    </row>
    <row r="43" spans="1:34">
      <c r="A43" s="86"/>
      <c r="B43" s="132" t="s">
        <v>331</v>
      </c>
      <c r="C43" s="324">
        <f>GapCalc!I32</f>
        <v>0.15000000000000002</v>
      </c>
      <c r="D43" s="133" t="s">
        <v>1049</v>
      </c>
      <c r="E43" s="108">
        <f>$C$43*(E41)</f>
        <v>104991.87976149499</v>
      </c>
      <c r="F43" s="108">
        <f t="shared" ref="F43:S43" si="24">$C$43*(F41)</f>
        <v>120305.19936860708</v>
      </c>
      <c r="G43" s="108">
        <f t="shared" si="24"/>
        <v>135963.20774893297</v>
      </c>
      <c r="H43" s="108">
        <f t="shared" si="24"/>
        <v>151972.97510659118</v>
      </c>
      <c r="I43" s="108">
        <f t="shared" si="24"/>
        <v>168341.69160567515</v>
      </c>
      <c r="J43" s="108">
        <f t="shared" si="24"/>
        <v>185076.66834830385</v>
      </c>
      <c r="K43" s="108">
        <f t="shared" si="24"/>
        <v>202185.33830597534</v>
      </c>
      <c r="L43" s="108">
        <f t="shared" si="24"/>
        <v>219675.25720056242</v>
      </c>
      <c r="M43" s="108">
        <f t="shared" si="24"/>
        <v>237554.10433110752</v>
      </c>
      <c r="N43" s="108">
        <f t="shared" si="24"/>
        <v>255829.6833423879</v>
      </c>
      <c r="O43" s="108">
        <f t="shared" si="24"/>
        <v>274509.92293103301</v>
      </c>
      <c r="P43" s="108">
        <f t="shared" si="24"/>
        <v>293602.87748476118</v>
      </c>
      <c r="Q43" s="108">
        <f t="shared" si="24"/>
        <v>313116.72765010799</v>
      </c>
      <c r="R43" s="108">
        <f t="shared" si="24"/>
        <v>333059.78082378465</v>
      </c>
      <c r="S43" s="108">
        <f t="shared" si="24"/>
        <v>353440.47156258655</v>
      </c>
      <c r="T43" s="108">
        <f t="shared" ref="T43:AH43" si="25">$C$43*(T41)</f>
        <v>374267.36190652329</v>
      </c>
      <c r="U43" s="108">
        <f t="shared" si="25"/>
        <v>395549.14160960627</v>
      </c>
      <c r="V43" s="108">
        <f t="shared" si="25"/>
        <v>417294.62827245909</v>
      </c>
      <c r="W43" s="108">
        <f t="shared" si="25"/>
        <v>439512.76737065637</v>
      </c>
      <c r="X43" s="108">
        <f t="shared" si="25"/>
        <v>462212.63217240508</v>
      </c>
      <c r="Y43" s="108">
        <f t="shared" si="25"/>
        <v>485403.42353891372</v>
      </c>
      <c r="Z43" s="108">
        <f t="shared" si="25"/>
        <v>509094.46960045351</v>
      </c>
      <c r="AA43" s="108">
        <f t="shared" si="25"/>
        <v>533295.22530084499</v>
      </c>
      <c r="AB43" s="108">
        <f t="shared" si="25"/>
        <v>558015.27180273703</v>
      </c>
      <c r="AC43" s="108">
        <f t="shared" si="25"/>
        <v>583264.31574572332</v>
      </c>
      <c r="AD43" s="108">
        <f t="shared" si="25"/>
        <v>609052.1883489819</v>
      </c>
      <c r="AE43" s="108">
        <f t="shared" si="25"/>
        <v>635388.84434974659</v>
      </c>
      <c r="AF43" s="108">
        <f t="shared" si="25"/>
        <v>662284.3607685474</v>
      </c>
      <c r="AG43" s="108">
        <f t="shared" si="25"/>
        <v>689748.93549173744</v>
      </c>
      <c r="AH43" s="108">
        <f t="shared" si="25"/>
        <v>717792.88566142612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2.8967586420197689E-2</v>
      </c>
      <c r="F47" s="142">
        <f>F41/GapCalc!$H$33</f>
        <v>3.3192578963495409E-2</v>
      </c>
      <c r="G47" s="142">
        <f>G41/GapCalc!$H$33</f>
        <v>3.7512672212188868E-2</v>
      </c>
      <c r="H47" s="142">
        <f>H41/GapCalc!$H$33</f>
        <v>4.1929816857600832E-2</v>
      </c>
      <c r="I47" s="142">
        <f>I41/GapCalc!$H$33</f>
        <v>4.6445996688384526E-2</v>
      </c>
      <c r="J47" s="142">
        <f>J41/GapCalc!$H$33</f>
        <v>5.1063228860370853E-2</v>
      </c>
      <c r="K47" s="142">
        <f>K41/GapCalc!$H$33</f>
        <v>5.5783564153531744E-2</v>
      </c>
      <c r="L47" s="142">
        <f>L41/GapCalc!$H$33</f>
        <v>6.060908721504956E-2</v>
      </c>
      <c r="M47" s="142">
        <f>M41/GapCalc!$H$33</f>
        <v>6.554191678743243E-2</v>
      </c>
      <c r="N47" s="142">
        <f>N41/GapCalc!$H$33</f>
        <v>7.0584205920563733E-2</v>
      </c>
      <c r="O47" s="142">
        <f>O41/GapCalc!$H$33</f>
        <v>7.5738142166522152E-2</v>
      </c>
      <c r="P47" s="142">
        <f>P41/GapCalc!$H$33</f>
        <v>8.1005947755948923E-2</v>
      </c>
      <c r="Q47" s="142">
        <f>Q41/GapCalc!$H$33</f>
        <v>8.6389879754686039E-2</v>
      </c>
      <c r="R47" s="142">
        <f>R41/GapCalc!$H$33</f>
        <v>9.1892230199343422E-2</v>
      </c>
      <c r="S47" s="142">
        <f>S41/GapCalc!$H$33</f>
        <v>9.7515326210394021E-2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2.4622448457168038E-2</v>
      </c>
      <c r="F48" s="142">
        <f>F43/GapCalc!$H$32</f>
        <v>2.8213692118971102E-2</v>
      </c>
      <c r="G48" s="142">
        <f>G43/GapCalc!$H$32</f>
        <v>3.1885771380360542E-2</v>
      </c>
      <c r="H48" s="142">
        <f>H43/GapCalc!$H$32</f>
        <v>3.564034432896071E-2</v>
      </c>
      <c r="I48" s="142">
        <f>I43/GapCalc!$H$32</f>
        <v>3.9479097185126856E-2</v>
      </c>
      <c r="J48" s="142">
        <f>J43/GapCalc!$H$32</f>
        <v>4.3403744531315236E-2</v>
      </c>
      <c r="K48" s="142">
        <f>K43/GapCalc!$H$32</f>
        <v>4.7416029530501988E-2</v>
      </c>
      <c r="L48" s="142">
        <f>L43/GapCalc!$H$32</f>
        <v>5.1517724132792132E-2</v>
      </c>
      <c r="M48" s="142">
        <f>M43/GapCalc!$H$32</f>
        <v>5.5710629269317566E-2</v>
      </c>
      <c r="N48" s="142">
        <f>N43/GapCalc!$H$32</f>
        <v>5.9996575032479182E-2</v>
      </c>
      <c r="O48" s="142">
        <f>O43/GapCalc!$H$32</f>
        <v>6.4377420841543825E-2</v>
      </c>
      <c r="P48" s="142">
        <f>P43/GapCalc!$H$32</f>
        <v>6.8855055592556585E-2</v>
      </c>
      <c r="Q48" s="142">
        <f>Q43/GapCalc!$H$32</f>
        <v>7.3431397791483138E-2</v>
      </c>
      <c r="R48" s="142">
        <f>R43/GapCalc!$H$32</f>
        <v>7.8108395669441916E-2</v>
      </c>
      <c r="S48" s="142">
        <f>S43/GapCalc!$H$32</f>
        <v>8.288802727883493E-2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23369319.422425095</v>
      </c>
      <c r="D66" s="1544"/>
      <c r="E66" s="1564" t="s">
        <v>285</v>
      </c>
      <c r="G66" s="1520" t="s">
        <v>1073</v>
      </c>
      <c r="H66" s="1565">
        <f>H70/1.63</f>
        <v>4123997.5451338398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6056742.7747249557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1068836.9602455806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3230967.1323710517</v>
      </c>
      <c r="D68" s="1545" t="s">
        <v>68</v>
      </c>
      <c r="G68" s="1521" t="s">
        <v>1079</v>
      </c>
      <c r="H68" s="1568">
        <f>IF(GapCalc!D41*C43&lt; 0,0,GapCalc!D41*C43)</f>
        <v>570170.67041842092</v>
      </c>
      <c r="I68" s="1545" t="s">
        <v>68</v>
      </c>
    </row>
    <row r="69" spans="2:10">
      <c r="B69" s="1521" t="s">
        <v>1059</v>
      </c>
      <c r="C69" s="1568">
        <f>'Debt Calc'!E60</f>
        <v>28804280.75145689</v>
      </c>
      <c r="D69" s="1546">
        <v>0.9</v>
      </c>
      <c r="G69" s="1521" t="s">
        <v>1075</v>
      </c>
      <c r="H69" s="1568">
        <f>'Debt Calc'!E59*C43</f>
        <v>5083108.3679041574</v>
      </c>
      <c r="I69" s="1546">
        <v>0.9</v>
      </c>
    </row>
    <row r="70" spans="2:10">
      <c r="B70" s="1523" t="s">
        <v>1042</v>
      </c>
      <c r="C70" s="1577">
        <f>C67+C68+C69</f>
        <v>38091990.6585529</v>
      </c>
      <c r="D70" s="1545" t="s">
        <v>68</v>
      </c>
      <c r="G70" s="1523" t="s">
        <v>1042</v>
      </c>
      <c r="H70" s="1577">
        <f>H67+H68+H69</f>
        <v>6722115.9985681586</v>
      </c>
      <c r="I70" s="1545" t="s">
        <v>68</v>
      </c>
    </row>
    <row r="71" spans="2:10">
      <c r="B71" s="1523" t="s">
        <v>1043</v>
      </c>
      <c r="C71" s="1571">
        <f>C70/C66</f>
        <v>1.63</v>
      </c>
      <c r="D71" s="1547"/>
      <c r="G71" s="1523" t="s">
        <v>1043</v>
      </c>
      <c r="H71" s="1571">
        <f>H70/H66</f>
        <v>1.63</v>
      </c>
      <c r="I71" s="1547"/>
    </row>
    <row r="72" spans="2:10">
      <c r="B72" s="1521" t="s">
        <v>1044</v>
      </c>
      <c r="C72" s="1524">
        <f>(C70-C66)/C66</f>
        <v>0.62999999999999978</v>
      </c>
      <c r="D72" s="1548"/>
      <c r="G72" s="1521" t="s">
        <v>1044</v>
      </c>
      <c r="H72" s="1524">
        <f>(H70-H66)/H66</f>
        <v>0.62999999999999989</v>
      </c>
      <c r="I72" s="1548"/>
    </row>
    <row r="73" spans="2:10">
      <c r="B73" s="1523" t="s">
        <v>1045</v>
      </c>
      <c r="C73" s="1566">
        <f>C72/7</f>
        <v>8.9999999999999969E-2</v>
      </c>
      <c r="D73" s="1548"/>
      <c r="G73" s="1523" t="s">
        <v>1045</v>
      </c>
      <c r="H73" s="1566">
        <f>H72/7</f>
        <v>8.9999999999999983E-2</v>
      </c>
      <c r="I73" s="1548"/>
    </row>
    <row r="74" spans="2:10" ht="13.5" thickBot="1">
      <c r="B74" s="1578" t="s">
        <v>1080</v>
      </c>
      <c r="C74" s="1581">
        <f>GapCalc!H33</f>
        <v>24163071.611261163</v>
      </c>
      <c r="D74" s="1549"/>
      <c r="F74" s="1559"/>
      <c r="G74" s="1578" t="s">
        <v>1082</v>
      </c>
      <c r="H74" s="1581">
        <f>GapCalc!H32</f>
        <v>4264071.4608107936</v>
      </c>
      <c r="I74" s="1549"/>
    </row>
    <row r="75" spans="2:10">
      <c r="B75" s="70" t="s">
        <v>1081</v>
      </c>
      <c r="C75" s="1579">
        <f>(C70-C74)/C74</f>
        <v>0.57645481797108056</v>
      </c>
      <c r="G75" s="70" t="s">
        <v>1081</v>
      </c>
      <c r="H75" s="1579">
        <f>(H70-H74)/H74</f>
        <v>0.57645481797108045</v>
      </c>
    </row>
    <row r="76" spans="2:10">
      <c r="B76" s="70" t="s">
        <v>1045</v>
      </c>
      <c r="C76" s="1579">
        <f>C75/7</f>
        <v>8.2350688281582943E-2</v>
      </c>
      <c r="G76" s="70" t="s">
        <v>1045</v>
      </c>
      <c r="H76" s="1579">
        <f>H75/7</f>
        <v>8.2350688281582915E-2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7404654.3489161124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10097410.695677951</v>
      </c>
      <c r="D81" s="1545" t="s">
        <v>68</v>
      </c>
    </row>
    <row r="82" spans="2:10">
      <c r="B82" s="1521" t="s">
        <v>1059</v>
      </c>
      <c r="C82" s="1568">
        <f>C68</f>
        <v>3230967.1323710517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13328377.828049002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0.79999999999999993</v>
      </c>
      <c r="D86" s="1548"/>
    </row>
    <row r="87" spans="2:10">
      <c r="B87" s="1523" t="s">
        <v>1045</v>
      </c>
      <c r="C87" s="1566">
        <f>C86/10</f>
        <v>7.9999999999999988E-2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31653052.491021995</v>
      </c>
      <c r="D93" s="1544"/>
      <c r="E93" s="1564" t="s">
        <v>288</v>
      </c>
      <c r="G93" s="1520" t="s">
        <v>1073</v>
      </c>
      <c r="H93" s="1565">
        <f>H97/1.63</f>
        <v>4561457.081866391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10097410.695677951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1781896.0051196385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3230967.1323710517</v>
      </c>
      <c r="D95" s="1545" t="s">
        <v>68</v>
      </c>
      <c r="G95" s="1521" t="s">
        <v>1079</v>
      </c>
      <c r="H95" s="1568">
        <f>IF(GapCalc!D41*C43&lt; 0,0,GapCalc!D41*C43)</f>
        <v>570170.67041842092</v>
      </c>
      <c r="I95" s="1545" t="s">
        <v>68</v>
      </c>
    </row>
    <row r="96" spans="2:10">
      <c r="B96" s="1521" t="s">
        <v>1059</v>
      </c>
      <c r="C96" s="1568">
        <f>'Debt Calc'!H60</f>
        <v>38266097.732316844</v>
      </c>
      <c r="D96" s="1546">
        <v>0.9</v>
      </c>
      <c r="G96" s="1521" t="s">
        <v>1075</v>
      </c>
      <c r="H96" s="1568">
        <f>'Debt Calc'!E59*C43</f>
        <v>5083108.3679041574</v>
      </c>
      <c r="I96" s="1546">
        <v>0.9</v>
      </c>
    </row>
    <row r="97" spans="2:9">
      <c r="B97" s="1523" t="s">
        <v>1042</v>
      </c>
      <c r="C97" s="1577">
        <f>C94+C95+C96</f>
        <v>51594475.560365848</v>
      </c>
      <c r="D97" s="1545" t="s">
        <v>68</v>
      </c>
      <c r="G97" s="1523" t="s">
        <v>1042</v>
      </c>
      <c r="H97" s="1577">
        <f>H94+H95+H96</f>
        <v>7435175.0434422167</v>
      </c>
      <c r="I97" s="1545" t="s">
        <v>68</v>
      </c>
    </row>
    <row r="98" spans="2:9">
      <c r="B98" s="1523" t="s">
        <v>1043</v>
      </c>
      <c r="C98" s="1571">
        <f>C97/C93</f>
        <v>1.63</v>
      </c>
      <c r="D98" s="1547"/>
      <c r="G98" s="1523" t="s">
        <v>1043</v>
      </c>
      <c r="H98" s="1571">
        <f>H97/H93</f>
        <v>1.63</v>
      </c>
      <c r="I98" s="1547"/>
    </row>
    <row r="99" spans="2:9">
      <c r="B99" s="1521" t="s">
        <v>1044</v>
      </c>
      <c r="C99" s="1524">
        <f>(C97-C93)/C93</f>
        <v>0.62999999999999989</v>
      </c>
      <c r="D99" s="1548"/>
      <c r="G99" s="1521" t="s">
        <v>1044</v>
      </c>
      <c r="H99" s="1524">
        <f>(H97-H93)/H93</f>
        <v>0.62999999999999989</v>
      </c>
      <c r="I99" s="1548"/>
    </row>
    <row r="100" spans="2:9">
      <c r="B100" s="1523" t="s">
        <v>1045</v>
      </c>
      <c r="C100" s="1566">
        <f>C99/7</f>
        <v>8.9999999999999983E-2</v>
      </c>
      <c r="D100" s="1548"/>
      <c r="G100" s="1523" t="s">
        <v>1045</v>
      </c>
      <c r="H100" s="1566">
        <f>H99/7</f>
        <v>8.9999999999999983E-2</v>
      </c>
      <c r="I100" s="1548"/>
    </row>
    <row r="101" spans="2:9" ht="13.5" thickBot="1">
      <c r="B101" s="1578" t="s">
        <v>1080</v>
      </c>
      <c r="C101" s="1581">
        <f>GapCalc!H33</f>
        <v>24163071.611261163</v>
      </c>
      <c r="D101" s="1549"/>
      <c r="G101" s="1578" t="s">
        <v>1082</v>
      </c>
      <c r="H101" s="1581">
        <f>GapCalc!H32</f>
        <v>4264071.4608107936</v>
      </c>
      <c r="I101" s="1549"/>
    </row>
    <row r="102" spans="2:9">
      <c r="B102" s="70" t="s">
        <v>1081</v>
      </c>
      <c r="C102" s="1579">
        <f>(C97-C101)/C101</f>
        <v>1.1352614597359518</v>
      </c>
      <c r="G102" s="70" t="s">
        <v>1081</v>
      </c>
      <c r="H102" s="1579">
        <f>(H97-H101)/H101</f>
        <v>0.74367974640566936</v>
      </c>
    </row>
    <row r="103" spans="2:9">
      <c r="B103" s="70" t="s">
        <v>1045</v>
      </c>
      <c r="C103" s="1579">
        <f>C102/10</f>
        <v>0.11352614597359519</v>
      </c>
      <c r="G103" s="70" t="s">
        <v>1045</v>
      </c>
      <c r="H103" s="1579">
        <f>H102/10</f>
        <v>7.4367974640566936E-2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115030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23006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138036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138036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138036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151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75.5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75.5</v>
      </c>
      <c r="D49" s="876"/>
      <c r="E49" s="855" t="s">
        <v>577</v>
      </c>
      <c r="F49" s="855"/>
      <c r="G49" s="923">
        <v>143</v>
      </c>
      <c r="H49" s="884">
        <f>C53*D53</f>
        <v>30199.769230769234</v>
      </c>
      <c r="I49" s="884">
        <f>G49*H49</f>
        <v>4318567.0000000009</v>
      </c>
      <c r="J49" s="925">
        <f>IFERROR(I49/C53,0)</f>
        <v>56823.250000000015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30199.769230769234</v>
      </c>
      <c r="I51" s="930">
        <f>SUM(I48:I50)</f>
        <v>4318567.0000000009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76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4318567.0000000009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76</v>
      </c>
      <c r="D55" s="855"/>
      <c r="E55" s="855"/>
      <c r="F55" s="937"/>
      <c r="G55" s="855"/>
      <c r="H55" s="872" t="s">
        <v>685</v>
      </c>
      <c r="I55" s="939">
        <f>SUM(I53:I54)</f>
        <v>4318567.0000000009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-0.5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59" sqref="H59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3499729.3253831677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64986306.844423294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64986300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29989010.432118036</v>
      </c>
    </row>
    <row r="15" spans="2:36">
      <c r="B15" s="556"/>
      <c r="C15" s="560" t="s">
        <v>634</v>
      </c>
      <c r="H15" s="561">
        <f>12*PMT(Data!C24/12,Data!C29*12,-'Debt Calc'!H14)</f>
        <v>3499728.9567881944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-12417090.898640048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-12417090.898640048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64986300</v>
      </c>
      <c r="E21" s="561">
        <f>$H$15</f>
        <v>3499728.9567881944</v>
      </c>
      <c r="F21" s="561">
        <f>E21-G21</f>
        <v>0</v>
      </c>
      <c r="G21" s="561">
        <f>D21-H21</f>
        <v>3499728.9567881972</v>
      </c>
      <c r="H21" s="561">
        <f>D21-E21</f>
        <v>61486571.043211803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61486571.043211803</v>
      </c>
      <c r="E22" s="561">
        <f t="shared" ref="E22:E50" si="1">$H$15</f>
        <v>3499728.9567881944</v>
      </c>
      <c r="F22" s="561">
        <f t="shared" ref="F22:F50" si="2">E22-G22</f>
        <v>0</v>
      </c>
      <c r="G22" s="561">
        <f t="shared" ref="G22:G50" si="3">D22-H22</f>
        <v>3499728.9567881972</v>
      </c>
      <c r="H22" s="561">
        <f t="shared" ref="H22:H39" si="4">D22-E22</f>
        <v>57986842.086423606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57986842.086423606</v>
      </c>
      <c r="E23" s="561">
        <f t="shared" si="1"/>
        <v>3499728.9567881944</v>
      </c>
      <c r="F23" s="561">
        <f t="shared" si="2"/>
        <v>0</v>
      </c>
      <c r="G23" s="561">
        <f t="shared" si="3"/>
        <v>3499728.9567881972</v>
      </c>
      <c r="H23" s="561">
        <f t="shared" si="4"/>
        <v>54487113.129635409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54487113.129635409</v>
      </c>
      <c r="E24" s="561">
        <f t="shared" si="1"/>
        <v>3499728.9567881944</v>
      </c>
      <c r="F24" s="561">
        <f t="shared" si="2"/>
        <v>0</v>
      </c>
      <c r="G24" s="561">
        <f t="shared" si="3"/>
        <v>3499728.9567881972</v>
      </c>
      <c r="H24" s="561">
        <f t="shared" si="4"/>
        <v>50987384.172847211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50987384.172847211</v>
      </c>
      <c r="E25" s="561">
        <f t="shared" si="1"/>
        <v>3499728.9567881944</v>
      </c>
      <c r="F25" s="561">
        <f t="shared" si="2"/>
        <v>0</v>
      </c>
      <c r="G25" s="561">
        <f t="shared" si="3"/>
        <v>3499728.9567881972</v>
      </c>
      <c r="H25" s="561">
        <f t="shared" si="4"/>
        <v>47487655.216059014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47487655.216059014</v>
      </c>
      <c r="E26" s="561">
        <f t="shared" si="1"/>
        <v>3499728.9567881944</v>
      </c>
      <c r="F26" s="561">
        <f t="shared" si="2"/>
        <v>0</v>
      </c>
      <c r="G26" s="561">
        <f t="shared" si="3"/>
        <v>3499728.9567881972</v>
      </c>
      <c r="H26" s="561">
        <f t="shared" si="4"/>
        <v>43987926.259270817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43987926.259270817</v>
      </c>
      <c r="E27" s="561">
        <f t="shared" si="1"/>
        <v>3499728.9567881944</v>
      </c>
      <c r="F27" s="561">
        <f t="shared" si="2"/>
        <v>0</v>
      </c>
      <c r="G27" s="561">
        <f t="shared" si="3"/>
        <v>3499728.9567881972</v>
      </c>
      <c r="H27" s="561">
        <f t="shared" si="4"/>
        <v>40488197.30248262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40488197.30248262</v>
      </c>
      <c r="E28" s="561">
        <f t="shared" si="1"/>
        <v>3499728.9567881944</v>
      </c>
      <c r="F28" s="561">
        <f t="shared" si="2"/>
        <v>0</v>
      </c>
      <c r="G28" s="561">
        <f t="shared" si="3"/>
        <v>3499728.9567881972</v>
      </c>
      <c r="H28" s="561">
        <f t="shared" si="4"/>
        <v>36988468.345694423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36988468.345694423</v>
      </c>
      <c r="E29" s="561">
        <f t="shared" si="1"/>
        <v>3499728.9567881944</v>
      </c>
      <c r="F29" s="561">
        <f t="shared" si="2"/>
        <v>0</v>
      </c>
      <c r="G29" s="561">
        <f t="shared" si="3"/>
        <v>3499728.9567881934</v>
      </c>
      <c r="H29" s="561">
        <f t="shared" si="4"/>
        <v>33488739.388906229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33488739.388906229</v>
      </c>
      <c r="E30" s="561">
        <f t="shared" si="1"/>
        <v>3499728.9567881944</v>
      </c>
      <c r="F30" s="561">
        <f t="shared" si="2"/>
        <v>0</v>
      </c>
      <c r="G30" s="561">
        <f t="shared" si="3"/>
        <v>3499728.9567881934</v>
      </c>
      <c r="H30" s="561">
        <f>D30-E30</f>
        <v>29989010.432118036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29989010.432118036</v>
      </c>
      <c r="E31" s="561">
        <f t="shared" si="1"/>
        <v>3499728.9567881944</v>
      </c>
      <c r="F31" s="561">
        <f t="shared" si="2"/>
        <v>0</v>
      </c>
      <c r="G31" s="561">
        <f t="shared" si="3"/>
        <v>3499728.9567881934</v>
      </c>
      <c r="H31" s="561">
        <f t="shared" si="4"/>
        <v>26489281.475329842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26489281.475329842</v>
      </c>
      <c r="E32" s="561">
        <f t="shared" si="1"/>
        <v>3499728.9567881944</v>
      </c>
      <c r="F32" s="561">
        <f t="shared" si="2"/>
        <v>0</v>
      </c>
      <c r="G32" s="561">
        <f t="shared" si="3"/>
        <v>3499728.9567881934</v>
      </c>
      <c r="H32" s="561">
        <f t="shared" si="4"/>
        <v>22989552.518541649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22989552.518541649</v>
      </c>
      <c r="E33" s="561">
        <f t="shared" si="1"/>
        <v>3499728.9567881944</v>
      </c>
      <c r="F33" s="561">
        <f t="shared" si="2"/>
        <v>0</v>
      </c>
      <c r="G33" s="561">
        <f t="shared" si="3"/>
        <v>3499728.9567881934</v>
      </c>
      <c r="H33" s="561">
        <f t="shared" si="4"/>
        <v>19489823.561753456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19489823.561753456</v>
      </c>
      <c r="E34" s="561">
        <f t="shared" si="1"/>
        <v>3499728.9567881944</v>
      </c>
      <c r="F34" s="561">
        <f t="shared" si="2"/>
        <v>0</v>
      </c>
      <c r="G34" s="561">
        <f t="shared" si="3"/>
        <v>3499728.9567881934</v>
      </c>
      <c r="H34" s="561">
        <f t="shared" si="4"/>
        <v>15990094.604965262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15990094.604965262</v>
      </c>
      <c r="E35" s="561">
        <f t="shared" si="1"/>
        <v>3499728.9567881944</v>
      </c>
      <c r="F35" s="561">
        <f t="shared" si="2"/>
        <v>0</v>
      </c>
      <c r="G35" s="561">
        <f t="shared" si="3"/>
        <v>3499728.9567881934</v>
      </c>
      <c r="H35" s="561">
        <f t="shared" si="4"/>
        <v>12490365.648177069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12490365.648177069</v>
      </c>
      <c r="E36" s="561">
        <f t="shared" si="1"/>
        <v>3499728.9567881944</v>
      </c>
      <c r="F36" s="561">
        <f t="shared" si="2"/>
        <v>0</v>
      </c>
      <c r="G36" s="561">
        <f t="shared" si="3"/>
        <v>3499728.9567881934</v>
      </c>
      <c r="H36" s="561">
        <f t="shared" si="4"/>
        <v>8990636.6913888752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8990636.6913888752</v>
      </c>
      <c r="E37" s="561">
        <f t="shared" si="1"/>
        <v>3499728.9567881944</v>
      </c>
      <c r="F37" s="561">
        <f t="shared" si="2"/>
        <v>0</v>
      </c>
      <c r="G37" s="561">
        <f t="shared" si="3"/>
        <v>3499728.9567881944</v>
      </c>
      <c r="H37" s="561">
        <f t="shared" si="4"/>
        <v>5490907.7346006809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5490907.7346006809</v>
      </c>
      <c r="E38" s="561">
        <f t="shared" si="1"/>
        <v>3499728.9567881944</v>
      </c>
      <c r="F38" s="561">
        <f t="shared" si="2"/>
        <v>0</v>
      </c>
      <c r="G38" s="561">
        <f t="shared" si="3"/>
        <v>3499728.9567881944</v>
      </c>
      <c r="H38" s="561">
        <f>D38-E38</f>
        <v>1991178.7778124865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1991178.7778124865</v>
      </c>
      <c r="E39" s="561">
        <f t="shared" si="1"/>
        <v>3499728.9567881944</v>
      </c>
      <c r="F39" s="561">
        <f t="shared" si="2"/>
        <v>0</v>
      </c>
      <c r="G39" s="561">
        <f t="shared" si="3"/>
        <v>3499728.9567881944</v>
      </c>
      <c r="H39" s="561">
        <f t="shared" si="4"/>
        <v>-1508550.1789757079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-1508550.1789757079</v>
      </c>
      <c r="E40" s="561">
        <f t="shared" si="1"/>
        <v>3499728.9567881944</v>
      </c>
      <c r="F40" s="561">
        <f t="shared" si="2"/>
        <v>5008279.1357639022</v>
      </c>
      <c r="G40" s="561">
        <f t="shared" si="3"/>
        <v>-1508550.1789757079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3499728.9567881944</v>
      </c>
      <c r="F41" s="561">
        <f t="shared" si="2"/>
        <v>3499728.9567881944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3499728.9567881944</v>
      </c>
      <c r="F42" s="561">
        <f t="shared" si="2"/>
        <v>3499728.9567881944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3499728.9567881944</v>
      </c>
      <c r="F43" s="561">
        <f t="shared" si="2"/>
        <v>3499728.9567881944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3499728.9567881944</v>
      </c>
      <c r="F44" s="561">
        <f t="shared" si="2"/>
        <v>3499728.9567881944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3499728.9567881944</v>
      </c>
      <c r="F45" s="561">
        <f t="shared" si="2"/>
        <v>3499728.9567881944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3499728.9567881944</v>
      </c>
      <c r="F46" s="561">
        <f t="shared" si="2"/>
        <v>3499728.9567881944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3499728.9567881944</v>
      </c>
      <c r="F47" s="561">
        <f t="shared" si="2"/>
        <v>3499728.9567881944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3499728.9567881944</v>
      </c>
      <c r="F48" s="561">
        <f t="shared" si="2"/>
        <v>3499728.9567881944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3499728.9567881944</v>
      </c>
      <c r="F49" s="561">
        <f t="shared" si="2"/>
        <v>3499728.9567881944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3499728.9567881944</v>
      </c>
      <c r="F50" s="561">
        <f t="shared" si="2"/>
        <v>3499728.9567881944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1088</v>
      </c>
      <c r="H54" s="1659"/>
    </row>
    <row r="55" spans="2:28">
      <c r="D55" s="1655" t="s">
        <v>1064</v>
      </c>
      <c r="E55" s="1664">
        <f>'Cash Flow'!K15/0.05</f>
        <v>128793894.98452236</v>
      </c>
      <c r="F55" s="561"/>
      <c r="G55" s="1663" t="s">
        <v>1064</v>
      </c>
      <c r="H55" s="1667">
        <f>'Cash Flow'!N15/0.05</f>
        <v>138696938.06606659</v>
      </c>
    </row>
    <row r="56" spans="2:28">
      <c r="D56" s="1653" t="s">
        <v>1065</v>
      </c>
      <c r="E56" s="1665">
        <f>'Cash Flow'!K21/1.2</f>
        <v>4039692.9839636139</v>
      </c>
      <c r="F56" s="561"/>
      <c r="G56" s="1661" t="s">
        <v>1065</v>
      </c>
      <c r="H56" s="1668">
        <f>'Cash Flow'!N21/1.2</f>
        <v>4337717.123054795</v>
      </c>
    </row>
    <row r="57" spans="2:28">
      <c r="D57" s="1653" t="s">
        <v>1066</v>
      </c>
      <c r="E57" s="1665">
        <f>E55*0.6</f>
        <v>77276336.990713418</v>
      </c>
      <c r="F57" s="561"/>
      <c r="G57" s="1661" t="s">
        <v>1066</v>
      </c>
      <c r="H57" s="1668">
        <f>H55*0.6</f>
        <v>83218162.839639947</v>
      </c>
    </row>
    <row r="58" spans="2:28">
      <c r="D58" s="1653" t="s">
        <v>1067</v>
      </c>
      <c r="E58" s="1665">
        <f>-PV(4%,34,E56)</f>
        <v>74375586.421843663</v>
      </c>
      <c r="F58" s="561"/>
      <c r="G58" s="1661" t="s">
        <v>1067</v>
      </c>
      <c r="H58" s="1668">
        <f>-PV(4%,30,H56)</f>
        <v>75007948.940726086</v>
      </c>
    </row>
    <row r="59" spans="2:28">
      <c r="D59" s="1652" t="s">
        <v>1068</v>
      </c>
      <c r="E59" s="1665">
        <f>E58-H27</f>
        <v>33887389.119361043</v>
      </c>
      <c r="F59" s="561"/>
      <c r="G59" s="1660" t="s">
        <v>1068</v>
      </c>
      <c r="H59" s="1668">
        <f>H58-H30</f>
        <v>45018938.508608051</v>
      </c>
    </row>
    <row r="60" spans="2:28" ht="13.5" thickBot="1">
      <c r="D60" s="1654" t="s">
        <v>1069</v>
      </c>
      <c r="E60" s="1666">
        <f>E59*GapCalc!I33</f>
        <v>28804280.75145689</v>
      </c>
      <c r="F60" s="561"/>
      <c r="G60" s="1662" t="s">
        <v>1069</v>
      </c>
      <c r="H60" s="1669">
        <f>H59*GapCalc!I33</f>
        <v>38266097.732316844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9880000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45729367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118500.5224</v>
      </c>
      <c r="C7" s="1417">
        <f>C4*E4</f>
        <v>548477.11321065994</v>
      </c>
      <c r="D7" s="1409">
        <f>(1-'Rental Income'!O19)</f>
        <v>0.60264900662251653</v>
      </c>
    </row>
    <row r="8" spans="1:5">
      <c r="A8" s="1410" t="s">
        <v>980</v>
      </c>
      <c r="B8" s="1417">
        <f>B7*D7</f>
        <v>71414.222108609276</v>
      </c>
      <c r="C8" s="1417">
        <f>C7*D7</f>
        <v>330539.18743158976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401953.40954019903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59250.261200000001</v>
      </c>
    </row>
    <row r="14" spans="1:5">
      <c r="A14" t="s">
        <v>992</v>
      </c>
      <c r="B14">
        <v>24</v>
      </c>
      <c r="C14" s="1425">
        <f>C3*(E3/12)*B14</f>
        <v>237001.0448</v>
      </c>
    </row>
    <row r="15" spans="1:5">
      <c r="A15" s="40" t="s">
        <v>994</v>
      </c>
      <c r="C15" s="1428">
        <f>SUM(C13+C14)</f>
        <v>296251.30599999998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151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5839608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-292259.40000000002</v>
      </c>
      <c r="E18" s="50"/>
      <c r="F18" s="55">
        <v>0.05</v>
      </c>
    </row>
    <row r="19" spans="1:25">
      <c r="A19" s="40" t="s">
        <v>165</v>
      </c>
      <c r="D19" s="57">
        <f>SUM(D15:D18)</f>
        <v>5552928.5999999996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1132.5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78761.5</v>
      </c>
      <c r="E22" s="48">
        <v>1043</v>
      </c>
      <c r="F22" s="453" t="s">
        <v>172</v>
      </c>
      <c r="N22" s="428">
        <f>D22*0.8</f>
        <v>63009.200000000004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23320.44</v>
      </c>
      <c r="Y22" s="688">
        <f>T22/5</f>
        <v>154.44</v>
      </c>
    </row>
    <row r="23" spans="1:25">
      <c r="B23" t="s">
        <v>174</v>
      </c>
      <c r="D23" s="48">
        <f>(E23*$D$10-20)/2</f>
        <v>100707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14073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79933.279999999999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906</v>
      </c>
      <c r="Y25" s="688">
        <f>T25/5</f>
        <v>6</v>
      </c>
    </row>
    <row r="26" spans="1:25">
      <c r="A26" s="40" t="s">
        <v>183</v>
      </c>
      <c r="D26" s="51">
        <f>SUM(D22:D25)</f>
        <v>273474.78000000003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28086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15100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60400</v>
      </c>
      <c r="Y30">
        <v>400</v>
      </c>
    </row>
    <row r="31" spans="1:25">
      <c r="B31" t="s">
        <v>192</v>
      </c>
      <c r="D31" s="48">
        <f>E31*$D$10</f>
        <v>24764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140060.04</v>
      </c>
    </row>
    <row r="32" spans="1:25">
      <c r="A32" s="42"/>
      <c r="B32" s="43" t="s">
        <v>194</v>
      </c>
      <c r="C32" s="43"/>
      <c r="D32" s="50">
        <f>E32*$D$10</f>
        <v>4530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72480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6795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17616.666666666668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80030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6795</v>
      </c>
      <c r="Y36" s="688">
        <f>T36/6</f>
        <v>45</v>
      </c>
    </row>
    <row r="37" spans="1:25">
      <c r="B37" t="s">
        <v>202</v>
      </c>
      <c r="D37" s="48">
        <f>E37*$D$10</f>
        <v>119290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18875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63571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50081.666666666672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262891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55719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40116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59796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20536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128350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8305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246027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401953.40954019903</v>
      </c>
      <c r="Y56" s="1309">
        <f>X56/'Rental Income'!D15</f>
        <v>2661.9431095377417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728.09426543046357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2228.0942654304636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126840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264.9006622516556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474537.54287353234</v>
      </c>
    </row>
    <row r="65" spans="1:25">
      <c r="B65" t="s">
        <v>250</v>
      </c>
      <c r="D65" s="48">
        <f>E65*$D$10</f>
        <v>22650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201490</v>
      </c>
      <c r="E67" s="48">
        <f>SUM(E62:E66)</f>
        <v>1439.9006622516556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45300</v>
      </c>
      <c r="E69" s="426">
        <v>300</v>
      </c>
    </row>
    <row r="70" spans="1:25">
      <c r="V70" s="40" t="s">
        <v>256</v>
      </c>
      <c r="X70" s="1307">
        <f>SUM(X68,X64,X54,X39,X31)</f>
        <v>830920.24954019894</v>
      </c>
      <c r="Y70" s="1307">
        <f>X70/D10</f>
        <v>5502.7831095377414</v>
      </c>
    </row>
    <row r="71" spans="1:25">
      <c r="A71" s="40" t="s">
        <v>257</v>
      </c>
      <c r="D71" s="48">
        <f>E71*$D$10</f>
        <v>75500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1382940.0140799999</v>
      </c>
      <c r="E73" s="52">
        <f>E71+E69+E67+E54+E59+E45+E43+E41+E33+E26</f>
        <v>12020.994927682119</v>
      </c>
      <c r="G73" s="147"/>
      <c r="H73">
        <f>('Operating Budget'!D73-'Operating Budget'!D69-'Operating Budget'!D57)*-1</f>
        <v>-1337640.0140799999</v>
      </c>
      <c r="Y73" s="1309">
        <f>Y70-6000</f>
        <v>-497.21689046225856</v>
      </c>
    </row>
    <row r="75" spans="1:25">
      <c r="A75" s="44" t="s">
        <v>260</v>
      </c>
      <c r="B75" s="45"/>
      <c r="C75" s="45"/>
      <c r="D75" s="52">
        <f>D19-D73</f>
        <v>4169988.5859199995</v>
      </c>
      <c r="E75" s="52">
        <f>D75/D10</f>
        <v>27615.818449801322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138036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57311708.750000007</v>
      </c>
      <c r="C7" s="465">
        <f>'Dev Summary_5-20'!B8</f>
        <v>3190331</v>
      </c>
      <c r="D7" s="465">
        <f t="shared" ref="D7:D14" si="0">B7-C7</f>
        <v>54121377.750000007</v>
      </c>
      <c r="E7" s="477">
        <f t="shared" ref="E7:E15" si="1">D7/B7</f>
        <v>0.94433369603554174</v>
      </c>
      <c r="F7" s="477"/>
      <c r="G7" s="472" t="e">
        <f t="shared" ref="G7:G14" si="2">B7/$B$15</f>
        <v>#REF!</v>
      </c>
      <c r="I7" s="147">
        <f>B7/$H$4</f>
        <v>521015.53409090918</v>
      </c>
      <c r="J7" s="53">
        <f>B7/$H$5</f>
        <v>415.19392585992068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246154.8713460635</v>
      </c>
      <c r="C9" s="446">
        <f>'Dev Summary_5-20'!B10</f>
        <v>50000</v>
      </c>
      <c r="D9" s="446">
        <f t="shared" si="0"/>
        <v>196154.8713460635</v>
      </c>
      <c r="E9" s="477">
        <f t="shared" si="1"/>
        <v>0.79687584598028882</v>
      </c>
      <c r="F9" s="477"/>
      <c r="G9" s="473" t="e">
        <f t="shared" si="2"/>
        <v>#REF!</v>
      </c>
      <c r="I9" s="53">
        <f t="shared" si="3"/>
        <v>2237.7715576914866</v>
      </c>
      <c r="J9" s="53">
        <f t="shared" si="4"/>
        <v>1.7832657520216719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0.23182358225390479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296251.30599999998</v>
      </c>
      <c r="C12" s="446">
        <f>'Dev Summary_5-20'!B13</f>
        <v>2500000</v>
      </c>
      <c r="D12" s="446">
        <f t="shared" si="0"/>
        <v>-2203748.6940000001</v>
      </c>
      <c r="E12" s="477">
        <f t="shared" si="1"/>
        <v>-7.4387813635495004</v>
      </c>
      <c r="F12" s="477"/>
      <c r="G12" s="473" t="e">
        <f t="shared" si="2"/>
        <v>#REF!</v>
      </c>
      <c r="I12" s="53">
        <f t="shared" si="3"/>
        <v>2693.1936909090909</v>
      </c>
      <c r="J12" s="53">
        <f t="shared" si="4"/>
        <v>2.1461887188849285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2522699</v>
      </c>
      <c r="C14" s="467">
        <f>'Dev Summary_5-20'!B14</f>
        <v>282276.62941911275</v>
      </c>
      <c r="D14" s="467">
        <f t="shared" si="0"/>
        <v>2240422.3705808874</v>
      </c>
      <c r="E14" s="478">
        <f t="shared" si="1"/>
        <v>0.88810530728433612</v>
      </c>
      <c r="F14" s="478"/>
      <c r="G14" s="474" t="e">
        <f t="shared" si="2"/>
        <v>#REF!</v>
      </c>
      <c r="I14" s="53">
        <f t="shared" si="3"/>
        <v>22933.627272727274</v>
      </c>
      <c r="J14" s="53">
        <f t="shared" si="4"/>
        <v>18.275659972760728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64986306.844423294</v>
      </c>
      <c r="C21" s="48">
        <v>18731659</v>
      </c>
      <c r="D21" s="48">
        <f>B21-C21</f>
        <v>46254647.844423294</v>
      </c>
      <c r="E21" s="55">
        <f>D21/B21</f>
        <v>0.71175990897831076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3801137.802789472</v>
      </c>
      <c r="C28" s="50"/>
      <c r="D28" s="50">
        <f t="shared" si="5"/>
        <v>3801137.802789472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63042879.625000007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57238.59166250001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51514.732496250013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468174.5007395834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63042879.625000007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14499.862313750004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591427.68721208337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50434303.70000001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69842.253875000009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50434303.70000001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76929.753875000009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456</v>
      </c>
      <c r="B5" s="1762"/>
      <c r="C5" s="1762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470</v>
      </c>
      <c r="B5" s="1762"/>
      <c r="C5" s="1762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685940.505</v>
      </c>
      <c r="E10" s="748">
        <f>'PreDev Flow of Funds'!Y10+'PreDev Flow of Funds'!Y12</f>
        <v>1395966</v>
      </c>
      <c r="F10" s="748">
        <f>(D10-E10)/18</f>
        <v>-39445.860833333332</v>
      </c>
      <c r="G10" s="748">
        <f>$F$10</f>
        <v>-39445.860833333332</v>
      </c>
      <c r="H10" s="748">
        <f t="shared" ref="H10:W10" si="2">$F$10</f>
        <v>-39445.860833333332</v>
      </c>
      <c r="I10" s="748">
        <f t="shared" si="2"/>
        <v>-39445.860833333332</v>
      </c>
      <c r="J10" s="748">
        <f t="shared" si="2"/>
        <v>-39445.860833333332</v>
      </c>
      <c r="K10" s="748">
        <f t="shared" si="2"/>
        <v>-39445.860833333332</v>
      </c>
      <c r="L10" s="748">
        <f t="shared" si="2"/>
        <v>-39445.860833333332</v>
      </c>
      <c r="M10" s="748">
        <f t="shared" si="2"/>
        <v>-39445.860833333332</v>
      </c>
      <c r="N10" s="748">
        <f t="shared" si="2"/>
        <v>-39445.860833333332</v>
      </c>
      <c r="O10" s="748">
        <f t="shared" si="2"/>
        <v>-39445.860833333332</v>
      </c>
      <c r="P10" s="748">
        <f t="shared" si="2"/>
        <v>-39445.860833333332</v>
      </c>
      <c r="Q10" s="748">
        <f t="shared" si="2"/>
        <v>-39445.860833333332</v>
      </c>
      <c r="R10" s="748">
        <f t="shared" si="2"/>
        <v>-39445.860833333332</v>
      </c>
      <c r="S10" s="748">
        <f t="shared" si="2"/>
        <v>-39445.860833333332</v>
      </c>
      <c r="T10" s="748">
        <f t="shared" si="2"/>
        <v>-39445.860833333332</v>
      </c>
      <c r="U10" s="748">
        <f t="shared" si="2"/>
        <v>-39445.860833333332</v>
      </c>
      <c r="V10" s="748">
        <f t="shared" si="2"/>
        <v>-39445.860833333332</v>
      </c>
      <c r="W10" s="748">
        <f t="shared" si="2"/>
        <v>-39445.860833333332</v>
      </c>
      <c r="X10" s="748"/>
      <c r="Y10" s="748">
        <f>SUM(E10:W10)</f>
        <v>685940.50499999989</v>
      </c>
    </row>
    <row r="11" spans="1:25" ht="15">
      <c r="A11" s="402"/>
      <c r="B11" s="403" t="s">
        <v>388</v>
      </c>
      <c r="C11" s="748"/>
      <c r="D11" s="748">
        <f>'Development Budget'!G41</f>
        <v>685940.505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57311708.750000007</v>
      </c>
      <c r="E13" s="748">
        <f>'PreDev Flow of Funds'!Y14</f>
        <v>69798.3</v>
      </c>
      <c r="F13" s="748">
        <f>(D13-E13)/18</f>
        <v>3180106.1361111118</v>
      </c>
      <c r="G13" s="748">
        <f>$F$13</f>
        <v>3180106.1361111118</v>
      </c>
      <c r="H13" s="748">
        <f t="shared" ref="H13:W13" si="5">$F$13</f>
        <v>3180106.1361111118</v>
      </c>
      <c r="I13" s="748">
        <f t="shared" si="5"/>
        <v>3180106.1361111118</v>
      </c>
      <c r="J13" s="748">
        <f t="shared" si="5"/>
        <v>3180106.1361111118</v>
      </c>
      <c r="K13" s="748">
        <f t="shared" si="5"/>
        <v>3180106.1361111118</v>
      </c>
      <c r="L13" s="748">
        <f t="shared" si="5"/>
        <v>3180106.1361111118</v>
      </c>
      <c r="M13" s="748">
        <f t="shared" si="5"/>
        <v>3180106.1361111118</v>
      </c>
      <c r="N13" s="748">
        <f t="shared" si="5"/>
        <v>3180106.1361111118</v>
      </c>
      <c r="O13" s="748">
        <f t="shared" si="5"/>
        <v>3180106.1361111118</v>
      </c>
      <c r="P13" s="748">
        <f t="shared" si="5"/>
        <v>3180106.1361111118</v>
      </c>
      <c r="Q13" s="748">
        <f t="shared" si="5"/>
        <v>3180106.1361111118</v>
      </c>
      <c r="R13" s="748">
        <f t="shared" si="5"/>
        <v>3180106.1361111118</v>
      </c>
      <c r="S13" s="748">
        <f t="shared" si="5"/>
        <v>3180106.1361111118</v>
      </c>
      <c r="T13" s="748">
        <f t="shared" si="5"/>
        <v>3180106.1361111118</v>
      </c>
      <c r="U13" s="748">
        <f t="shared" si="5"/>
        <v>3180106.1361111118</v>
      </c>
      <c r="V13" s="748">
        <f t="shared" si="5"/>
        <v>3180106.1361111118</v>
      </c>
      <c r="W13" s="748">
        <f t="shared" si="5"/>
        <v>3180106.1361111118</v>
      </c>
      <c r="X13" s="748"/>
      <c r="Y13" s="748">
        <f t="shared" si="3"/>
        <v>57311708.75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57311708.750000007</v>
      </c>
      <c r="E15" s="748">
        <f>'PreDev Flow of Funds'!Y16+'PreDev Flow of Funds'!Y17+'PreDev Flow of Funds'!Y19</f>
        <v>72500</v>
      </c>
      <c r="F15" s="748">
        <f>(D15-E15)/18</f>
        <v>3179956.041666667</v>
      </c>
      <c r="G15" s="748">
        <f>$F$15</f>
        <v>3179956.041666667</v>
      </c>
      <c r="H15" s="748">
        <f t="shared" ref="H15:W15" si="7">$F$15</f>
        <v>3179956.041666667</v>
      </c>
      <c r="I15" s="748">
        <f t="shared" si="7"/>
        <v>3179956.041666667</v>
      </c>
      <c r="J15" s="748">
        <f t="shared" si="7"/>
        <v>3179956.041666667</v>
      </c>
      <c r="K15" s="748">
        <f t="shared" si="7"/>
        <v>3179956.041666667</v>
      </c>
      <c r="L15" s="748">
        <f t="shared" si="7"/>
        <v>3179956.041666667</v>
      </c>
      <c r="M15" s="748">
        <f t="shared" si="7"/>
        <v>3179956.041666667</v>
      </c>
      <c r="N15" s="748">
        <f t="shared" si="7"/>
        <v>3179956.041666667</v>
      </c>
      <c r="O15" s="748">
        <f t="shared" si="7"/>
        <v>3179956.041666667</v>
      </c>
      <c r="P15" s="748">
        <f t="shared" si="7"/>
        <v>3179956.041666667</v>
      </c>
      <c r="Q15" s="748">
        <f t="shared" si="7"/>
        <v>3179956.041666667</v>
      </c>
      <c r="R15" s="748">
        <f t="shared" si="7"/>
        <v>3179956.041666667</v>
      </c>
      <c r="S15" s="748">
        <f t="shared" si="7"/>
        <v>3179956.041666667</v>
      </c>
      <c r="T15" s="748">
        <f t="shared" si="7"/>
        <v>3179956.041666667</v>
      </c>
      <c r="U15" s="748">
        <f t="shared" si="7"/>
        <v>3179956.041666667</v>
      </c>
      <c r="V15" s="748">
        <f t="shared" si="7"/>
        <v>3179956.041666667</v>
      </c>
      <c r="W15" s="748">
        <f t="shared" si="7"/>
        <v>3179956.041666667</v>
      </c>
      <c r="X15" s="748"/>
      <c r="Y15" s="748">
        <f t="shared" si="3"/>
        <v>57311708.749999993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10055000</v>
      </c>
      <c r="E26" s="748">
        <v>0</v>
      </c>
      <c r="F26" s="748">
        <f>D26/2</f>
        <v>5027500</v>
      </c>
      <c r="G26" s="748">
        <f>F26</f>
        <v>5027500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10055000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45729367</v>
      </c>
      <c r="E33" s="748">
        <v>0</v>
      </c>
      <c r="F33" s="748">
        <f>D33</f>
        <v>45729367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45729367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143279.27187500003</v>
      </c>
      <c r="E43" s="748">
        <f>D43</f>
        <v>143279.27187500003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143279.27187500003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334279.27187500003</v>
      </c>
      <c r="E52" s="748">
        <f>D52</f>
        <v>334279.27187500003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334279.27187500003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2522699</v>
      </c>
      <c r="E58" s="748">
        <f>'PreDev Flow of Funds'!Y46</f>
        <v>96238.814999999988</v>
      </c>
      <c r="F58" s="748">
        <f>(D58-E58)/18</f>
        <v>134803.34361111111</v>
      </c>
      <c r="G58" s="748">
        <f>$F$58</f>
        <v>134803.34361111111</v>
      </c>
      <c r="H58" s="748">
        <f t="shared" ref="H58:W58" si="18">$F$58</f>
        <v>134803.34361111111</v>
      </c>
      <c r="I58" s="748">
        <f t="shared" si="18"/>
        <v>134803.34361111111</v>
      </c>
      <c r="J58" s="748">
        <f t="shared" si="18"/>
        <v>134803.34361111111</v>
      </c>
      <c r="K58" s="748">
        <f t="shared" si="18"/>
        <v>134803.34361111111</v>
      </c>
      <c r="L58" s="748">
        <f t="shared" si="18"/>
        <v>134803.34361111111</v>
      </c>
      <c r="M58" s="748">
        <f t="shared" si="18"/>
        <v>134803.34361111111</v>
      </c>
      <c r="N58" s="748">
        <f t="shared" si="18"/>
        <v>134803.34361111111</v>
      </c>
      <c r="O58" s="748">
        <f t="shared" si="18"/>
        <v>134803.34361111111</v>
      </c>
      <c r="P58" s="748">
        <f t="shared" si="18"/>
        <v>134803.34361111111</v>
      </c>
      <c r="Q58" s="748">
        <f t="shared" si="18"/>
        <v>134803.34361111111</v>
      </c>
      <c r="R58" s="748">
        <f t="shared" si="18"/>
        <v>134803.34361111111</v>
      </c>
      <c r="S58" s="748">
        <f t="shared" si="18"/>
        <v>134803.34361111111</v>
      </c>
      <c r="T58" s="748">
        <f t="shared" si="18"/>
        <v>134803.34361111111</v>
      </c>
      <c r="U58" s="748">
        <f t="shared" si="18"/>
        <v>134803.34361111111</v>
      </c>
      <c r="V58" s="748">
        <f t="shared" si="18"/>
        <v>134803.34361111111</v>
      </c>
      <c r="W58" s="748">
        <f t="shared" si="18"/>
        <v>134803.34361111111</v>
      </c>
      <c r="X58" s="748"/>
      <c r="Y58" s="748">
        <f t="shared" si="3"/>
        <v>2522699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246154.8713460635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15322711.618749997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61185169.041633822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-11393271.049189206</v>
      </c>
      <c r="E87" s="749">
        <f>E80-E84-E85-E86-E88-E89-E90-E91</f>
        <v>481558.54374999553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15322711.618749997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1"/>
      <c r="B5" s="1762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3"/>
      <c r="B6" s="1765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3"/>
      <c r="B40" s="1765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3"/>
      <c r="B73" s="1764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6" t="s">
        <v>590</v>
      </c>
      <c r="D74" s="1767"/>
      <c r="E74" s="1767"/>
      <c r="F74" s="1767"/>
      <c r="G74" s="1767"/>
      <c r="H74" s="1767"/>
      <c r="I74" s="1768"/>
      <c r="J74" s="1769" t="s">
        <v>583</v>
      </c>
      <c r="K74" s="1770"/>
      <c r="L74" s="1770"/>
      <c r="M74" s="1770"/>
      <c r="N74" s="1770"/>
      <c r="O74" s="1771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6"/>
      <c r="D78" s="1767"/>
      <c r="E78" s="1767"/>
      <c r="F78" s="1767"/>
      <c r="G78" s="1767"/>
      <c r="H78" s="1767"/>
      <c r="I78" s="1768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6"/>
      <c r="D85" s="1767"/>
      <c r="E85" s="1767"/>
      <c r="F85" s="1767"/>
      <c r="G85" s="1767"/>
      <c r="H85" s="1767"/>
      <c r="I85" s="1768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6"/>
      <c r="D91" s="1767"/>
      <c r="E91" s="1767"/>
      <c r="F91" s="1767"/>
      <c r="G91" s="1767"/>
      <c r="H91" s="1767"/>
      <c r="I91" s="1768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-1187020.11625</v>
      </c>
      <c r="K103" s="162">
        <f>J103+(C116*0.25)/2</f>
        <v>-2374040.2324999999</v>
      </c>
      <c r="L103" s="162">
        <f>K103+((C116-K103)/4)</f>
        <v>-4154570.4068749999</v>
      </c>
      <c r="M103" s="162">
        <f>L103+((C116-K103)/4)</f>
        <v>-5935100.5812499998</v>
      </c>
      <c r="N103" s="162">
        <f>M103+((C116-K103)/4)</f>
        <v>-7715630.7556250002</v>
      </c>
      <c r="O103" s="162">
        <f>N103+((C116-K103)/4)</f>
        <v>-9496160.9299999997</v>
      </c>
      <c r="P103" s="162">
        <f>O103</f>
        <v>-9496160.9299999997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9778717.4591666665</v>
      </c>
      <c r="K104" s="371">
        <f>((C117-1033493)/6)+J104</f>
        <v>19557434.918333333</v>
      </c>
      <c r="L104" s="371">
        <f>((C117-1033493)/6)+K104</f>
        <v>29336152.377499998</v>
      </c>
      <c r="M104" s="371">
        <f>((C117-1033493)/6)+L104</f>
        <v>39114869.836666666</v>
      </c>
      <c r="N104" s="371">
        <f>((C117-1033493)/6)+M104</f>
        <v>48893587.295833334</v>
      </c>
      <c r="O104" s="371">
        <f>((C117-1033493)/6)+N104</f>
        <v>58672304.755000003</v>
      </c>
      <c r="P104" s="371">
        <f>(286645+100000+646848)+O104</f>
        <v>59705797.755000003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8591697.3429166675</v>
      </c>
      <c r="K110" s="371">
        <f t="shared" ref="K110:P110" si="9">SUM(K103:K104)</f>
        <v>17183394.685833335</v>
      </c>
      <c r="L110" s="371">
        <f t="shared" si="9"/>
        <v>25181581.970624998</v>
      </c>
      <c r="M110" s="371">
        <f t="shared" si="9"/>
        <v>33179769.255416665</v>
      </c>
      <c r="N110" s="371">
        <f t="shared" si="9"/>
        <v>41177956.540208332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4">
        <f>'PreDev Flow of Funds'!D47</f>
        <v>14824249.954999998</v>
      </c>
      <c r="D114" s="1773"/>
    </row>
    <row r="115" spans="2:19">
      <c r="B115" s="397" t="s">
        <v>601</v>
      </c>
      <c r="C115" s="1775">
        <f>M102</f>
        <v>1323400.22</v>
      </c>
      <c r="D115" s="1773"/>
    </row>
    <row r="116" spans="2:19">
      <c r="B116" s="397" t="s">
        <v>583</v>
      </c>
      <c r="C116" s="1775">
        <f>'Development Budget'!G37-Predevelopment!D27-Predevelopment!D28-Predevelopment!D29-Timeline!M102-Predevelopment!D17</f>
        <v>-9496160.9299999997</v>
      </c>
      <c r="D116" s="1773"/>
    </row>
    <row r="117" spans="2:19" ht="16.5" thickBot="1">
      <c r="B117" s="398" t="s">
        <v>602</v>
      </c>
      <c r="C117" s="1776">
        <f>C118-C114-C116-C115</f>
        <v>59705797.755000003</v>
      </c>
      <c r="D117" s="1777"/>
    </row>
    <row r="118" spans="2:19" ht="16.5" thickTop="1">
      <c r="B118" s="368" t="s">
        <v>586</v>
      </c>
      <c r="C118" s="1772">
        <v>66357287</v>
      </c>
      <c r="D118" s="1773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customXml/itemProps2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