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8837A6D4-82D2-49EC-A4BF-39FD6F97DA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F94" i="1" s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G90" i="1" l="1"/>
  <c r="D28" i="6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9" i="5"/>
  <c r="H100" i="5" s="1"/>
  <c r="AG44" i="5"/>
  <c r="AH44" i="5"/>
  <c r="K101" i="11"/>
  <c r="J105" i="11"/>
  <c r="J112" i="11" s="1"/>
  <c r="I88" i="15"/>
  <c r="I95" i="15"/>
  <c r="H98" i="5" l="1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<sst xmlns="http://schemas.openxmlformats.org/spreadsheetml/2006/main" count="1995" uniqueCount="1106">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</sst>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3" xfId="0" applyFont="1" applyBorder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5" workbookViewId="0">
      <selection activeCell="D14" sqref="D14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1091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132924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132924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1095</v>
      </c>
      <c r="B14" s="1691"/>
      <c r="C14" s="1691"/>
      <c r="D14" s="1715" t="s">
        <v>1104</v>
      </c>
      <c r="E14" s="700"/>
    </row>
    <row r="15" spans="1:5">
      <c r="A15" s="1582" t="s">
        <v>1092</v>
      </c>
      <c r="B15" s="1678"/>
      <c r="C15" s="1685"/>
      <c r="D15" s="1679" cm="1">
        <f t="array" aca="1" ref="D15" ca="1">IF(D14="Year 7 Takeout", INDIRECT("GapCalc!K46"), INDIRECT("GapCalc!K58"))</f>
        <v>8.8921699280119684E-2</v>
      </c>
      <c r="E15" s="700"/>
    </row>
    <row r="16" spans="1:5">
      <c r="A16" s="1681" t="s">
        <v>1093</v>
      </c>
      <c r="B16" s="702"/>
      <c r="D16" s="1680" cm="1">
        <f t="array" aca="1" ref="D16" ca="1">IF(D14="Year 7 Takeout", INDIRECT("GapCalc!K51"), INDIRECT("GapCalc!K63"))</f>
        <v>8.8921699280119698E-2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1094</v>
      </c>
      <c r="B18" s="47"/>
      <c r="C18" s="47"/>
      <c r="D18" s="1684" cm="1">
        <f t="array" aca="1" ref="D18" ca="1">IF(D14="Year 7 Takeout", INDIRECT("GapCalc!I55"), INDIRECT("GapCalc!I67"))</f>
        <v>-131188.91806341242</v>
      </c>
      <c r="E18" s="1754">
        <f ca="1">-D18/D28</f>
        <v>1.6207587507403559E-3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10055000</v>
      </c>
      <c r="E21" s="1531">
        <f>D21/$D$10</f>
        <v>66589.403973509936</v>
      </c>
    </row>
    <row r="22" spans="1:6">
      <c r="A22" s="64"/>
      <c r="B22" s="4" t="s">
        <v>16</v>
      </c>
      <c r="C22" s="4"/>
      <c r="D22" s="1531">
        <f>'Development Budget'!G44</f>
        <v>49996500</v>
      </c>
      <c r="E22" s="1531">
        <f t="shared" ref="E22:E28" si="0">D22/$D$10</f>
        <v>331102.64900662249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2622699</v>
      </c>
      <c r="E24" s="1531">
        <f t="shared" si="0"/>
        <v>17368.867549668874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4161360.4052886195</v>
      </c>
      <c r="E25" s="1531">
        <f t="shared" si="0"/>
        <v>27558.678180719333</v>
      </c>
    </row>
    <row r="26" spans="1:6">
      <c r="A26" s="64"/>
      <c r="B26" s="4" t="s">
        <v>20</v>
      </c>
      <c r="C26" s="4"/>
      <c r="D26" s="1531">
        <f>'Development Budget'!G181</f>
        <v>3488295.1734129358</v>
      </c>
      <c r="E26" s="1531">
        <f t="shared" si="0"/>
        <v>23101.292539158516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8755328.2459698319</v>
      </c>
      <c r="E27" s="1532">
        <f t="shared" si="0"/>
        <v>57982.306264700877</v>
      </c>
    </row>
    <row r="28" spans="1:6" ht="16.5" thickTop="1">
      <c r="A28" s="4"/>
      <c r="B28" s="4"/>
      <c r="C28" s="150" t="s">
        <v>14</v>
      </c>
      <c r="D28" s="1533">
        <f>SUM(D21:D27)</f>
        <v>80942902.824671388</v>
      </c>
      <c r="E28" s="1531">
        <f t="shared" si="0"/>
        <v>536045.71407067147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52612886.836036406</v>
      </c>
      <c r="E32" s="1586">
        <f t="shared" si="1"/>
        <v>348429.71414593648</v>
      </c>
    </row>
    <row r="33" spans="1:5">
      <c r="A33" s="64"/>
      <c r="B33" s="4" t="s">
        <v>1052</v>
      </c>
      <c r="C33" s="4"/>
      <c r="D33" s="1587">
        <f>GapCalc!D29</f>
        <v>4249502.3982952461</v>
      </c>
      <c r="E33" s="1586">
        <f>D33/$D$10</f>
        <v>28142.39998871024</v>
      </c>
    </row>
    <row r="34" spans="1:5">
      <c r="A34" s="65"/>
      <c r="B34" s="4" t="s">
        <v>26</v>
      </c>
      <c r="C34" s="4"/>
      <c r="D34" s="1587">
        <f>GapCalc!D30</f>
        <v>24080513.590339728</v>
      </c>
      <c r="E34" s="1586">
        <f>D34/$D$10</f>
        <v>159473.59993602469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80942902.824671388</v>
      </c>
      <c r="E36" s="1586">
        <f>D36/$D$10</f>
        <v>536045.71407067147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60568118.930130169</v>
      </c>
      <c r="E40" s="1586">
        <f t="shared" ref="E40" si="2">D40/$D$10</f>
        <v>401113.37039821304</v>
      </c>
    </row>
    <row r="41" spans="1:5">
      <c r="A41" s="60"/>
      <c r="B41" s="4" t="s">
        <v>1052</v>
      </c>
      <c r="C41" s="4"/>
      <c r="D41" s="1591">
        <f>GapCalc!D29+GapCalc!D38</f>
        <v>4249502.3982952461</v>
      </c>
      <c r="E41" s="1586">
        <f>D41/$D$10</f>
        <v>28142.39998871024</v>
      </c>
    </row>
    <row r="42" spans="1:5">
      <c r="A42" s="60"/>
      <c r="B42" s="1557" t="s">
        <v>26</v>
      </c>
      <c r="C42" s="4"/>
      <c r="D42" s="1592">
        <f>GapCalc!D30+GapCalc!D39</f>
        <v>24080513.590339728</v>
      </c>
      <c r="E42" s="1586">
        <f>D42/$D$10</f>
        <v>159473.59993602469</v>
      </c>
    </row>
    <row r="43" spans="1:5">
      <c r="A43" s="60"/>
      <c r="B43" s="1714" t="s">
        <v>1103</v>
      </c>
      <c r="C43" s="4"/>
      <c r="D43" s="1592">
        <f>IF(D32-D40&gt;0,0,D32-D40)</f>
        <v>-7955232.0940937623</v>
      </c>
      <c r="E43" s="1586">
        <f>D43/$D$10</f>
        <v>-52683.656252276574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80942902.824671388</v>
      </c>
      <c r="E45" s="1588">
        <f>D45/$D$10</f>
        <v>536045.71407067147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5" zoomScaleNormal="100" workbookViewId="0">
      <selection activeCell="D29" sqref="D29:D3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132924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132924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10055000</v>
      </c>
      <c r="E17" s="1531">
        <f>D17/$D$11</f>
        <v>66589.403973509936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49996500</v>
      </c>
      <c r="E18" s="1531">
        <f t="shared" ref="E18:E24" si="0">D18/$D$11</f>
        <v>331102.64900662249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2622699</v>
      </c>
      <c r="E20" s="1531">
        <f t="shared" si="0"/>
        <v>17368.867549668874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4161360.4052886195</v>
      </c>
      <c r="E21" s="1531">
        <f t="shared" si="0"/>
        <v>27558.678180719333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3488295.1734129358</v>
      </c>
      <c r="E22" s="1531">
        <f t="shared" si="0"/>
        <v>23101.292539158516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8755328.2459698319</v>
      </c>
      <c r="E23" s="1532">
        <f t="shared" si="0"/>
        <v>57982.306264700877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80942902.824671388</v>
      </c>
      <c r="E24" s="1531">
        <f t="shared" si="0"/>
        <v>536045.71407067147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52612886.836036406</v>
      </c>
      <c r="E28" s="1586">
        <f t="shared" si="1"/>
        <v>348429.71414593648</v>
      </c>
      <c r="F28" s="62"/>
      <c r="G28" s="1419" t="s">
        <v>609</v>
      </c>
      <c r="H28" s="1608">
        <f>H32/D11</f>
        <v>28142.39998871024</v>
      </c>
      <c r="I28" s="703"/>
    </row>
    <row r="29" spans="1:10" ht="15.75">
      <c r="A29" s="64"/>
      <c r="B29" s="4" t="s">
        <v>1052</v>
      </c>
      <c r="C29" s="4"/>
      <c r="D29" s="1587">
        <v>4249502.3982952461</v>
      </c>
      <c r="E29" s="1586">
        <f>D29/$D$11</f>
        <v>28142.39998871024</v>
      </c>
      <c r="F29" s="520"/>
      <c r="G29" s="1420" t="s">
        <v>972</v>
      </c>
      <c r="H29" s="1609">
        <f>H33/D11</f>
        <v>159473.59993602469</v>
      </c>
      <c r="I29" s="703"/>
    </row>
    <row r="30" spans="1:10" ht="16.5" thickBot="1">
      <c r="A30" s="65"/>
      <c r="B30" s="4" t="s">
        <v>26</v>
      </c>
      <c r="C30" s="4"/>
      <c r="D30" s="1587">
        <v>24080513.590339728</v>
      </c>
      <c r="E30" s="1586">
        <f>D30/$D$11</f>
        <v>159473.59993602469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4249502.3982952461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80942902.824671388</v>
      </c>
      <c r="E33" s="1586">
        <f>D33/$D$11</f>
        <v>536045.71407067147</v>
      </c>
      <c r="F33" s="62"/>
      <c r="G33" s="1441" t="s">
        <v>972</v>
      </c>
      <c r="H33" s="1611">
        <f>D30+D39</f>
        <v>24080513.590339728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28330015.988634974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0.34999999999999987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60568118.930130169</v>
      </c>
      <c r="E37" s="1586">
        <f t="shared" ref="E37" si="2">D37/$D$11</f>
        <v>401113.37039821304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4249502.3982952461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24080513.590339728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7955232.0940937623</v>
      </c>
      <c r="E41" s="1588">
        <f>D41/$D$11</f>
        <v>52683.656252276574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60568118.930130169</v>
      </c>
      <c r="E42" s="1586">
        <f>D42/$D$11</f>
        <v>401113.37039821304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-1193284.8141140642</v>
      </c>
      <c r="I43" s="1596">
        <f>D38+H43</f>
        <v>-1193284.8141140642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-6761947.2799796974</v>
      </c>
      <c r="I44" s="1596">
        <f>D39+H44</f>
        <v>-6761947.2799796974</v>
      </c>
      <c r="J44" s="690"/>
    </row>
    <row r="45" spans="1:12" ht="15.75">
      <c r="A45" s="60"/>
      <c r="D45" s="159"/>
      <c r="E45" s="159"/>
      <c r="G45" s="4"/>
      <c r="H45" s="1705" t="s">
        <v>1096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23969003.009985827</v>
      </c>
      <c r="J46" s="1582" t="s">
        <v>1084</v>
      </c>
      <c r="K46" s="1583">
        <f>'Cash Flow'!C76</f>
        <v>8.8921699280119684E-2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8943717.7937573548</v>
      </c>
      <c r="J47" s="1584" t="s">
        <v>1099</v>
      </c>
      <c r="K47" s="1607">
        <f>'Cash Flow'!C70</f>
        <v>39069474.906276897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-111510.58035390079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4229824.0605857344</v>
      </c>
      <c r="J51" s="1585" t="s">
        <v>1084</v>
      </c>
      <c r="K51" s="1618">
        <f>'Cash Flow'!H76</f>
        <v>8.8921699280119698E-2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4249502.3982952461</v>
      </c>
      <c r="J52" s="1584" t="s">
        <v>1098</v>
      </c>
      <c r="K52" s="1607">
        <f>'Cash Flow'!H70</f>
        <v>6894613.218754747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-19678.33770951163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-131188.91806341242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1097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31617306.89787351</v>
      </c>
      <c r="J58" s="1582" t="s">
        <v>1084</v>
      </c>
      <c r="K58" s="1583">
        <f>'Cash Flow'!C103</f>
        <v>0.11401624201324498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1098</v>
      </c>
      <c r="K59" s="1607">
        <f>'Cash Flow'!C97</f>
        <v>51536210.24353382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7536793.307533782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4633088.4178035827</v>
      </c>
      <c r="J63" s="1585" t="s">
        <v>1084</v>
      </c>
      <c r="K63" s="1618">
        <f>'Cash Flow'!H103</f>
        <v>7.7713374724754009E-2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4249502.3982952461</v>
      </c>
      <c r="J64" s="1584" t="s">
        <v>1098</v>
      </c>
      <c r="K64" s="1607">
        <f>'Cash Flow'!H97</f>
        <v>7551934.1210198393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383586.01950833667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7920379.3270421186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12" zoomScale="130" zoomScaleNormal="130" workbookViewId="0">
      <selection activeCell="R25" sqref="R2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0.5298013245033113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0.46357615894039733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50</v>
      </c>
      <c r="E9" s="278">
        <f>IF(D9="","",D9/D$15)</f>
        <v>0.33112582781456956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1105</v>
      </c>
      <c r="N9" s="298">
        <f>E46+E183</f>
        <v>80</v>
      </c>
      <c r="O9" s="332">
        <f t="shared" si="0"/>
        <v>0.5298013245033113</v>
      </c>
    </row>
    <row r="10" spans="2:19" ht="12.75" customHeight="1">
      <c r="B10" s="268"/>
      <c r="C10" s="209" t="s">
        <v>53</v>
      </c>
      <c r="D10" s="210">
        <f>SUM(E24,E33,E42,E51,E60,E78,E69,E87,E96,E116,E106)</f>
        <v>31</v>
      </c>
      <c r="E10" s="278">
        <f>IF(D10="","",D10/D$15)</f>
        <v>0.20529801324503311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70</v>
      </c>
      <c r="E11" s="278">
        <f>IF(D11="","",D11/D$15)</f>
        <v>0.46357615894039733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70</v>
      </c>
      <c r="O13" s="332">
        <f>N13/$N$18</f>
        <v>0.46357615894039733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150</v>
      </c>
      <c r="O16" s="283">
        <f>SUM(O7:O15)</f>
        <v>0.99337748344370858</v>
      </c>
    </row>
    <row r="17" spans="2:21" ht="12.75" customHeight="1">
      <c r="B17" s="268"/>
      <c r="C17" s="201" t="s">
        <v>62</v>
      </c>
      <c r="E17" s="284">
        <f>SUM(J28+J37,J46,J55,J64,J82,J91,J73,J100,J120,J110)</f>
        <v>110770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450944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0.5298013245033113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40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16000</v>
      </c>
      <c r="K41" s="292">
        <f>E41*I41</f>
        <v>77640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21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14070</v>
      </c>
      <c r="K42" s="292">
        <f>E42*I42</f>
        <v>43680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19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19000</v>
      </c>
      <c r="K43" s="292">
        <f>E43*I43</f>
        <v>47424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80</v>
      </c>
      <c r="F46" s="203"/>
      <c r="G46" s="203"/>
      <c r="H46" s="246"/>
      <c r="I46" s="247"/>
      <c r="J46" s="296">
        <f>SUM(J41:J45)</f>
        <v>49070</v>
      </c>
      <c r="K46" s="297">
        <f>SUM(K41:K45)</f>
        <v>168744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10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4000</v>
      </c>
      <c r="K50" s="292">
        <f>E50*I50</f>
        <v>24000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10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6700</v>
      </c>
      <c r="K51" s="292">
        <f>E51*I51</f>
        <v>31200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50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50000</v>
      </c>
      <c r="K52" s="292">
        <f>E52*I52</f>
        <v>227000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70</v>
      </c>
      <c r="F55" s="247"/>
      <c r="G55" s="247"/>
      <c r="H55" s="246"/>
      <c r="I55" s="247"/>
      <c r="J55" s="296">
        <f>SUM(J50:J54)</f>
        <v>60700</v>
      </c>
      <c r="K55" s="297">
        <f>SUM(K50:K54)</f>
        <v>282200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89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7955232.0940937623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9880000</v>
      </c>
      <c r="F18" s="845"/>
      <c r="G18" s="1392">
        <f>E18</f>
        <v>9880000</v>
      </c>
      <c r="H18" s="950"/>
      <c r="I18" s="950">
        <f>G18/$F$9</f>
        <v>65430.463576158938</v>
      </c>
      <c r="J18" s="1015"/>
      <c r="K18" s="1016"/>
      <c r="L18" s="1016"/>
      <c r="M18" s="1431">
        <f>F9*N17</f>
        <v>9815000</v>
      </c>
      <c r="N18" s="1674">
        <v>9880000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9880000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10055000</v>
      </c>
      <c r="H28" s="1333"/>
      <c r="I28" s="1325">
        <f t="shared" si="0"/>
        <v>66589.403973509936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10055000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39877200</v>
      </c>
      <c r="H32" s="1039"/>
      <c r="I32" s="950">
        <f t="shared" si="0"/>
        <v>264087.41721854307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43864920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39877200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3987720</v>
      </c>
      <c r="G36" s="854">
        <f>F36</f>
        <v>3987720</v>
      </c>
      <c r="H36" s="950"/>
      <c r="I36" s="950">
        <f t="shared" si="0"/>
        <v>26408.741721854305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2791404.0000000005</v>
      </c>
      <c r="H37" s="1072"/>
      <c r="I37" s="950">
        <f t="shared" si="0"/>
        <v>18486.119205298015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2791404.0000000005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1993860</v>
      </c>
      <c r="H38" s="1072"/>
      <c r="I38" s="950">
        <f t="shared" si="0"/>
        <v>13204.370860927153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1993860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598158</v>
      </c>
      <c r="H40" s="1072"/>
      <c r="I40" s="950">
        <f t="shared" si="0"/>
        <v>3961.3112582781455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598158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598158</v>
      </c>
      <c r="H41" s="1072"/>
      <c r="I41" s="950">
        <f t="shared" si="0"/>
        <v>3961.3112582781455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598158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49996500</v>
      </c>
      <c r="H44" s="1324"/>
      <c r="I44" s="1325">
        <f t="shared" si="0"/>
        <v>331102.64900662249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49996500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49996500</v>
      </c>
      <c r="H46" s="1333"/>
      <c r="I46" s="1325">
        <f t="shared" si="0"/>
        <v>331102.64900662249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49996500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4999650</v>
      </c>
      <c r="H47" s="1039"/>
      <c r="I47" s="950">
        <f t="shared" si="0"/>
        <v>33110.264900662252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4999650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1090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1547728.75</v>
      </c>
      <c r="H59" s="1128"/>
      <c r="I59" s="950">
        <f t="shared" si="0"/>
        <v>10249.859271523179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124991.25</v>
      </c>
      <c r="H67" s="1039"/>
      <c r="I67" s="950">
        <f t="shared" si="0"/>
        <v>827.75662251655626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124991.25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315991.25</v>
      </c>
      <c r="H80" s="1101"/>
      <c r="I80" s="950">
        <f t="shared" si="0"/>
        <v>2092.6572847682119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315991.25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2522699</v>
      </c>
      <c r="H90" s="1111"/>
      <c r="I90" s="950">
        <f t="shared" si="3"/>
        <v>16706.615894039736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2522699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662.25165562913912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1779837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1779837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2622699</v>
      </c>
      <c r="H97" s="1101"/>
      <c r="I97" s="950">
        <f t="shared" si="3"/>
        <v>17368.867549668874</v>
      </c>
      <c r="J97" s="1102"/>
      <c r="K97" s="1166">
        <f>I97/I250</f>
        <v>3.2401840167271607E-2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2622699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246217.89320770215</v>
      </c>
      <c r="H102" s="1111"/>
      <c r="I102" s="950">
        <f t="shared" si="3"/>
        <v>1630.5820742231931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246217.89320770215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231217.89320770215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4589264.042966824</v>
      </c>
      <c r="N103" s="1172">
        <v>4624357.8641540427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246217.89320770215</v>
      </c>
      <c r="H114" s="1101"/>
      <c r="I114" s="950">
        <f t="shared" si="3"/>
        <v>1630.5820742231931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246217.89320770215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2351450.4421853353</v>
      </c>
      <c r="H116" s="1177"/>
      <c r="I116" s="950">
        <f t="shared" si="3"/>
        <v>15572.519484671095</v>
      </c>
      <c r="J116" s="1178"/>
      <c r="K116" s="1179" t="s">
        <v>823</v>
      </c>
      <c r="L116" s="1073"/>
      <c r="M116" s="1180">
        <f>0.5*Data!C20*Data!C17/12*Data!C19</f>
        <v>2104515.4734414564</v>
      </c>
      <c r="N116" s="1181">
        <v>2351450.4421853353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2351450.4421853353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825</v>
      </c>
      <c r="L117" s="1185"/>
      <c r="M117" s="1186">
        <f>0.01*Data!C20</f>
        <v>526128.86836036411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296251.30599999998</v>
      </c>
      <c r="H120" s="1039"/>
      <c r="I120" s="950">
        <f t="shared" si="3"/>
        <v>1961.929178807947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296251.30599999998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702216.65497500007</v>
      </c>
      <c r="H121" s="1117"/>
      <c r="I121" s="950">
        <f t="shared" si="3"/>
        <v>4650.4414236754974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702216.65497500007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702216.65497500007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78919.330254054614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4051360.4052886195</v>
      </c>
      <c r="H148" s="1128"/>
      <c r="I148" s="950">
        <f t="shared" si="6"/>
        <v>26830.20135952728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4051360.4052886195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731177.79427903413</v>
      </c>
      <c r="H151" s="1093"/>
      <c r="I151" s="950">
        <f t="shared" ref="I151:I158" si="7">G151/$F$9</f>
        <v>4842.2370482055239</v>
      </c>
      <c r="J151" s="1094"/>
      <c r="K151" s="1244" t="s">
        <v>863</v>
      </c>
      <c r="L151" s="1245"/>
      <c r="M151" s="1558">
        <f>Data!C31*Data!C30</f>
        <v>605681.18930130173</v>
      </c>
      <c r="N151" s="1345">
        <v>731177.79427903413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1089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4735159.8152432758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3488295.1734129358</v>
      </c>
      <c r="H178" s="1093"/>
      <c r="I178" s="950">
        <f t="shared" si="6"/>
        <v>23101.292539158516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3488295.1734129358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3488295.1734129358</v>
      </c>
      <c r="H181" s="1128"/>
      <c r="I181" s="950">
        <f t="shared" si="6"/>
        <v>23101.292539158516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3488295.1734129358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564915.686095463</v>
      </c>
      <c r="H233" s="1111"/>
      <c r="I233" s="950">
        <f t="shared" si="8"/>
        <v>3741.1634840759139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564915.686095463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1003665.686095463</v>
      </c>
      <c r="H234" s="1282"/>
      <c r="I234" s="950">
        <f t="shared" si="8"/>
        <v>6646.7926231487618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1003665.686095463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80942902.824671388</v>
      </c>
      <c r="H250" s="1298"/>
      <c r="I250" s="1299">
        <f>G250/F9</f>
        <v>536045.71407067147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608.94122073268477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132924</v>
      </c>
      <c r="D5" t="s">
        <v>428</v>
      </c>
      <c r="G5" s="510"/>
    </row>
    <row r="6" spans="1:15">
      <c r="B6" s="1350" t="s">
        <v>12</v>
      </c>
      <c r="C6" s="700">
        <f>'Construction Calculation'!C14</f>
        <v>132924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22154</v>
      </c>
      <c r="D8" t="s">
        <v>428</v>
      </c>
      <c r="G8" s="510"/>
    </row>
    <row r="9" spans="1:15">
      <c r="B9" s="1350" t="s">
        <v>430</v>
      </c>
      <c r="C9" s="700">
        <f>'Construction Calculation'!C47</f>
        <v>75.5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52612886.836036406</v>
      </c>
      <c r="D20" s="1375">
        <f>MIN(D22,GapCalc!D24)</f>
        <v>52612886.836036406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52612886.836036406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0.04</v>
      </c>
      <c r="D24" s="1425">
        <f>PMT(C24/12,C25*12,C30)*12</f>
        <v>-3261795.1734129768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3261795.1734129358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61752751.199999988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60568118.930130169</v>
      </c>
      <c r="D30" s="1376">
        <f>-PV($C$24/12,$C$29*12,C27/12)</f>
        <v>60568118.930130169</v>
      </c>
      <c r="E30" s="1384"/>
      <c r="F30" t="s">
        <v>438</v>
      </c>
      <c r="G30" s="1381"/>
      <c r="H30" s="1376">
        <f>PV(G23,G29,-'Cash Flow'!E41*H28,)</f>
        <v>5258462.9229768123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3261795.1734129358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0</v>
      </c>
      <c r="D38" s="516" t="s">
        <v>1039</v>
      </c>
      <c r="E38" s="1391">
        <f>C37*GapCalc!D24</f>
        <v>64754322.259737112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53645972.989523478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5411328</v>
      </c>
      <c r="F12" s="89">
        <f>E12*(1+$D$12)</f>
        <v>5546611.1999999993</v>
      </c>
      <c r="G12" s="89">
        <f t="shared" ref="G12:AH12" si="0">F12*(1+$D$12)</f>
        <v>5685276.4799999986</v>
      </c>
      <c r="H12" s="89">
        <f t="shared" si="0"/>
        <v>5827408.3919999981</v>
      </c>
      <c r="I12" s="89">
        <f t="shared" si="0"/>
        <v>5973093.6017999975</v>
      </c>
      <c r="J12" s="89">
        <f t="shared" si="0"/>
        <v>6122420.941844997</v>
      </c>
      <c r="K12" s="89">
        <f t="shared" si="0"/>
        <v>6275481.4653911218</v>
      </c>
      <c r="L12" s="89">
        <f t="shared" si="0"/>
        <v>6432368.5020258995</v>
      </c>
      <c r="M12" s="89">
        <f t="shared" si="0"/>
        <v>6593177.7145765461</v>
      </c>
      <c r="N12" s="89">
        <f t="shared" si="0"/>
        <v>6758007.1574409595</v>
      </c>
      <c r="O12" s="89">
        <f t="shared" si="0"/>
        <v>6926957.3363769827</v>
      </c>
      <c r="P12" s="89">
        <f t="shared" si="0"/>
        <v>7100131.2697864063</v>
      </c>
      <c r="Q12" s="89">
        <f t="shared" si="0"/>
        <v>7277634.5515310662</v>
      </c>
      <c r="R12" s="89">
        <f t="shared" si="0"/>
        <v>7459575.4153193422</v>
      </c>
      <c r="S12" s="90">
        <f t="shared" si="0"/>
        <v>7646064.8007023251</v>
      </c>
      <c r="T12" s="89">
        <f t="shared" si="0"/>
        <v>7837216.4207198825</v>
      </c>
      <c r="U12" s="89">
        <f t="shared" si="0"/>
        <v>8033146.8312378787</v>
      </c>
      <c r="V12" s="89">
        <f t="shared" si="0"/>
        <v>8233975.5020188252</v>
      </c>
      <c r="W12" s="89">
        <f t="shared" si="0"/>
        <v>8439824.8895692956</v>
      </c>
      <c r="X12" s="89">
        <f t="shared" si="0"/>
        <v>8650820.5118085276</v>
      </c>
      <c r="Y12" s="89">
        <f t="shared" si="0"/>
        <v>8867091.0246037394</v>
      </c>
      <c r="Z12" s="89">
        <f t="shared" si="0"/>
        <v>9088768.3002188317</v>
      </c>
      <c r="AA12" s="89">
        <f t="shared" si="0"/>
        <v>9315987.5077243019</v>
      </c>
      <c r="AB12" s="89">
        <f t="shared" si="0"/>
        <v>9548887.1954174079</v>
      </c>
      <c r="AC12" s="89">
        <f t="shared" si="0"/>
        <v>9787609.3753028419</v>
      </c>
      <c r="AD12" s="89">
        <f t="shared" si="0"/>
        <v>10032299.609685412</v>
      </c>
      <c r="AE12" s="89">
        <f t="shared" si="0"/>
        <v>10283107.099927546</v>
      </c>
      <c r="AF12" s="89">
        <f t="shared" si="0"/>
        <v>10540184.777425734</v>
      </c>
      <c r="AG12" s="89">
        <f t="shared" si="0"/>
        <v>10803689.396861376</v>
      </c>
      <c r="AH12" s="89">
        <f t="shared" si="0"/>
        <v>11073781.63178291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-270845.40000000002</v>
      </c>
      <c r="F14" s="100">
        <f t="shared" ref="F14:AH14" si="2">-((F12+F13)*$C$14)</f>
        <v>-277616.53499999997</v>
      </c>
      <c r="G14" s="100">
        <f t="shared" si="2"/>
        <v>-284556.94837499992</v>
      </c>
      <c r="H14" s="100">
        <f t="shared" si="2"/>
        <v>-291670.87208437495</v>
      </c>
      <c r="I14" s="100">
        <f t="shared" si="2"/>
        <v>-298962.64388648426</v>
      </c>
      <c r="J14" s="100">
        <f t="shared" si="2"/>
        <v>-306436.70998364635</v>
      </c>
      <c r="K14" s="100">
        <f t="shared" si="2"/>
        <v>-314097.62773323752</v>
      </c>
      <c r="L14" s="100">
        <f t="shared" si="2"/>
        <v>-321950.06842656841</v>
      </c>
      <c r="M14" s="100">
        <f t="shared" si="2"/>
        <v>-329998.8201372326</v>
      </c>
      <c r="N14" s="100">
        <f t="shared" si="2"/>
        <v>-338248.79064066336</v>
      </c>
      <c r="O14" s="100">
        <f t="shared" si="2"/>
        <v>-346705.01040667994</v>
      </c>
      <c r="P14" s="100">
        <f t="shared" si="2"/>
        <v>-355372.63566684688</v>
      </c>
      <c r="Q14" s="100">
        <f t="shared" si="2"/>
        <v>-364256.95155851805</v>
      </c>
      <c r="R14" s="100">
        <f t="shared" si="2"/>
        <v>-373363.37534748093</v>
      </c>
      <c r="S14" s="101">
        <f t="shared" si="2"/>
        <v>-382697.45973116794</v>
      </c>
      <c r="T14" s="100">
        <f t="shared" si="2"/>
        <v>-392264.89622444712</v>
      </c>
      <c r="U14" s="100">
        <f t="shared" si="2"/>
        <v>-402071.51863005827</v>
      </c>
      <c r="V14" s="100">
        <f t="shared" si="2"/>
        <v>-412123.3065958097</v>
      </c>
      <c r="W14" s="100">
        <f t="shared" si="2"/>
        <v>-422426.38926070492</v>
      </c>
      <c r="X14" s="100">
        <f t="shared" si="2"/>
        <v>-432987.04899222247</v>
      </c>
      <c r="Y14" s="100">
        <f t="shared" si="2"/>
        <v>-443811.725217028</v>
      </c>
      <c r="Z14" s="100">
        <f t="shared" si="2"/>
        <v>-454907.01834745362</v>
      </c>
      <c r="AA14" s="100">
        <f t="shared" si="2"/>
        <v>-466279.69380613999</v>
      </c>
      <c r="AB14" s="100">
        <f t="shared" si="2"/>
        <v>-477936.6861512934</v>
      </c>
      <c r="AC14" s="100">
        <f t="shared" si="2"/>
        <v>-489885.10330507561</v>
      </c>
      <c r="AD14" s="100">
        <f t="shared" si="2"/>
        <v>-502132.23088770249</v>
      </c>
      <c r="AE14" s="100">
        <f t="shared" si="2"/>
        <v>-514685.53665989498</v>
      </c>
      <c r="AF14" s="100">
        <f t="shared" si="2"/>
        <v>-527552.67507639236</v>
      </c>
      <c r="AG14" s="100">
        <f t="shared" si="2"/>
        <v>-540741.49195330206</v>
      </c>
      <c r="AH14" s="100">
        <f t="shared" si="2"/>
        <v>-554260.02925213461</v>
      </c>
    </row>
    <row r="15" spans="1:34">
      <c r="A15" s="76"/>
      <c r="B15" s="102" t="s">
        <v>312</v>
      </c>
      <c r="C15" s="76"/>
      <c r="D15" s="76"/>
      <c r="E15" s="95">
        <f>SUM(E12:E14)</f>
        <v>5146062.5999999996</v>
      </c>
      <c r="F15" s="95">
        <f t="shared" ref="F15:AH15" si="3">SUM(F12:F14)</f>
        <v>5274714.1649999991</v>
      </c>
      <c r="G15" s="103">
        <f t="shared" si="3"/>
        <v>5406582.0191249987</v>
      </c>
      <c r="H15" s="104">
        <f t="shared" si="3"/>
        <v>5541746.5696031237</v>
      </c>
      <c r="I15" s="104">
        <f t="shared" si="3"/>
        <v>5680290.2338432008</v>
      </c>
      <c r="J15" s="95">
        <f t="shared" si="3"/>
        <v>5822297.4896892803</v>
      </c>
      <c r="K15" s="103">
        <f t="shared" si="3"/>
        <v>5967854.9269315125</v>
      </c>
      <c r="L15" s="95">
        <f t="shared" si="3"/>
        <v>6117051.3001047997</v>
      </c>
      <c r="M15" s="95">
        <f t="shared" si="3"/>
        <v>6269977.5826074192</v>
      </c>
      <c r="N15" s="95">
        <f t="shared" si="3"/>
        <v>6426727.0221726038</v>
      </c>
      <c r="O15" s="95">
        <f t="shared" si="3"/>
        <v>6587395.1977269184</v>
      </c>
      <c r="P15" s="95">
        <f t="shared" si="3"/>
        <v>6752080.0776700899</v>
      </c>
      <c r="Q15" s="95">
        <f t="shared" si="3"/>
        <v>6920882.0796118425</v>
      </c>
      <c r="R15" s="95">
        <f t="shared" si="3"/>
        <v>7093904.1316021373</v>
      </c>
      <c r="S15" s="96">
        <f t="shared" si="3"/>
        <v>7271251.7348921904</v>
      </c>
      <c r="T15" s="95">
        <f t="shared" si="3"/>
        <v>7453033.0282644946</v>
      </c>
      <c r="U15" s="95">
        <f t="shared" si="3"/>
        <v>7639358.853971106</v>
      </c>
      <c r="V15" s="95">
        <f t="shared" si="3"/>
        <v>7830342.8253203835</v>
      </c>
      <c r="W15" s="95">
        <f t="shared" si="3"/>
        <v>8026101.3959533935</v>
      </c>
      <c r="X15" s="95">
        <f t="shared" si="3"/>
        <v>8226753.9308522269</v>
      </c>
      <c r="Y15" s="95">
        <f t="shared" si="3"/>
        <v>8432422.7791235317</v>
      </c>
      <c r="Z15" s="95">
        <f t="shared" si="3"/>
        <v>8643233.3486016188</v>
      </c>
      <c r="AA15" s="95">
        <f t="shared" si="3"/>
        <v>8859314.182316659</v>
      </c>
      <c r="AB15" s="95">
        <f t="shared" si="3"/>
        <v>9080797.0368745737</v>
      </c>
      <c r="AC15" s="95">
        <f t="shared" si="3"/>
        <v>9307816.9627964366</v>
      </c>
      <c r="AD15" s="95">
        <f t="shared" si="3"/>
        <v>9540512.3868663479</v>
      </c>
      <c r="AE15" s="95">
        <f t="shared" si="3"/>
        <v>9779025.196538005</v>
      </c>
      <c r="AF15" s="95">
        <f t="shared" si="3"/>
        <v>10023500.826451454</v>
      </c>
      <c r="AG15" s="95">
        <f t="shared" si="3"/>
        <v>10274088.347112739</v>
      </c>
      <c r="AH15" s="95">
        <f t="shared" si="3"/>
        <v>10530940.555790557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315</v>
      </c>
      <c r="C19" s="1713" t="s">
        <v>1100</v>
      </c>
      <c r="D19" s="88">
        <v>1.2500000000000001E-2</v>
      </c>
      <c r="E19" s="95">
        <f>IF(C19="Abatement", 0, -'Tax Calc'!B10)</f>
        <v>-280608.3919044768</v>
      </c>
      <c r="F19" s="89">
        <f>E19*(1+$D$19)</f>
        <v>-284115.99680328276</v>
      </c>
      <c r="G19" s="89">
        <f t="shared" ref="G19:AH19" si="6">F19*(1+$D$19)</f>
        <v>-287667.44676332379</v>
      </c>
      <c r="H19" s="89">
        <f t="shared" si="6"/>
        <v>-291263.28984786535</v>
      </c>
      <c r="I19" s="89">
        <f t="shared" si="6"/>
        <v>-294904.08097096364</v>
      </c>
      <c r="J19" s="89">
        <f t="shared" si="6"/>
        <v>-298590.38198310067</v>
      </c>
      <c r="K19" s="89">
        <f t="shared" si="6"/>
        <v>-302322.76175788941</v>
      </c>
      <c r="L19" s="89">
        <f t="shared" si="6"/>
        <v>-306101.79627986299</v>
      </c>
      <c r="M19" s="89">
        <f t="shared" si="6"/>
        <v>-309928.06873336126</v>
      </c>
      <c r="N19" s="89">
        <f t="shared" si="6"/>
        <v>-313802.16959252825</v>
      </c>
      <c r="O19" s="89">
        <f t="shared" si="6"/>
        <v>-317724.69671243482</v>
      </c>
      <c r="P19" s="89">
        <f t="shared" si="6"/>
        <v>-321696.25542134023</v>
      </c>
      <c r="Q19" s="89">
        <f t="shared" si="6"/>
        <v>-325717.45861410699</v>
      </c>
      <c r="R19" s="89">
        <f t="shared" si="6"/>
        <v>-329788.92684678332</v>
      </c>
      <c r="S19" s="90">
        <f t="shared" si="6"/>
        <v>-333911.28843236808</v>
      </c>
      <c r="T19" s="89">
        <f t="shared" si="6"/>
        <v>-338085.17953777267</v>
      </c>
      <c r="U19" s="89">
        <f t="shared" si="6"/>
        <v>-342311.24428199482</v>
      </c>
      <c r="V19" s="89">
        <f t="shared" si="6"/>
        <v>-346590.13483551971</v>
      </c>
      <c r="W19" s="89">
        <f t="shared" si="6"/>
        <v>-350922.51152096369</v>
      </c>
      <c r="X19" s="89">
        <f t="shared" si="6"/>
        <v>-355309.04291497573</v>
      </c>
      <c r="Y19" s="89">
        <f t="shared" si="6"/>
        <v>-359750.40595141292</v>
      </c>
      <c r="Z19" s="89">
        <f t="shared" si="6"/>
        <v>-364247.28602580557</v>
      </c>
      <c r="AA19" s="89">
        <f t="shared" si="6"/>
        <v>-368800.37710112811</v>
      </c>
      <c r="AB19" s="89">
        <f t="shared" si="6"/>
        <v>-373410.38181489217</v>
      </c>
      <c r="AC19" s="89">
        <f t="shared" si="6"/>
        <v>-378078.01158757828</v>
      </c>
      <c r="AD19" s="89">
        <f t="shared" si="6"/>
        <v>-382803.98673242301</v>
      </c>
      <c r="AE19" s="89">
        <f t="shared" si="6"/>
        <v>-387589.03656657826</v>
      </c>
      <c r="AF19" s="89">
        <f t="shared" si="6"/>
        <v>-392433.89952366048</v>
      </c>
      <c r="AG19" s="89">
        <f t="shared" si="6"/>
        <v>-397339.3232677062</v>
      </c>
      <c r="AH19" s="89">
        <f t="shared" si="6"/>
        <v>-402306.0648085525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3914154.2080955226</v>
      </c>
      <c r="F21" s="95">
        <f t="shared" si="8"/>
        <v>4007588.1681967163</v>
      </c>
      <c r="G21" s="95">
        <f t="shared" si="8"/>
        <v>4103084.7223616755</v>
      </c>
      <c r="H21" s="95">
        <f t="shared" si="8"/>
        <v>4200684.885005258</v>
      </c>
      <c r="I21" s="95">
        <f t="shared" si="8"/>
        <v>4300430.3143059872</v>
      </c>
      <c r="J21" s="95">
        <f t="shared" si="8"/>
        <v>4402363.314790112</v>
      </c>
      <c r="K21" s="95">
        <f t="shared" si="8"/>
        <v>4506526.8395054918</v>
      </c>
      <c r="L21" s="95">
        <f t="shared" si="8"/>
        <v>4612964.4917584211</v>
      </c>
      <c r="M21" s="95">
        <f t="shared" si="8"/>
        <v>4721720.5263852151</v>
      </c>
      <c r="N21" s="95">
        <f t="shared" si="8"/>
        <v>4832839.8505291231</v>
      </c>
      <c r="O21" s="95">
        <f t="shared" si="8"/>
        <v>4946368.0238917479</v>
      </c>
      <c r="P21" s="95">
        <f t="shared" si="8"/>
        <v>5062351.2584267184</v>
      </c>
      <c r="Q21" s="95">
        <f t="shared" si="8"/>
        <v>5180836.4174419334</v>
      </c>
      <c r="R21" s="95">
        <f t="shared" si="8"/>
        <v>5301871.0140750986</v>
      </c>
      <c r="S21" s="96">
        <f t="shared" si="8"/>
        <v>5425503.2091057589</v>
      </c>
      <c r="T21" s="95">
        <f t="shared" si="8"/>
        <v>5551781.8080652654</v>
      </c>
      <c r="U21" s="95">
        <f t="shared" si="8"/>
        <v>5680756.257604504</v>
      </c>
      <c r="V21" s="95">
        <f t="shared" si="8"/>
        <v>5812476.6410772959</v>
      </c>
      <c r="W21" s="95">
        <f t="shared" si="8"/>
        <v>5946993.6732955966</v>
      </c>
      <c r="X21" s="95">
        <f t="shared" si="8"/>
        <v>6084358.6944106296</v>
      </c>
      <c r="Y21" s="95">
        <f t="shared" si="8"/>
        <v>6224623.6628720649</v>
      </c>
      <c r="Z21" s="95">
        <f t="shared" si="8"/>
        <v>6367841.147415258</v>
      </c>
      <c r="AA21" s="95">
        <f t="shared" si="8"/>
        <v>6514064.3180243568</v>
      </c>
      <c r="AB21" s="95">
        <f t="shared" si="8"/>
        <v>6663346.9358168161</v>
      </c>
      <c r="AC21" s="95">
        <f t="shared" si="8"/>
        <v>6815743.3417924931</v>
      </c>
      <c r="AD21" s="95">
        <f t="shared" si="8"/>
        <v>6971308.4443879863</v>
      </c>
      <c r="AE21" s="95">
        <f t="shared" si="8"/>
        <v>7130097.7057743818</v>
      </c>
      <c r="AF21" s="95">
        <f t="shared" si="8"/>
        <v>7292167.1268338514</v>
      </c>
      <c r="AG21" s="95">
        <f t="shared" si="8"/>
        <v>7457573.230747804</v>
      </c>
      <c r="AH21" s="95">
        <f t="shared" si="8"/>
        <v>7626373.045126372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-3261795.1734129358</v>
      </c>
      <c r="F22" s="95">
        <f t="shared" ref="F22:AH22" si="9">$E$22</f>
        <v>-3261795.1734129358</v>
      </c>
      <c r="G22" s="95">
        <f t="shared" si="9"/>
        <v>-3261795.1734129358</v>
      </c>
      <c r="H22" s="95">
        <f t="shared" si="9"/>
        <v>-3261795.1734129358</v>
      </c>
      <c r="I22" s="95">
        <f t="shared" si="9"/>
        <v>-3261795.1734129358</v>
      </c>
      <c r="J22" s="95">
        <f t="shared" si="9"/>
        <v>-3261795.1734129358</v>
      </c>
      <c r="K22" s="95">
        <f t="shared" si="9"/>
        <v>-3261795.1734129358</v>
      </c>
      <c r="L22" s="95">
        <f t="shared" si="9"/>
        <v>-3261795.1734129358</v>
      </c>
      <c r="M22" s="95">
        <f t="shared" si="9"/>
        <v>-3261795.1734129358</v>
      </c>
      <c r="N22" s="95">
        <f t="shared" si="9"/>
        <v>-3261795.1734129358</v>
      </c>
      <c r="O22" s="95">
        <f t="shared" si="9"/>
        <v>-3261795.1734129358</v>
      </c>
      <c r="P22" s="95">
        <f t="shared" si="9"/>
        <v>-3261795.1734129358</v>
      </c>
      <c r="Q22" s="95">
        <f t="shared" si="9"/>
        <v>-3261795.1734129358</v>
      </c>
      <c r="R22" s="95">
        <f t="shared" si="9"/>
        <v>-3261795.1734129358</v>
      </c>
      <c r="S22" s="96">
        <f t="shared" si="9"/>
        <v>-3261795.1734129358</v>
      </c>
      <c r="T22" s="95">
        <f t="shared" si="9"/>
        <v>-3261795.1734129358</v>
      </c>
      <c r="U22" s="95">
        <f t="shared" si="9"/>
        <v>-3261795.1734129358</v>
      </c>
      <c r="V22" s="95">
        <f t="shared" si="9"/>
        <v>-3261795.1734129358</v>
      </c>
      <c r="W22" s="95">
        <f t="shared" si="9"/>
        <v>-3261795.1734129358</v>
      </c>
      <c r="X22" s="95">
        <f t="shared" si="9"/>
        <v>-3261795.1734129358</v>
      </c>
      <c r="Y22" s="95">
        <f t="shared" si="9"/>
        <v>-3261795.1734129358</v>
      </c>
      <c r="Z22" s="95">
        <f t="shared" si="9"/>
        <v>-3261795.1734129358</v>
      </c>
      <c r="AA22" s="95">
        <f t="shared" si="9"/>
        <v>-3261795.1734129358</v>
      </c>
      <c r="AB22" s="95">
        <f t="shared" si="9"/>
        <v>-3261795.1734129358</v>
      </c>
      <c r="AC22" s="95">
        <f t="shared" si="9"/>
        <v>-3261795.1734129358</v>
      </c>
      <c r="AD22" s="95">
        <f t="shared" si="9"/>
        <v>-3261795.1734129358</v>
      </c>
      <c r="AE22" s="95">
        <f t="shared" si="9"/>
        <v>-3261795.1734129358</v>
      </c>
      <c r="AF22" s="95">
        <f t="shared" si="9"/>
        <v>-3261795.1734129358</v>
      </c>
      <c r="AG22" s="95">
        <f t="shared" si="9"/>
        <v>-3261795.1734129358</v>
      </c>
      <c r="AH22" s="95">
        <f t="shared" si="9"/>
        <v>-3261795.1734129358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652359.03468258679</v>
      </c>
      <c r="F25" s="119">
        <f t="shared" ref="F25:AH25" si="11">+F21+F22+F23</f>
        <v>745792.99478378054</v>
      </c>
      <c r="G25" s="119">
        <f t="shared" si="11"/>
        <v>841289.54894873966</v>
      </c>
      <c r="H25" s="119">
        <f t="shared" si="11"/>
        <v>938889.71159232222</v>
      </c>
      <c r="I25" s="119">
        <f t="shared" si="11"/>
        <v>1038635.1408930514</v>
      </c>
      <c r="J25" s="119">
        <f t="shared" si="11"/>
        <v>1140568.1413771762</v>
      </c>
      <c r="K25" s="119">
        <f t="shared" si="11"/>
        <v>1244731.666092556</v>
      </c>
      <c r="L25" s="119">
        <f t="shared" si="11"/>
        <v>1351169.3183454853</v>
      </c>
      <c r="M25" s="119">
        <f t="shared" si="11"/>
        <v>1459925.3529722793</v>
      </c>
      <c r="N25" s="119">
        <f t="shared" si="11"/>
        <v>1571044.6771161873</v>
      </c>
      <c r="O25" s="119">
        <f t="shared" si="11"/>
        <v>1684572.8504788121</v>
      </c>
      <c r="P25" s="119">
        <f t="shared" si="11"/>
        <v>1800556.0850137826</v>
      </c>
      <c r="Q25" s="119">
        <f t="shared" si="11"/>
        <v>1919041.2440289976</v>
      </c>
      <c r="R25" s="119">
        <f t="shared" si="11"/>
        <v>2040075.8406621628</v>
      </c>
      <c r="S25" s="160">
        <f t="shared" si="11"/>
        <v>2163708.0356928231</v>
      </c>
      <c r="T25" s="119">
        <f t="shared" si="11"/>
        <v>2289986.6346523296</v>
      </c>
      <c r="U25" s="119">
        <f t="shared" si="11"/>
        <v>2418961.0841915682</v>
      </c>
      <c r="V25" s="119">
        <f t="shared" si="11"/>
        <v>2550681.4676643601</v>
      </c>
      <c r="W25" s="119">
        <f t="shared" si="11"/>
        <v>2685198.4998826608</v>
      </c>
      <c r="X25" s="119">
        <f t="shared" si="11"/>
        <v>2822563.5209976938</v>
      </c>
      <c r="Y25" s="119">
        <f t="shared" si="11"/>
        <v>2962828.4894591291</v>
      </c>
      <c r="Z25" s="119">
        <f t="shared" si="11"/>
        <v>3106045.9740023222</v>
      </c>
      <c r="AA25" s="119">
        <f t="shared" si="11"/>
        <v>3252269.144611421</v>
      </c>
      <c r="AB25" s="119">
        <f t="shared" si="11"/>
        <v>3401551.7624038802</v>
      </c>
      <c r="AC25" s="119">
        <f t="shared" si="11"/>
        <v>3553948.1683795573</v>
      </c>
      <c r="AD25" s="119">
        <f t="shared" si="11"/>
        <v>3709513.2709750505</v>
      </c>
      <c r="AE25" s="119">
        <f t="shared" si="11"/>
        <v>3868302.5323614459</v>
      </c>
      <c r="AF25" s="119">
        <f t="shared" si="11"/>
        <v>4030371.9534209156</v>
      </c>
      <c r="AG25" s="119">
        <f t="shared" si="11"/>
        <v>4195778.0573348682</v>
      </c>
      <c r="AH25" s="119">
        <f t="shared" si="11"/>
        <v>4364577.8717134362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1.2286449501375127</v>
      </c>
      <c r="G27" s="122">
        <f t="shared" si="12"/>
        <v>1.2579222496268727</v>
      </c>
      <c r="H27" s="122">
        <f t="shared" si="12"/>
        <v>1.2878444726527472</v>
      </c>
      <c r="I27" s="122">
        <f t="shared" si="12"/>
        <v>1.3184243907646382</v>
      </c>
      <c r="J27" s="122">
        <f t="shared" si="12"/>
        <v>1.3496749736691032</v>
      </c>
      <c r="K27" s="122">
        <f t="shared" si="12"/>
        <v>1.3816093898962232</v>
      </c>
      <c r="L27" s="122">
        <f t="shared" si="12"/>
        <v>1.4142410073320781</v>
      </c>
      <c r="M27" s="122">
        <f t="shared" si="12"/>
        <v>1.4475833936085893</v>
      </c>
      <c r="N27" s="122">
        <f t="shared" si="12"/>
        <v>1.481650316341705</v>
      </c>
      <c r="O27" s="122">
        <f t="shared" si="12"/>
        <v>1.5164557432084804</v>
      </c>
      <c r="P27" s="122">
        <f t="shared" si="12"/>
        <v>1.5520138418531642</v>
      </c>
      <c r="Q27" s="122">
        <f t="shared" si="12"/>
        <v>1.5883389796119645</v>
      </c>
      <c r="R27" s="122">
        <f t="shared" si="12"/>
        <v>1.62544572304568</v>
      </c>
      <c r="S27" s="161">
        <f t="shared" si="12"/>
        <v>1.6633488372689129</v>
      </c>
      <c r="T27" s="122">
        <f t="shared" si="12"/>
        <v>1.7020632850640443</v>
      </c>
      <c r="U27" s="122">
        <f t="shared" si="12"/>
        <v>1.7416042257676532</v>
      </c>
      <c r="V27" s="122">
        <f t="shared" si="12"/>
        <v>1.7819870139164773</v>
      </c>
      <c r="W27" s="122">
        <f t="shared" si="12"/>
        <v>1.8232271976394641</v>
      </c>
      <c r="X27" s="122">
        <f t="shared" si="12"/>
        <v>1.86534051678185</v>
      </c>
      <c r="Y27" s="122">
        <f t="shared" si="12"/>
        <v>1.9083429007465889</v>
      </c>
      <c r="Z27" s="122">
        <f t="shared" si="12"/>
        <v>1.9522504660378022</v>
      </c>
      <c r="AA27" s="122">
        <f t="shared" si="12"/>
        <v>1.9970795134902517</v>
      </c>
      <c r="AB27" s="122">
        <f t="shared" si="12"/>
        <v>2.0428465251681369</v>
      </c>
      <c r="AC27" s="122">
        <f t="shared" si="12"/>
        <v>2.0895681609157974</v>
      </c>
      <c r="AD27" s="122">
        <f t="shared" si="12"/>
        <v>2.137261254542127</v>
      </c>
      <c r="AE27" s="122">
        <f t="shared" si="12"/>
        <v>2.1859428096197404</v>
      </c>
      <c r="AF27" s="122">
        <f t="shared" si="12"/>
        <v>2.2356299948791052</v>
      </c>
      <c r="AG27" s="122">
        <f t="shared" si="12"/>
        <v>2.2863401391770015</v>
      </c>
      <c r="AH27" s="122">
        <f t="shared" si="12"/>
        <v>2.3380907260177892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652359.03468258679</v>
      </c>
      <c r="F41" s="129">
        <f t="shared" ref="F41:S41" si="20">F25+F37</f>
        <v>745792.99478378054</v>
      </c>
      <c r="G41" s="129">
        <f t="shared" si="20"/>
        <v>841289.54894873966</v>
      </c>
      <c r="H41" s="129">
        <f t="shared" si="20"/>
        <v>938889.71159232222</v>
      </c>
      <c r="I41" s="129">
        <f t="shared" si="20"/>
        <v>1038635.1408930514</v>
      </c>
      <c r="J41" s="129">
        <f t="shared" si="20"/>
        <v>1140568.1413771762</v>
      </c>
      <c r="K41" s="129">
        <f t="shared" si="20"/>
        <v>1244731.666092556</v>
      </c>
      <c r="L41" s="129">
        <f t="shared" si="20"/>
        <v>1351169.3183454853</v>
      </c>
      <c r="M41" s="129">
        <f t="shared" si="20"/>
        <v>1459925.3529722793</v>
      </c>
      <c r="N41" s="129">
        <f t="shared" si="20"/>
        <v>1571044.6771161873</v>
      </c>
      <c r="O41" s="129">
        <f t="shared" si="20"/>
        <v>1684572.8504788121</v>
      </c>
      <c r="P41" s="129">
        <f t="shared" si="20"/>
        <v>1800556.0850137826</v>
      </c>
      <c r="Q41" s="129">
        <f t="shared" si="20"/>
        <v>1919041.2440289976</v>
      </c>
      <c r="R41" s="129">
        <f t="shared" si="20"/>
        <v>2040075.8406621628</v>
      </c>
      <c r="S41" s="130">
        <f t="shared" si="20"/>
        <v>2163708.0356928231</v>
      </c>
      <c r="T41" s="130">
        <f t="shared" ref="T41:AH41" si="21">T25+T37</f>
        <v>2289986.6346523296</v>
      </c>
      <c r="U41" s="130">
        <f t="shared" si="21"/>
        <v>2418961.0841915682</v>
      </c>
      <c r="V41" s="130">
        <f t="shared" si="21"/>
        <v>2550681.4676643601</v>
      </c>
      <c r="W41" s="130">
        <f t="shared" si="21"/>
        <v>2685198.4998826608</v>
      </c>
      <c r="X41" s="130">
        <f t="shared" si="21"/>
        <v>2822563.5209976938</v>
      </c>
      <c r="Y41" s="130">
        <f t="shared" si="21"/>
        <v>2962828.4894591291</v>
      </c>
      <c r="Z41" s="130">
        <f t="shared" si="21"/>
        <v>3106045.9740023222</v>
      </c>
      <c r="AA41" s="130">
        <f t="shared" si="21"/>
        <v>3252269.144611421</v>
      </c>
      <c r="AB41" s="130">
        <f t="shared" si="21"/>
        <v>3401551.7624038802</v>
      </c>
      <c r="AC41" s="130">
        <f t="shared" si="21"/>
        <v>3553948.1683795573</v>
      </c>
      <c r="AD41" s="130">
        <f t="shared" si="21"/>
        <v>3709513.2709750505</v>
      </c>
      <c r="AE41" s="130">
        <f t="shared" si="21"/>
        <v>3868302.5323614459</v>
      </c>
      <c r="AF41" s="130">
        <f t="shared" si="21"/>
        <v>4030371.9534209156</v>
      </c>
      <c r="AG41" s="130">
        <f t="shared" si="21"/>
        <v>4195778.0573348682</v>
      </c>
      <c r="AH41" s="130">
        <f t="shared" si="21"/>
        <v>4364577.8717134362</v>
      </c>
    </row>
    <row r="42" spans="1:34">
      <c r="A42" s="86"/>
      <c r="B42" s="110" t="s">
        <v>330</v>
      </c>
      <c r="C42" s="323">
        <f>GapCalc!I33</f>
        <v>0.85</v>
      </c>
      <c r="D42" s="131" t="s">
        <v>1049</v>
      </c>
      <c r="E42" s="129">
        <f>((E41*$C$42))</f>
        <v>554505.17948019877</v>
      </c>
      <c r="F42" s="129">
        <f t="shared" ref="F42:S42" si="22">((F41*$C$42))</f>
        <v>633924.04556621343</v>
      </c>
      <c r="G42" s="129">
        <f t="shared" si="22"/>
        <v>715096.11660642864</v>
      </c>
      <c r="H42" s="129">
        <f t="shared" si="22"/>
        <v>798056.25485347386</v>
      </c>
      <c r="I42" s="129">
        <f t="shared" si="22"/>
        <v>882839.86975909362</v>
      </c>
      <c r="J42" s="129">
        <f t="shared" si="22"/>
        <v>969482.92017059971</v>
      </c>
      <c r="K42" s="129">
        <f t="shared" si="22"/>
        <v>1058021.9161786726</v>
      </c>
      <c r="L42" s="129">
        <f t="shared" si="22"/>
        <v>1148493.9205936624</v>
      </c>
      <c r="M42" s="129">
        <f t="shared" si="22"/>
        <v>1240936.5500264373</v>
      </c>
      <c r="N42" s="129">
        <f t="shared" si="22"/>
        <v>1335387.9755487591</v>
      </c>
      <c r="O42" s="129">
        <f t="shared" si="22"/>
        <v>1431886.9229069902</v>
      </c>
      <c r="P42" s="129">
        <f t="shared" si="22"/>
        <v>1530472.6722617152</v>
      </c>
      <c r="Q42" s="129">
        <f t="shared" si="22"/>
        <v>1631185.057424648</v>
      </c>
      <c r="R42" s="129">
        <f t="shared" si="22"/>
        <v>1734064.4645628382</v>
      </c>
      <c r="S42" s="129">
        <f t="shared" si="22"/>
        <v>1839151.8303388995</v>
      </c>
      <c r="T42" s="129">
        <f t="shared" ref="T42:AH42" si="23">((T41*$C$42))</f>
        <v>1946488.63945448</v>
      </c>
      <c r="U42" s="129">
        <f t="shared" si="23"/>
        <v>2056116.921562833</v>
      </c>
      <c r="V42" s="129">
        <f t="shared" si="23"/>
        <v>2168079.2475147061</v>
      </c>
      <c r="W42" s="129">
        <f t="shared" si="23"/>
        <v>2282418.7249002615</v>
      </c>
      <c r="X42" s="129">
        <f t="shared" si="23"/>
        <v>2399178.9928480396</v>
      </c>
      <c r="Y42" s="129">
        <f t="shared" si="23"/>
        <v>2518404.2160402597</v>
      </c>
      <c r="Z42" s="129">
        <f t="shared" si="23"/>
        <v>2640139.0779019739</v>
      </c>
      <c r="AA42" s="129">
        <f t="shared" si="23"/>
        <v>2764428.7729197079</v>
      </c>
      <c r="AB42" s="129">
        <f t="shared" si="23"/>
        <v>2891318.9980432983</v>
      </c>
      <c r="AC42" s="129">
        <f t="shared" si="23"/>
        <v>3020855.9431226235</v>
      </c>
      <c r="AD42" s="129">
        <f t="shared" si="23"/>
        <v>3153086.280328793</v>
      </c>
      <c r="AE42" s="129">
        <f t="shared" si="23"/>
        <v>3288057.1525072288</v>
      </c>
      <c r="AF42" s="129">
        <f t="shared" si="23"/>
        <v>3425816.1604077783</v>
      </c>
      <c r="AG42" s="129">
        <f t="shared" si="23"/>
        <v>3566411.3487346377</v>
      </c>
      <c r="AH42" s="129">
        <f t="shared" si="23"/>
        <v>3709891.1909564207</v>
      </c>
    </row>
    <row r="43" spans="1:34">
      <c r="A43" s="86"/>
      <c r="B43" s="132" t="s">
        <v>331</v>
      </c>
      <c r="C43" s="324">
        <f>GapCalc!I32</f>
        <v>0.15</v>
      </c>
      <c r="D43" s="133" t="s">
        <v>1049</v>
      </c>
      <c r="E43" s="108">
        <f>$C$43*(E41)</f>
        <v>97853.855202388018</v>
      </c>
      <c r="F43" s="108">
        <f t="shared" ref="F43:S43" si="24">$C$43*(F41)</f>
        <v>111868.94921756707</v>
      </c>
      <c r="G43" s="108">
        <f t="shared" si="24"/>
        <v>126193.43234231095</v>
      </c>
      <c r="H43" s="108">
        <f t="shared" si="24"/>
        <v>140833.45673884833</v>
      </c>
      <c r="I43" s="108">
        <f t="shared" si="24"/>
        <v>155795.27113395769</v>
      </c>
      <c r="J43" s="108">
        <f t="shared" si="24"/>
        <v>171085.22120657642</v>
      </c>
      <c r="K43" s="108">
        <f t="shared" si="24"/>
        <v>186709.7499138834</v>
      </c>
      <c r="L43" s="108">
        <f t="shared" si="24"/>
        <v>202675.39775182278</v>
      </c>
      <c r="M43" s="108">
        <f t="shared" si="24"/>
        <v>218988.80294584189</v>
      </c>
      <c r="N43" s="108">
        <f t="shared" si="24"/>
        <v>235656.7015674281</v>
      </c>
      <c r="O43" s="108">
        <f t="shared" si="24"/>
        <v>252685.92757182181</v>
      </c>
      <c r="P43" s="108">
        <f t="shared" si="24"/>
        <v>270083.41275206738</v>
      </c>
      <c r="Q43" s="108">
        <f t="shared" si="24"/>
        <v>287856.18660434964</v>
      </c>
      <c r="R43" s="108">
        <f t="shared" si="24"/>
        <v>306011.37609932438</v>
      </c>
      <c r="S43" s="108">
        <f t="shared" si="24"/>
        <v>324556.20535392343</v>
      </c>
      <c r="T43" s="108">
        <f t="shared" ref="T43:AH43" si="25">$C$43*(T41)</f>
        <v>343497.99519784941</v>
      </c>
      <c r="U43" s="108">
        <f t="shared" si="25"/>
        <v>362844.16262873524</v>
      </c>
      <c r="V43" s="108">
        <f t="shared" si="25"/>
        <v>382602.22014965402</v>
      </c>
      <c r="W43" s="108">
        <f t="shared" si="25"/>
        <v>402779.77498239913</v>
      </c>
      <c r="X43" s="108">
        <f t="shared" si="25"/>
        <v>423384.52814965404</v>
      </c>
      <c r="Y43" s="108">
        <f t="shared" si="25"/>
        <v>444424.27341886936</v>
      </c>
      <c r="Z43" s="108">
        <f t="shared" si="25"/>
        <v>465906.89610034833</v>
      </c>
      <c r="AA43" s="108">
        <f t="shared" si="25"/>
        <v>487840.37169171311</v>
      </c>
      <c r="AB43" s="108">
        <f t="shared" si="25"/>
        <v>510232.76436058199</v>
      </c>
      <c r="AC43" s="108">
        <f t="shared" si="25"/>
        <v>533092.2252569336</v>
      </c>
      <c r="AD43" s="108">
        <f t="shared" si="25"/>
        <v>556426.99064625753</v>
      </c>
      <c r="AE43" s="108">
        <f t="shared" si="25"/>
        <v>580245.37985421682</v>
      </c>
      <c r="AF43" s="108">
        <f t="shared" si="25"/>
        <v>604555.7930131373</v>
      </c>
      <c r="AG43" s="108">
        <f t="shared" si="25"/>
        <v>629366.70860023017</v>
      </c>
      <c r="AH43" s="108">
        <f t="shared" si="25"/>
        <v>654686.68075701536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2.7090744233307828E-2</v>
      </c>
      <c r="F47" s="142">
        <f>F41/GapCalc!$H$33</f>
        <v>3.0970809322063919E-2</v>
      </c>
      <c r="G47" s="142">
        <f>G41/GapCalc!$H$33</f>
        <v>3.4936528483604935E-2</v>
      </c>
      <c r="H47" s="142">
        <f>H41/GapCalc!$H$33</f>
        <v>3.898960493803473E-2</v>
      </c>
      <c r="I47" s="142">
        <f>I41/GapCalc!$H$33</f>
        <v>4.3131768639258425E-2</v>
      </c>
      <c r="J47" s="142">
        <f>J41/GapCalc!$H$33</f>
        <v>4.7364776382291647E-2</v>
      </c>
      <c r="K47" s="142">
        <f>K41/GapCalc!$H$33</f>
        <v>5.1690411893536167E-2</v>
      </c>
      <c r="L47" s="142">
        <f>L41/GapCalc!$H$33</f>
        <v>5.6110485902905655E-2</v>
      </c>
      <c r="M47" s="142">
        <f>M41/GapCalc!$H$33</f>
        <v>6.0626836196631249E-2</v>
      </c>
      <c r="N47" s="142">
        <f>N41/GapCalc!$H$33</f>
        <v>6.5241327649524727E-2</v>
      </c>
      <c r="O47" s="142">
        <f>O41/GapCalc!$H$33</f>
        <v>6.9955852235419294E-2</v>
      </c>
      <c r="P47" s="142">
        <f>P41/GapCalc!$H$33</f>
        <v>7.477232901444858E-2</v>
      </c>
      <c r="Q47" s="142">
        <f>Q41/GapCalc!$H$33</f>
        <v>7.9692704095765246E-2</v>
      </c>
      <c r="R47" s="142">
        <f>R41/GapCalc!$H$33</f>
        <v>8.471895057423405E-2</v>
      </c>
      <c r="S47" s="142">
        <f>S41/GapCalc!$H$33</f>
        <v>8.9853068439571332E-2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2.3027132598311656E-2</v>
      </c>
      <c r="F48" s="142">
        <f>F43/GapCalc!$H$32</f>
        <v>2.632518792375433E-2</v>
      </c>
      <c r="G48" s="142">
        <f>G43/GapCalc!$H$32</f>
        <v>2.9696049211064196E-2</v>
      </c>
      <c r="H48" s="142">
        <f>H43/GapCalc!$H$32</f>
        <v>3.3141164197329515E-2</v>
      </c>
      <c r="I48" s="142">
        <f>I43/GapCalc!$H$32</f>
        <v>3.6662003343369658E-2</v>
      </c>
      <c r="J48" s="142">
        <f>J43/GapCalc!$H$32</f>
        <v>4.0260059924947897E-2</v>
      </c>
      <c r="K48" s="142">
        <f>K43/GapCalc!$H$32</f>
        <v>4.3936850109505744E-2</v>
      </c>
      <c r="L48" s="142">
        <f>L43/GapCalc!$H$32</f>
        <v>4.7693913017469801E-2</v>
      </c>
      <c r="M48" s="142">
        <f>M43/GapCalc!$H$32</f>
        <v>5.1532810767136561E-2</v>
      </c>
      <c r="N48" s="142">
        <f>N43/GapCalc!$H$32</f>
        <v>5.5455128502096024E-2</v>
      </c>
      <c r="O48" s="142">
        <f>O43/GapCalc!$H$32</f>
        <v>5.9462474400106401E-2</v>
      </c>
      <c r="P48" s="142">
        <f>P43/GapCalc!$H$32</f>
        <v>6.3556479662281298E-2</v>
      </c>
      <c r="Q48" s="142">
        <f>Q43/GapCalc!$H$32</f>
        <v>6.7738798481400464E-2</v>
      </c>
      <c r="R48" s="142">
        <f>R43/GapCalc!$H$32</f>
        <v>7.2011107988098941E-2</v>
      </c>
      <c r="S48" s="142">
        <f>S43/GapCalc!$H$32</f>
        <v>7.6375108173635617E-2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23969003.009985827</v>
      </c>
      <c r="D66" s="1544"/>
      <c r="E66" s="1564" t="s">
        <v>285</v>
      </c>
      <c r="G66" s="1520" t="s">
        <v>1073</v>
      </c>
      <c r="H66" s="1565">
        <f>H70/1.63</f>
        <v>4229824.0605857344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5611926.3026146805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990339.93575553189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6761947.2799796974</v>
      </c>
      <c r="D68" s="1545" t="s">
        <v>68</v>
      </c>
      <c r="G68" s="1521" t="s">
        <v>1079</v>
      </c>
      <c r="H68" s="1568">
        <f>IF(GapCalc!D41*C43&lt; 0,0,GapCalc!D41*C43)</f>
        <v>1193284.8141140642</v>
      </c>
      <c r="I68" s="1545" t="s">
        <v>68</v>
      </c>
    </row>
    <row r="69" spans="2:10">
      <c r="B69" s="1521" t="s">
        <v>1059</v>
      </c>
      <c r="C69" s="1568">
        <f>'Debt Calc'!E60</f>
        <v>26695601.323682521</v>
      </c>
      <c r="D69" s="1546">
        <v>0.9</v>
      </c>
      <c r="G69" s="1521" t="s">
        <v>1075</v>
      </c>
      <c r="H69" s="1568">
        <f>'Debt Calc'!E59*C43</f>
        <v>4710988.4688851507</v>
      </c>
      <c r="I69" s="1546">
        <v>0.9</v>
      </c>
    </row>
    <row r="70" spans="2:10">
      <c r="B70" s="1523" t="s">
        <v>1042</v>
      </c>
      <c r="C70" s="1577">
        <f>C67+C68+C69</f>
        <v>39069474.906276897</v>
      </c>
      <c r="D70" s="1545" t="s">
        <v>68</v>
      </c>
      <c r="G70" s="1523" t="s">
        <v>1042</v>
      </c>
      <c r="H70" s="1577">
        <f>H67+H68+H69</f>
        <v>6894613.218754747</v>
      </c>
      <c r="I70" s="1545" t="s">
        <v>68</v>
      </c>
    </row>
    <row r="71" spans="2:10">
      <c r="B71" s="1523" t="s">
        <v>1043</v>
      </c>
      <c r="C71" s="1571">
        <f>C70/C66</f>
        <v>1.63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0.62999999999999989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8.9999999999999983E-2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24080513.590339728</v>
      </c>
      <c r="D74" s="1549"/>
      <c r="F74" s="1559"/>
      <c r="G74" s="1578" t="s">
        <v>1082</v>
      </c>
      <c r="H74" s="1581">
        <f>GapCalc!H32</f>
        <v>4249502.3982952461</v>
      </c>
      <c r="I74" s="1549"/>
    </row>
    <row r="75" spans="2:10">
      <c r="B75" s="70" t="s">
        <v>1081</v>
      </c>
      <c r="C75" s="1579">
        <f>(C70-C74)/C74</f>
        <v>0.62245189496083775</v>
      </c>
      <c r="G75" s="70" t="s">
        <v>1081</v>
      </c>
      <c r="H75" s="1579">
        <f>(H70-H74)/H74</f>
        <v>0.62245189496083786</v>
      </c>
    </row>
    <row r="76" spans="2:10">
      <c r="B76" s="70" t="s">
        <v>1045</v>
      </c>
      <c r="C76" s="1579">
        <f>C75/7</f>
        <v>8.8921699280119684E-2</v>
      </c>
      <c r="G76" s="70" t="s">
        <v>1045</v>
      </c>
      <c r="H76" s="1579">
        <f>H75/7</f>
        <v>8.8921699280119698E-2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8943717.7937573548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9336744.74878354</v>
      </c>
      <c r="D81" s="1545" t="s">
        <v>68</v>
      </c>
    </row>
    <row r="82" spans="2:10">
      <c r="B82" s="1521" t="s">
        <v>1059</v>
      </c>
      <c r="C82" s="1568">
        <f>C68</f>
        <v>6761947.2799796974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16098692.028763238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0.79999999999999993</v>
      </c>
      <c r="D86" s="1548"/>
    </row>
    <row r="87" spans="2:10">
      <c r="B87" s="1523" t="s">
        <v>1045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31617306.89787351</v>
      </c>
      <c r="D93" s="1544"/>
      <c r="E93" s="1564" t="s">
        <v>288</v>
      </c>
      <c r="G93" s="1520" t="s">
        <v>1073</v>
      </c>
      <c r="H93" s="1565">
        <f>H97/1.63</f>
        <v>4633088.4178035827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9336744.74878354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1647660.8380206246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6761947.2799796974</v>
      </c>
      <c r="D95" s="1545" t="s">
        <v>68</v>
      </c>
      <c r="G95" s="1521" t="s">
        <v>1079</v>
      </c>
      <c r="H95" s="1568">
        <f>IF(GapCalc!D41*C43&lt; 0,0,GapCalc!D41*C43)</f>
        <v>1193284.8141140642</v>
      </c>
      <c r="I95" s="1545" t="s">
        <v>68</v>
      </c>
    </row>
    <row r="96" spans="2:10">
      <c r="B96" s="1521" t="s">
        <v>1059</v>
      </c>
      <c r="C96" s="1568">
        <f>'Debt Calc'!H60</f>
        <v>35437518.214770585</v>
      </c>
      <c r="D96" s="1546">
        <v>0.9</v>
      </c>
      <c r="G96" s="1521" t="s">
        <v>1075</v>
      </c>
      <c r="H96" s="1568">
        <f>'Debt Calc'!E59*C43</f>
        <v>4710988.4688851507</v>
      </c>
      <c r="I96" s="1546">
        <v>0.9</v>
      </c>
    </row>
    <row r="97" spans="2:9">
      <c r="B97" s="1523" t="s">
        <v>1042</v>
      </c>
      <c r="C97" s="1577">
        <f>C94+C95+C96</f>
        <v>51536210.24353382</v>
      </c>
      <c r="D97" s="1545" t="s">
        <v>68</v>
      </c>
      <c r="G97" s="1523" t="s">
        <v>1042</v>
      </c>
      <c r="H97" s="1577">
        <f>H94+H95+H96</f>
        <v>7551934.1210198393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0.63</v>
      </c>
      <c r="D99" s="1548"/>
      <c r="G99" s="1521" t="s">
        <v>1044</v>
      </c>
      <c r="H99" s="1524">
        <f>(H97-H93)/H93</f>
        <v>0.62999999999999989</v>
      </c>
      <c r="I99" s="1548"/>
    </row>
    <row r="100" spans="2:9">
      <c r="B100" s="1523" t="s">
        <v>1045</v>
      </c>
      <c r="C100" s="1566">
        <f>C99/7</f>
        <v>0.09</v>
      </c>
      <c r="D100" s="1548"/>
      <c r="G100" s="1523" t="s">
        <v>1045</v>
      </c>
      <c r="H100" s="1566">
        <f>H99/7</f>
        <v>8.9999999999999983E-2</v>
      </c>
      <c r="I100" s="1548"/>
    </row>
    <row r="101" spans="2:9" ht="13.5" thickBot="1">
      <c r="B101" s="1578" t="s">
        <v>1080</v>
      </c>
      <c r="C101" s="1581">
        <f>GapCalc!H33</f>
        <v>24080513.590339728</v>
      </c>
      <c r="D101" s="1549"/>
      <c r="G101" s="1578" t="s">
        <v>1082</v>
      </c>
      <c r="H101" s="1581">
        <f>GapCalc!H32</f>
        <v>4249502.3982952461</v>
      </c>
      <c r="I101" s="1549"/>
    </row>
    <row r="102" spans="2:9">
      <c r="B102" s="70" t="s">
        <v>1081</v>
      </c>
      <c r="C102" s="1579">
        <f>(C97-C101)/C101</f>
        <v>1.1401624201324498</v>
      </c>
      <c r="G102" s="70" t="s">
        <v>1081</v>
      </c>
      <c r="H102" s="1579">
        <f>(H97-H101)/H101</f>
        <v>0.77713374724754014</v>
      </c>
    </row>
    <row r="103" spans="2:9">
      <c r="B103" s="70" t="s">
        <v>1045</v>
      </c>
      <c r="C103" s="1579">
        <f>C102/10</f>
        <v>0.11401624201324498</v>
      </c>
      <c r="G103" s="70" t="s">
        <v>1045</v>
      </c>
      <c r="H103" s="1579">
        <f>H102/10</f>
        <v>7.7713374724754009E-2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110770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22154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132924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132924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132924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75.5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75.5</v>
      </c>
      <c r="D49" s="876"/>
      <c r="E49" s="855" t="s">
        <v>577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0</v>
      </c>
      <c r="D55" s="855"/>
      <c r="E55" s="855"/>
      <c r="F55" s="937"/>
      <c r="G55" s="855"/>
      <c r="H55" s="872" t="s">
        <v>685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58" sqref="H58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3261795.1734129358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60568118.930130169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60568100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27950158.460376561</v>
      </c>
    </row>
    <row r="15" spans="2:36">
      <c r="B15" s="556"/>
      <c r="C15" s="560" t="s">
        <v>634</v>
      </c>
      <c r="H15" s="561">
        <f>12*PMT(Data!C24/12,Data!C29*12,-'Debt Calc'!H14)</f>
        <v>3261794.153962343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-10378238.926898573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-10378238.926898573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60568100</v>
      </c>
      <c r="E21" s="561">
        <f>$H$15</f>
        <v>3261794.153962343</v>
      </c>
      <c r="F21" s="561">
        <f>E21-G21</f>
        <v>0</v>
      </c>
      <c r="G21" s="561">
        <f>D21-H21</f>
        <v>3261794.1539623439</v>
      </c>
      <c r="H21" s="561">
        <f>D21-E21</f>
        <v>57306305.846037656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57306305.846037656</v>
      </c>
      <c r="E22" s="561">
        <f t="shared" ref="E22:E50" si="1">$H$15</f>
        <v>3261794.153962343</v>
      </c>
      <c r="F22" s="561">
        <f t="shared" ref="F22:F50" si="2">E22-G22</f>
        <v>0</v>
      </c>
      <c r="G22" s="561">
        <f t="shared" ref="G22:G50" si="3">D22-H22</f>
        <v>3261794.1539623439</v>
      </c>
      <c r="H22" s="561">
        <f t="shared" ref="H22:H39" si="4">D22-E22</f>
        <v>54044511.692075312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54044511.692075312</v>
      </c>
      <c r="E23" s="561">
        <f t="shared" si="1"/>
        <v>3261794.153962343</v>
      </c>
      <c r="F23" s="561">
        <f t="shared" si="2"/>
        <v>0</v>
      </c>
      <c r="G23" s="561">
        <f t="shared" si="3"/>
        <v>3261794.1539623439</v>
      </c>
      <c r="H23" s="561">
        <f t="shared" si="4"/>
        <v>50782717.538112968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50782717.538112968</v>
      </c>
      <c r="E24" s="561">
        <f t="shared" si="1"/>
        <v>3261794.153962343</v>
      </c>
      <c r="F24" s="561">
        <f t="shared" si="2"/>
        <v>0</v>
      </c>
      <c r="G24" s="561">
        <f t="shared" si="3"/>
        <v>3261794.1539623439</v>
      </c>
      <c r="H24" s="561">
        <f t="shared" si="4"/>
        <v>47520923.384150624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47520923.384150624</v>
      </c>
      <c r="E25" s="561">
        <f t="shared" si="1"/>
        <v>3261794.153962343</v>
      </c>
      <c r="F25" s="561">
        <f t="shared" si="2"/>
        <v>0</v>
      </c>
      <c r="G25" s="561">
        <f t="shared" si="3"/>
        <v>3261794.1539623439</v>
      </c>
      <c r="H25" s="561">
        <f t="shared" si="4"/>
        <v>44259129.23018828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44259129.23018828</v>
      </c>
      <c r="E26" s="561">
        <f t="shared" si="1"/>
        <v>3261794.153962343</v>
      </c>
      <c r="F26" s="561">
        <f t="shared" si="2"/>
        <v>0</v>
      </c>
      <c r="G26" s="561">
        <f t="shared" si="3"/>
        <v>3261794.1539623439</v>
      </c>
      <c r="H26" s="561">
        <f t="shared" si="4"/>
        <v>40997335.076225936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40997335.076225936</v>
      </c>
      <c r="E27" s="561">
        <f t="shared" si="1"/>
        <v>3261794.153962343</v>
      </c>
      <c r="F27" s="561">
        <f t="shared" si="2"/>
        <v>0</v>
      </c>
      <c r="G27" s="561">
        <f t="shared" si="3"/>
        <v>3261794.1539623439</v>
      </c>
      <c r="H27" s="561">
        <f t="shared" si="4"/>
        <v>37735540.922263592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37735540.922263592</v>
      </c>
      <c r="E28" s="561">
        <f t="shared" si="1"/>
        <v>3261794.153962343</v>
      </c>
      <c r="F28" s="561">
        <f t="shared" si="2"/>
        <v>0</v>
      </c>
      <c r="G28" s="561">
        <f t="shared" si="3"/>
        <v>3261794.1539623439</v>
      </c>
      <c r="H28" s="561">
        <f t="shared" si="4"/>
        <v>34473746.768301249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34473746.768301249</v>
      </c>
      <c r="E29" s="561">
        <f t="shared" si="1"/>
        <v>3261794.153962343</v>
      </c>
      <c r="F29" s="561">
        <f t="shared" si="2"/>
        <v>0</v>
      </c>
      <c r="G29" s="561">
        <f t="shared" si="3"/>
        <v>3261794.1539623439</v>
      </c>
      <c r="H29" s="561">
        <f t="shared" si="4"/>
        <v>31211952.614338905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31211952.614338905</v>
      </c>
      <c r="E30" s="561">
        <f t="shared" si="1"/>
        <v>3261794.153962343</v>
      </c>
      <c r="F30" s="561">
        <f t="shared" si="2"/>
        <v>0</v>
      </c>
      <c r="G30" s="561">
        <f t="shared" si="3"/>
        <v>3261794.1539623439</v>
      </c>
      <c r="H30" s="561">
        <f>D30-E30</f>
        <v>27950158.460376561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27950158.460376561</v>
      </c>
      <c r="E31" s="561">
        <f t="shared" si="1"/>
        <v>3261794.153962343</v>
      </c>
      <c r="F31" s="561">
        <f t="shared" si="2"/>
        <v>0</v>
      </c>
      <c r="G31" s="561">
        <f t="shared" si="3"/>
        <v>3261794.1539623439</v>
      </c>
      <c r="H31" s="561">
        <f t="shared" si="4"/>
        <v>24688364.306414217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24688364.306414217</v>
      </c>
      <c r="E32" s="561">
        <f t="shared" si="1"/>
        <v>3261794.153962343</v>
      </c>
      <c r="F32" s="561">
        <f t="shared" si="2"/>
        <v>0</v>
      </c>
      <c r="G32" s="561">
        <f t="shared" si="3"/>
        <v>3261794.1539623439</v>
      </c>
      <c r="H32" s="561">
        <f t="shared" si="4"/>
        <v>21426570.152451873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21426570.152451873</v>
      </c>
      <c r="E33" s="561">
        <f t="shared" si="1"/>
        <v>3261794.153962343</v>
      </c>
      <c r="F33" s="561">
        <f t="shared" si="2"/>
        <v>0</v>
      </c>
      <c r="G33" s="561">
        <f t="shared" si="3"/>
        <v>3261794.1539623439</v>
      </c>
      <c r="H33" s="561">
        <f t="shared" si="4"/>
        <v>18164775.998489529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18164775.998489529</v>
      </c>
      <c r="E34" s="561">
        <f t="shared" si="1"/>
        <v>3261794.153962343</v>
      </c>
      <c r="F34" s="561">
        <f t="shared" si="2"/>
        <v>0</v>
      </c>
      <c r="G34" s="561">
        <f t="shared" si="3"/>
        <v>3261794.1539623439</v>
      </c>
      <c r="H34" s="561">
        <f t="shared" si="4"/>
        <v>14902981.844527185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14902981.844527185</v>
      </c>
      <c r="E35" s="561">
        <f t="shared" si="1"/>
        <v>3261794.153962343</v>
      </c>
      <c r="F35" s="561">
        <f t="shared" si="2"/>
        <v>0</v>
      </c>
      <c r="G35" s="561">
        <f t="shared" si="3"/>
        <v>3261794.1539623439</v>
      </c>
      <c r="H35" s="561">
        <f t="shared" si="4"/>
        <v>11641187.690564841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11641187.690564841</v>
      </c>
      <c r="E36" s="561">
        <f t="shared" si="1"/>
        <v>3261794.153962343</v>
      </c>
      <c r="F36" s="561">
        <f t="shared" si="2"/>
        <v>0</v>
      </c>
      <c r="G36" s="561">
        <f t="shared" si="3"/>
        <v>3261794.153962343</v>
      </c>
      <c r="H36" s="561">
        <f t="shared" si="4"/>
        <v>8379393.536602498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8379393.536602498</v>
      </c>
      <c r="E37" s="561">
        <f t="shared" si="1"/>
        <v>3261794.153962343</v>
      </c>
      <c r="F37" s="561">
        <f t="shared" si="2"/>
        <v>0</v>
      </c>
      <c r="G37" s="561">
        <f t="shared" si="3"/>
        <v>3261794.153962343</v>
      </c>
      <c r="H37" s="561">
        <f t="shared" si="4"/>
        <v>5117599.382640155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5117599.382640155</v>
      </c>
      <c r="E38" s="561">
        <f t="shared" si="1"/>
        <v>3261794.153962343</v>
      </c>
      <c r="F38" s="561">
        <f t="shared" si="2"/>
        <v>0</v>
      </c>
      <c r="G38" s="561">
        <f t="shared" si="3"/>
        <v>3261794.153962343</v>
      </c>
      <c r="H38" s="561">
        <f>D38-E38</f>
        <v>1855805.228677812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1855805.228677812</v>
      </c>
      <c r="E39" s="561">
        <f t="shared" si="1"/>
        <v>3261794.153962343</v>
      </c>
      <c r="F39" s="561">
        <f t="shared" si="2"/>
        <v>0</v>
      </c>
      <c r="G39" s="561">
        <f t="shared" si="3"/>
        <v>3261794.153962343</v>
      </c>
      <c r="H39" s="561">
        <f t="shared" si="4"/>
        <v>-1405988.925284531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-1405988.925284531</v>
      </c>
      <c r="E40" s="561">
        <f t="shared" si="1"/>
        <v>3261794.153962343</v>
      </c>
      <c r="F40" s="561">
        <f t="shared" si="2"/>
        <v>4667783.079246874</v>
      </c>
      <c r="G40" s="561">
        <f t="shared" si="3"/>
        <v>-1405988.925284531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3261794.153962343</v>
      </c>
      <c r="F41" s="561">
        <f t="shared" si="2"/>
        <v>3261794.153962343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3261794.153962343</v>
      </c>
      <c r="F42" s="561">
        <f t="shared" si="2"/>
        <v>3261794.153962343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3261794.153962343</v>
      </c>
      <c r="F43" s="561">
        <f t="shared" si="2"/>
        <v>3261794.153962343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3261794.153962343</v>
      </c>
      <c r="F44" s="561">
        <f t="shared" si="2"/>
        <v>3261794.153962343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3261794.153962343</v>
      </c>
      <c r="F45" s="561">
        <f t="shared" si="2"/>
        <v>3261794.153962343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3261794.153962343</v>
      </c>
      <c r="F46" s="561">
        <f t="shared" si="2"/>
        <v>3261794.153962343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3261794.153962343</v>
      </c>
      <c r="F47" s="561">
        <f t="shared" si="2"/>
        <v>3261794.153962343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3261794.153962343</v>
      </c>
      <c r="F48" s="561">
        <f t="shared" si="2"/>
        <v>3261794.153962343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3261794.153962343</v>
      </c>
      <c r="F49" s="561">
        <f t="shared" si="2"/>
        <v>3261794.153962343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3261794.153962343</v>
      </c>
      <c r="F50" s="561">
        <f t="shared" si="2"/>
        <v>3261794.153962343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1088</v>
      </c>
      <c r="H54" s="1659"/>
    </row>
    <row r="55" spans="2:28">
      <c r="D55" s="1655" t="s">
        <v>1064</v>
      </c>
      <c r="E55" s="1664">
        <f>'Cash Flow'!K15/0.05</f>
        <v>119357098.53863025</v>
      </c>
      <c r="F55" s="561"/>
      <c r="G55" s="1663" t="s">
        <v>1064</v>
      </c>
      <c r="H55" s="1667">
        <f>'Cash Flow'!N15/0.05</f>
        <v>128534540.44345208</v>
      </c>
    </row>
    <row r="56" spans="2:28">
      <c r="D56" s="1653" t="s">
        <v>1065</v>
      </c>
      <c r="E56" s="1665">
        <f>'Cash Flow'!K21/1.2</f>
        <v>3755439.0329212435</v>
      </c>
      <c r="F56" s="561"/>
      <c r="G56" s="1661" t="s">
        <v>1065</v>
      </c>
      <c r="H56" s="1668">
        <f>'Cash Flow'!N21/1.2</f>
        <v>4027366.5421076026</v>
      </c>
    </row>
    <row r="57" spans="2:28">
      <c r="D57" s="1653" t="s">
        <v>1066</v>
      </c>
      <c r="E57" s="1665">
        <f>E55*0.6</f>
        <v>71614259.123178139</v>
      </c>
      <c r="F57" s="561"/>
      <c r="G57" s="1661" t="s">
        <v>1066</v>
      </c>
      <c r="H57" s="1668">
        <f>H55*0.6</f>
        <v>77120724.266071245</v>
      </c>
    </row>
    <row r="58" spans="2:28">
      <c r="D58" s="1653" t="s">
        <v>1067</v>
      </c>
      <c r="E58" s="1665">
        <f>-PV(4%,34,E56)</f>
        <v>69142130.714831263</v>
      </c>
      <c r="F58" s="561"/>
      <c r="G58" s="1661" t="s">
        <v>1067</v>
      </c>
      <c r="H58" s="1668">
        <f>-PV(4%,30,H56)</f>
        <v>69641356.360106662</v>
      </c>
    </row>
    <row r="59" spans="2:28">
      <c r="D59" s="1652" t="s">
        <v>1068</v>
      </c>
      <c r="E59" s="1665">
        <f>E58-H27</f>
        <v>31406589.79256767</v>
      </c>
      <c r="F59" s="561"/>
      <c r="G59" s="1660" t="s">
        <v>1068</v>
      </c>
      <c r="H59" s="1668">
        <f>H58-H30</f>
        <v>41691197.899730101</v>
      </c>
    </row>
    <row r="60" spans="2:28" ht="13.5" thickBot="1">
      <c r="D60" s="1654" t="s">
        <v>1069</v>
      </c>
      <c r="E60" s="1666">
        <f>E59*GapCalc!I33</f>
        <v>26695601.323682521</v>
      </c>
      <c r="F60" s="561"/>
      <c r="G60" s="1662" t="s">
        <v>1069</v>
      </c>
      <c r="H60" s="1669">
        <f>H59*GapCalc!I33</f>
        <v>35437518.214770585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9880000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39877200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118500.5224</v>
      </c>
      <c r="C7" s="1417">
        <f>C4*E4</f>
        <v>478286.33925600001</v>
      </c>
      <c r="D7" s="1409">
        <f>(1-'Rental Income'!O19)</f>
        <v>0.4701986754966887</v>
      </c>
    </row>
    <row r="8" spans="1:5">
      <c r="A8" s="1410" t="s">
        <v>980</v>
      </c>
      <c r="B8" s="1417">
        <f>B7*D7</f>
        <v>55718.788678145691</v>
      </c>
      <c r="C8" s="1417">
        <f>C7*D7</f>
        <v>224889.60322633112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280608.3919044768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59250.261200000001</v>
      </c>
    </row>
    <row r="14" spans="1:5">
      <c r="A14" t="s">
        <v>992</v>
      </c>
      <c r="B14">
        <v>24</v>
      </c>
      <c r="C14" s="1425">
        <f>C3*(E3/12)*B14</f>
        <v>237001.0448</v>
      </c>
    </row>
    <row r="15" spans="1:5">
      <c r="A15" s="40" t="s">
        <v>994</v>
      </c>
      <c r="C15" s="1428">
        <f>SUM(C13+C14)</f>
        <v>296251.30599999998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5411328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-270845.40000000002</v>
      </c>
      <c r="E18" s="50"/>
      <c r="F18" s="55">
        <v>0.05</v>
      </c>
    </row>
    <row r="19" spans="1:25">
      <c r="A19" s="40" t="s">
        <v>165</v>
      </c>
      <c r="D19" s="57">
        <f>SUM(D15:D18)</f>
        <v>5146062.5999999996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78761.5</v>
      </c>
      <c r="E22" s="48">
        <v>1043</v>
      </c>
      <c r="F22" s="453" t="s">
        <v>172</v>
      </c>
      <c r="N22" s="428">
        <f>D22*0.8</f>
        <v>63009.200000000004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174</v>
      </c>
      <c r="D23" s="48">
        <f>(E23*$D$10-20)/2</f>
        <v>100707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14073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79933.279999999999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183</v>
      </c>
      <c r="D26" s="51">
        <f>SUM(D22:D25)</f>
        <v>273474.78000000003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28086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15100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192</v>
      </c>
      <c r="D31" s="48">
        <f>E31*$D$10</f>
        <v>24764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194</v>
      </c>
      <c r="C32" s="43"/>
      <c r="D32" s="50">
        <f>E32*$D$10</f>
        <v>4530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72480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80030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202</v>
      </c>
      <c r="D37" s="48">
        <f>E37*$D$10</f>
        <v>119290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63571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262891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55719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40116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59796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20536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128350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8305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246027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280608.3919044768</v>
      </c>
      <c r="Y56" s="1309">
        <f>X56/'Rental Income'!D15</f>
        <v>1858.3337212217007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728.09426543046357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126840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264.9006622516556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353192.5252378101</v>
      </c>
    </row>
    <row r="65" spans="1:25">
      <c r="B65" t="s">
        <v>250</v>
      </c>
      <c r="D65" s="48">
        <f>E65*$D$10</f>
        <v>22650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201490</v>
      </c>
      <c r="E67" s="48">
        <f>SUM(E62:E66)</f>
        <v>1439.9006622516556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45300</v>
      </c>
      <c r="E69" s="426">
        <v>300</v>
      </c>
    </row>
    <row r="70" spans="1:25">
      <c r="V70" s="40" t="s">
        <v>256</v>
      </c>
      <c r="X70" s="1307">
        <f>SUM(X68,X64,X54,X39,X31)</f>
        <v>709575.23190447676</v>
      </c>
      <c r="Y70" s="1307">
        <f>X70/D10</f>
        <v>4699.1737212217004</v>
      </c>
    </row>
    <row r="71" spans="1:25">
      <c r="A71" s="40" t="s">
        <v>257</v>
      </c>
      <c r="D71" s="48">
        <f>E71*$D$10</f>
        <v>75500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-1300.8262787782996</v>
      </c>
    </row>
    <row r="75" spans="1:25">
      <c r="A75" s="44" t="s">
        <v>260</v>
      </c>
      <c r="B75" s="45"/>
      <c r="C75" s="45"/>
      <c r="D75" s="52">
        <f>D19-D73</f>
        <v>3763122.5859199995</v>
      </c>
      <c r="E75" s="52">
        <f>D75/D10</f>
        <v>24921.341628609269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132924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49996500</v>
      </c>
      <c r="C7" s="465">
        <f>'Dev Summary_5-20'!B8</f>
        <v>3190331</v>
      </c>
      <c r="D7" s="465">
        <f t="shared" ref="D7:D14" si="0">B7-C7</f>
        <v>46806169</v>
      </c>
      <c r="E7" s="477">
        <f t="shared" ref="E7:E15" si="1">D7/B7</f>
        <v>0.93618891322392572</v>
      </c>
      <c r="F7" s="477"/>
      <c r="G7" s="472" t="e">
        <f t="shared" ref="G7:G14" si="2">B7/$B$15</f>
        <v>#REF!</v>
      </c>
      <c r="I7" s="147">
        <f>B7/$H$4</f>
        <v>454513.63636363635</v>
      </c>
      <c r="J7" s="53">
        <f>B7/$H$5</f>
        <v>376.12846438566396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246217.89320770215</v>
      </c>
      <c r="C9" s="446">
        <f>'Dev Summary_5-20'!B10</f>
        <v>50000</v>
      </c>
      <c r="D9" s="446">
        <f t="shared" si="0"/>
        <v>196217.89320770215</v>
      </c>
      <c r="E9" s="477">
        <f t="shared" si="1"/>
        <v>0.79692783758075014</v>
      </c>
      <c r="F9" s="477"/>
      <c r="G9" s="473" t="e">
        <f t="shared" si="2"/>
        <v>#REF!</v>
      </c>
      <c r="I9" s="53">
        <f t="shared" si="3"/>
        <v>2238.344483706383</v>
      </c>
      <c r="J9" s="53">
        <f t="shared" si="4"/>
        <v>1.8523208239874074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0.24073906894165087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296251.30599999998</v>
      </c>
      <c r="C12" s="446">
        <f>'Dev Summary_5-20'!B13</f>
        <v>2500000</v>
      </c>
      <c r="D12" s="446">
        <f t="shared" si="0"/>
        <v>-2203748.6940000001</v>
      </c>
      <c r="E12" s="477">
        <f t="shared" si="1"/>
        <v>-7.4387813635495004</v>
      </c>
      <c r="F12" s="477"/>
      <c r="G12" s="473" t="e">
        <f t="shared" si="2"/>
        <v>#REF!</v>
      </c>
      <c r="I12" s="53">
        <f t="shared" si="3"/>
        <v>2693.1936909090909</v>
      </c>
      <c r="J12" s="53">
        <f t="shared" si="4"/>
        <v>2.2287269868496282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2522699</v>
      </c>
      <c r="C14" s="467">
        <f>'Dev Summary_5-20'!B14</f>
        <v>282276.62941911275</v>
      </c>
      <c r="D14" s="467">
        <f t="shared" si="0"/>
        <v>2240422.3705808874</v>
      </c>
      <c r="E14" s="478">
        <f t="shared" si="1"/>
        <v>0.88810530728433612</v>
      </c>
      <c r="F14" s="478"/>
      <c r="G14" s="474" t="e">
        <f t="shared" si="2"/>
        <v>#REF!</v>
      </c>
      <c r="I14" s="53">
        <f t="shared" si="3"/>
        <v>22933.627272727274</v>
      </c>
      <c r="J14" s="53">
        <f t="shared" si="4"/>
        <v>18.978506515001055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60568118.930130169</v>
      </c>
      <c r="C21" s="48">
        <v>18731659</v>
      </c>
      <c r="D21" s="48">
        <f>B21-C21</f>
        <v>41836459.930130169</v>
      </c>
      <c r="E21" s="55">
        <f>D21/B21</f>
        <v>0.69073401434823556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7955232.0940937623</v>
      </c>
      <c r="C28" s="50"/>
      <c r="D28" s="50">
        <f t="shared" si="5"/>
        <v>7955232.0940937623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54996150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49996.535000000003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44996.881500000003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412517.95416666666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54996150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12649.114500000001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520160.48516666668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43996920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61151.785879999996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43996920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68239.285879999996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598158</v>
      </c>
      <c r="E10" s="748">
        <f>'PreDev Flow of Funds'!Y10+'PreDev Flow of Funds'!Y12</f>
        <v>1395966</v>
      </c>
      <c r="F10" s="748">
        <f>(D10-E10)/18</f>
        <v>-44322.666666666664</v>
      </c>
      <c r="G10" s="748">
        <f>$F$10</f>
        <v>-44322.666666666664</v>
      </c>
      <c r="H10" s="748">
        <f t="shared" ref="H10:W10" si="2">$F$10</f>
        <v>-44322.666666666664</v>
      </c>
      <c r="I10" s="748">
        <f t="shared" si="2"/>
        <v>-44322.666666666664</v>
      </c>
      <c r="J10" s="748">
        <f t="shared" si="2"/>
        <v>-44322.666666666664</v>
      </c>
      <c r="K10" s="748">
        <f t="shared" si="2"/>
        <v>-44322.666666666664</v>
      </c>
      <c r="L10" s="748">
        <f t="shared" si="2"/>
        <v>-44322.666666666664</v>
      </c>
      <c r="M10" s="748">
        <f t="shared" si="2"/>
        <v>-44322.666666666664</v>
      </c>
      <c r="N10" s="748">
        <f t="shared" si="2"/>
        <v>-44322.666666666664</v>
      </c>
      <c r="O10" s="748">
        <f t="shared" si="2"/>
        <v>-44322.666666666664</v>
      </c>
      <c r="P10" s="748">
        <f t="shared" si="2"/>
        <v>-44322.666666666664</v>
      </c>
      <c r="Q10" s="748">
        <f t="shared" si="2"/>
        <v>-44322.666666666664</v>
      </c>
      <c r="R10" s="748">
        <f t="shared" si="2"/>
        <v>-44322.666666666664</v>
      </c>
      <c r="S10" s="748">
        <f t="shared" si="2"/>
        <v>-44322.666666666664</v>
      </c>
      <c r="T10" s="748">
        <f t="shared" si="2"/>
        <v>-44322.666666666664</v>
      </c>
      <c r="U10" s="748">
        <f t="shared" si="2"/>
        <v>-44322.666666666664</v>
      </c>
      <c r="V10" s="748">
        <f t="shared" si="2"/>
        <v>-44322.666666666664</v>
      </c>
      <c r="W10" s="748">
        <f t="shared" si="2"/>
        <v>-44322.666666666664</v>
      </c>
      <c r="X10" s="748"/>
      <c r="Y10" s="748">
        <f>SUM(E10:W10)</f>
        <v>598157.99999999988</v>
      </c>
    </row>
    <row r="11" spans="1:25" ht="15">
      <c r="A11" s="402"/>
      <c r="B11" s="403" t="s">
        <v>388</v>
      </c>
      <c r="C11" s="748"/>
      <c r="D11" s="748">
        <f>'Development Budget'!G41</f>
        <v>598158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49996500</v>
      </c>
      <c r="E13" s="748">
        <f>'PreDev Flow of Funds'!Y14</f>
        <v>69798.3</v>
      </c>
      <c r="F13" s="748">
        <f>(D13-E13)/18</f>
        <v>2773705.6500000004</v>
      </c>
      <c r="G13" s="748">
        <f>$F$13</f>
        <v>2773705.6500000004</v>
      </c>
      <c r="H13" s="748">
        <f t="shared" ref="H13:W13" si="5">$F$13</f>
        <v>2773705.6500000004</v>
      </c>
      <c r="I13" s="748">
        <f t="shared" si="5"/>
        <v>2773705.6500000004</v>
      </c>
      <c r="J13" s="748">
        <f t="shared" si="5"/>
        <v>2773705.6500000004</v>
      </c>
      <c r="K13" s="748">
        <f t="shared" si="5"/>
        <v>2773705.6500000004</v>
      </c>
      <c r="L13" s="748">
        <f t="shared" si="5"/>
        <v>2773705.6500000004</v>
      </c>
      <c r="M13" s="748">
        <f t="shared" si="5"/>
        <v>2773705.6500000004</v>
      </c>
      <c r="N13" s="748">
        <f t="shared" si="5"/>
        <v>2773705.6500000004</v>
      </c>
      <c r="O13" s="748">
        <f t="shared" si="5"/>
        <v>2773705.6500000004</v>
      </c>
      <c r="P13" s="748">
        <f t="shared" si="5"/>
        <v>2773705.6500000004</v>
      </c>
      <c r="Q13" s="748">
        <f t="shared" si="5"/>
        <v>2773705.6500000004</v>
      </c>
      <c r="R13" s="748">
        <f t="shared" si="5"/>
        <v>2773705.6500000004</v>
      </c>
      <c r="S13" s="748">
        <f t="shared" si="5"/>
        <v>2773705.6500000004</v>
      </c>
      <c r="T13" s="748">
        <f t="shared" si="5"/>
        <v>2773705.6500000004</v>
      </c>
      <c r="U13" s="748">
        <f t="shared" si="5"/>
        <v>2773705.6500000004</v>
      </c>
      <c r="V13" s="748">
        <f t="shared" si="5"/>
        <v>2773705.6500000004</v>
      </c>
      <c r="W13" s="748">
        <f t="shared" si="5"/>
        <v>2773705.6500000004</v>
      </c>
      <c r="X13" s="748"/>
      <c r="Y13" s="748">
        <f t="shared" si="3"/>
        <v>49996499.999999985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49996500</v>
      </c>
      <c r="E15" s="748">
        <f>'PreDev Flow of Funds'!Y16+'PreDev Flow of Funds'!Y17+'PreDev Flow of Funds'!Y19</f>
        <v>72500</v>
      </c>
      <c r="F15" s="748">
        <f>(D15-E15)/18</f>
        <v>2773555.5555555555</v>
      </c>
      <c r="G15" s="748">
        <f>$F$15</f>
        <v>2773555.5555555555</v>
      </c>
      <c r="H15" s="748">
        <f t="shared" ref="H15:W15" si="7">$F$15</f>
        <v>2773555.5555555555</v>
      </c>
      <c r="I15" s="748">
        <f t="shared" si="7"/>
        <v>2773555.5555555555</v>
      </c>
      <c r="J15" s="748">
        <f t="shared" si="7"/>
        <v>2773555.5555555555</v>
      </c>
      <c r="K15" s="748">
        <f t="shared" si="7"/>
        <v>2773555.5555555555</v>
      </c>
      <c r="L15" s="748">
        <f t="shared" si="7"/>
        <v>2773555.5555555555</v>
      </c>
      <c r="M15" s="748">
        <f t="shared" si="7"/>
        <v>2773555.5555555555</v>
      </c>
      <c r="N15" s="748">
        <f t="shared" si="7"/>
        <v>2773555.5555555555</v>
      </c>
      <c r="O15" s="748">
        <f t="shared" si="7"/>
        <v>2773555.5555555555</v>
      </c>
      <c r="P15" s="748">
        <f t="shared" si="7"/>
        <v>2773555.5555555555</v>
      </c>
      <c r="Q15" s="748">
        <f t="shared" si="7"/>
        <v>2773555.5555555555</v>
      </c>
      <c r="R15" s="748">
        <f t="shared" si="7"/>
        <v>2773555.5555555555</v>
      </c>
      <c r="S15" s="748">
        <f t="shared" si="7"/>
        <v>2773555.5555555555</v>
      </c>
      <c r="T15" s="748">
        <f t="shared" si="7"/>
        <v>2773555.5555555555</v>
      </c>
      <c r="U15" s="748">
        <f t="shared" si="7"/>
        <v>2773555.5555555555</v>
      </c>
      <c r="V15" s="748">
        <f t="shared" si="7"/>
        <v>2773555.5555555555</v>
      </c>
      <c r="W15" s="748">
        <f t="shared" si="7"/>
        <v>2773555.5555555555</v>
      </c>
      <c r="X15" s="748"/>
      <c r="Y15" s="748">
        <f t="shared" si="3"/>
        <v>49996499.999999985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10055000</v>
      </c>
      <c r="E26" s="748">
        <v>0</v>
      </c>
      <c r="F26" s="748">
        <f>D26/2</f>
        <v>5027500</v>
      </c>
      <c r="G26" s="748">
        <f>F26</f>
        <v>5027500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10055000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39877200</v>
      </c>
      <c r="E33" s="748">
        <v>0</v>
      </c>
      <c r="F33" s="748">
        <f>D33</f>
        <v>39877200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39877200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124991.25</v>
      </c>
      <c r="E43" s="748">
        <f>D43</f>
        <v>124991.25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124991.25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315991.25</v>
      </c>
      <c r="E52" s="748">
        <f>D52</f>
        <v>315991.25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315991.25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2522699</v>
      </c>
      <c r="E58" s="748">
        <f>'PreDev Flow of Funds'!Y46</f>
        <v>96238.814999999988</v>
      </c>
      <c r="F58" s="748">
        <f>(D58-E58)/18</f>
        <v>134803.34361111111</v>
      </c>
      <c r="G58" s="748">
        <f>$F$58</f>
        <v>134803.34361111111</v>
      </c>
      <c r="H58" s="748">
        <f t="shared" ref="H58:W58" si="18">$F$58</f>
        <v>134803.34361111111</v>
      </c>
      <c r="I58" s="748">
        <f t="shared" si="18"/>
        <v>134803.34361111111</v>
      </c>
      <c r="J58" s="748">
        <f t="shared" si="18"/>
        <v>134803.34361111111</v>
      </c>
      <c r="K58" s="748">
        <f t="shared" si="18"/>
        <v>134803.34361111111</v>
      </c>
      <c r="L58" s="748">
        <f t="shared" si="18"/>
        <v>134803.34361111111</v>
      </c>
      <c r="M58" s="748">
        <f t="shared" si="18"/>
        <v>134803.34361111111</v>
      </c>
      <c r="N58" s="748">
        <f t="shared" si="18"/>
        <v>134803.34361111111</v>
      </c>
      <c r="O58" s="748">
        <f t="shared" si="18"/>
        <v>134803.34361111111</v>
      </c>
      <c r="P58" s="748">
        <f t="shared" si="18"/>
        <v>134803.34361111111</v>
      </c>
      <c r="Q58" s="748">
        <f t="shared" si="18"/>
        <v>134803.34361111111</v>
      </c>
      <c r="R58" s="748">
        <f t="shared" si="18"/>
        <v>134803.34361111111</v>
      </c>
      <c r="S58" s="748">
        <f t="shared" si="18"/>
        <v>134803.34361111111</v>
      </c>
      <c r="T58" s="748">
        <f t="shared" si="18"/>
        <v>134803.34361111111</v>
      </c>
      <c r="U58" s="748">
        <f t="shared" si="18"/>
        <v>134803.34361111111</v>
      </c>
      <c r="V58" s="748">
        <f t="shared" si="18"/>
        <v>134803.34361111111</v>
      </c>
      <c r="W58" s="748">
        <f t="shared" si="18"/>
        <v>134803.34361111111</v>
      </c>
      <c r="X58" s="748"/>
      <c r="Y58" s="748">
        <f t="shared" si="3"/>
        <v>2522699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246217.89320770215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15286135.574999997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52612886.836036406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-11407840.111704756</v>
      </c>
      <c r="E87" s="749">
        <f>E80-E84-E85-E86-E88-E89-E90-E91</f>
        <v>444982.49999999627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15286135.574999997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65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65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6" t="s">
        <v>590</v>
      </c>
      <c r="D74" s="1767"/>
      <c r="E74" s="1767"/>
      <c r="F74" s="1767"/>
      <c r="G74" s="1767"/>
      <c r="H74" s="1767"/>
      <c r="I74" s="1768"/>
      <c r="J74" s="1769" t="s">
        <v>583</v>
      </c>
      <c r="K74" s="1770"/>
      <c r="L74" s="1770"/>
      <c r="M74" s="1770"/>
      <c r="N74" s="1770"/>
      <c r="O74" s="1771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6"/>
      <c r="D78" s="1767"/>
      <c r="E78" s="1767"/>
      <c r="F78" s="1767"/>
      <c r="G78" s="1767"/>
      <c r="H78" s="1767"/>
      <c r="I78" s="1768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6"/>
      <c r="D85" s="1767"/>
      <c r="E85" s="1767"/>
      <c r="F85" s="1767"/>
      <c r="G85" s="1767"/>
      <c r="H85" s="1767"/>
      <c r="I85" s="1768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6"/>
      <c r="D91" s="1767"/>
      <c r="E91" s="1767"/>
      <c r="F91" s="1767"/>
      <c r="G91" s="1767"/>
      <c r="H91" s="1767"/>
      <c r="I91" s="1768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-1238226.5774999999</v>
      </c>
      <c r="K103" s="162">
        <f>J103+(C116*0.25)/2</f>
        <v>-2476453.1549999998</v>
      </c>
      <c r="L103" s="162">
        <f>K103+((C116-K103)/4)</f>
        <v>-4333793.0212500002</v>
      </c>
      <c r="M103" s="162">
        <f>L103+((C116-K103)/4)</f>
        <v>-6191132.8875000002</v>
      </c>
      <c r="N103" s="162">
        <f>M103+((C116-K103)/4)</f>
        <v>-8048472.7537500001</v>
      </c>
      <c r="O103" s="162">
        <f>N103+((C116-K103)/4)</f>
        <v>-9905812.620000001</v>
      </c>
      <c r="P103" s="162">
        <f>O103</f>
        <v>-9905812.620000001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9846992.7408333328</v>
      </c>
      <c r="K104" s="371">
        <f>((C117-1033493)/6)+J104</f>
        <v>19693985.481666666</v>
      </c>
      <c r="L104" s="371">
        <f>((C117-1033493)/6)+K104</f>
        <v>29540978.222499996</v>
      </c>
      <c r="M104" s="371">
        <f>((C117-1033493)/6)+L104</f>
        <v>39387970.963333331</v>
      </c>
      <c r="N104" s="371">
        <f>((C117-1033493)/6)+M104</f>
        <v>49234963.704166666</v>
      </c>
      <c r="O104" s="371">
        <f>((C117-1033493)/6)+N104</f>
        <v>59081956.445</v>
      </c>
      <c r="P104" s="371">
        <f>(286645+100000+646848)+O104</f>
        <v>60115449.445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8608766.1633333322</v>
      </c>
      <c r="K110" s="371">
        <f t="shared" ref="K110:P110" si="9">SUM(K103:K104)</f>
        <v>17217532.326666664</v>
      </c>
      <c r="L110" s="371">
        <f t="shared" si="9"/>
        <v>25207185.201249994</v>
      </c>
      <c r="M110" s="371">
        <f t="shared" si="9"/>
        <v>33196838.075833332</v>
      </c>
      <c r="N110" s="371">
        <f t="shared" si="9"/>
        <v>41186490.950416669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4">
        <f>'PreDev Flow of Funds'!D47</f>
        <v>14824249.954999998</v>
      </c>
      <c r="D114" s="1773"/>
    </row>
    <row r="115" spans="2:19">
      <c r="B115" s="397" t="s">
        <v>601</v>
      </c>
      <c r="C115" s="1775">
        <f>M102</f>
        <v>1323400.22</v>
      </c>
      <c r="D115" s="1773"/>
    </row>
    <row r="116" spans="2:19">
      <c r="B116" s="397" t="s">
        <v>583</v>
      </c>
      <c r="C116" s="1775">
        <f>'Development Budget'!G37-Predevelopment!D27-Predevelopment!D28-Predevelopment!D29-Timeline!M102-Predevelopment!D17</f>
        <v>-9905812.6199999992</v>
      </c>
      <c r="D116" s="1773"/>
    </row>
    <row r="117" spans="2:19" ht="16.5" thickBot="1">
      <c r="B117" s="398" t="s">
        <v>602</v>
      </c>
      <c r="C117" s="1776">
        <f>C118-C114-C116-C115</f>
        <v>60115449.445</v>
      </c>
      <c r="D117" s="1777"/>
    </row>
    <row r="118" spans="2:19" ht="16.5" thickTop="1">
      <c r="B118" s="368" t="s">
        <v>586</v>
      </c>
      <c r="C118" s="1772">
        <v>66357287</v>
      </c>
      <c r="D118" s="1773"/>
    </row>
  </sheetData>
  <mergeCells count="13">
    <mergeCell ref="C78:I78"/>
    <mergeCell ref="C118:D118"/>
    <mergeCell ref="C85:I85"/>
    <mergeCell ref="C91:I91"/>
    <mergeCell ref="C114:D114"/>
    <mergeCell ref="C115:D115"/>
    <mergeCell ref="C116:D116"/>
    <mergeCell ref="C117:D117"/>
    <mergeCell ref="A5:B6"/>
    <mergeCell ref="A39:B40"/>
    <mergeCell ref="A72:B73"/>
    <mergeCell ref="C74:I74"/>
    <mergeCell ref="J74:O7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