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ow Cost Financing\"/>
    </mc:Choice>
  </mc:AlternateContent>
  <xr:revisionPtr revIDLastSave="0" documentId="13_ncr:1_{235E2E63-05DC-4797-8266-7F9ADC12EC3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6" l="1"/>
  <c r="M163" i="1"/>
  <c r="E35" i="1"/>
  <c r="D37" i="2" l="1"/>
  <c r="D40" i="28" s="1"/>
  <c r="I59" i="2" l="1"/>
  <c r="D50" i="10"/>
  <c r="D42" i="28" l="1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C27" i="6" s="1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D30" i="6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5" i="28" a="1"/>
  <c r="D16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<sst xmlns="http://schemas.openxmlformats.org/spreadsheetml/2006/main" count="1995" uniqueCount="1106">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</sst>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3" workbookViewId="0">
      <selection activeCell="D28" sqref="D28:E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196860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196860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8.8504752737750811E-2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8.8504752737750811E-2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-277402.83599422127</v>
      </c>
      <c r="E18" s="1754">
        <f ca="1">-D18/D28</f>
        <v>2.2455469777050824E-3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13305000</v>
      </c>
      <c r="E21" s="1531">
        <f>D21/$D$10</f>
        <v>65866.336633663363</v>
      </c>
    </row>
    <row r="22" spans="1:6">
      <c r="A22" s="64"/>
      <c r="B22" s="4" t="s">
        <v>16</v>
      </c>
      <c r="C22" s="4"/>
      <c r="D22" s="1531">
        <f>'Development Budget'!G44</f>
        <v>81146435.312499985</v>
      </c>
      <c r="E22" s="1531">
        <f t="shared" ref="E22:E28" si="0">D22/$D$10</f>
        <v>401715.02629950485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2298240</v>
      </c>
      <c r="E23" s="1531">
        <f t="shared" si="0"/>
        <v>11377.425742574258</v>
      </c>
    </row>
    <row r="24" spans="1:6">
      <c r="A24" s="64"/>
      <c r="B24" s="4" t="s">
        <v>18</v>
      </c>
      <c r="C24" s="4"/>
      <c r="D24" s="1531">
        <f>'Development Budget'!G97</f>
        <v>3356436</v>
      </c>
      <c r="E24" s="1531">
        <f t="shared" si="0"/>
        <v>16616.019801980197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5926076.1148478277</v>
      </c>
      <c r="E25" s="1531">
        <f t="shared" si="0"/>
        <v>29337.0104695437</v>
      </c>
    </row>
    <row r="26" spans="1:6">
      <c r="A26" s="64"/>
      <c r="B26" s="4" t="s">
        <v>20</v>
      </c>
      <c r="C26" s="4"/>
      <c r="D26" s="1531">
        <f>'Development Budget'!G181</f>
        <v>5311106.7239028858</v>
      </c>
      <c r="E26" s="1531">
        <f t="shared" si="0"/>
        <v>26292.607544073693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12191345.180910185</v>
      </c>
      <c r="E27" s="1532">
        <f t="shared" si="0"/>
        <v>60353.193964901904</v>
      </c>
    </row>
    <row r="28" spans="1:6" ht="16.5" thickTop="1">
      <c r="A28" s="4"/>
      <c r="B28" s="4"/>
      <c r="C28" s="150" t="s">
        <v>14</v>
      </c>
      <c r="D28" s="1533">
        <f>SUM(D21:D27)</f>
        <v>123534639.33216088</v>
      </c>
      <c r="E28" s="1531">
        <f t="shared" si="0"/>
        <v>611557.620456242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80229254.645904571</v>
      </c>
      <c r="E32" s="1586">
        <f t="shared" si="1"/>
        <v>397174.5279500226</v>
      </c>
    </row>
    <row r="33" spans="1:5">
      <c r="A33" s="64"/>
      <c r="B33" s="4" t="s">
        <v>1052</v>
      </c>
      <c r="C33" s="4"/>
      <c r="D33" s="1587">
        <f>GapCalc!D29</f>
        <v>6480055.1829384444</v>
      </c>
      <c r="E33" s="1586">
        <f>D33/$D$10</f>
        <v>32079.481103655664</v>
      </c>
    </row>
    <row r="34" spans="1:5">
      <c r="A34" s="65"/>
      <c r="B34" s="4" t="s">
        <v>26</v>
      </c>
      <c r="C34" s="4"/>
      <c r="D34" s="1587">
        <f>GapCalc!D30</f>
        <v>36720312.703317851</v>
      </c>
      <c r="E34" s="1586">
        <f>D34/$D$10</f>
        <v>181783.72625404876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123429622.53216086</v>
      </c>
      <c r="E36" s="1586">
        <f>D36/$D$10</f>
        <v>611037.73530772701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91138102.44993715</v>
      </c>
      <c r="E40" s="1586">
        <f t="shared" ref="E40" si="2">D40/$D$10</f>
        <v>451178.72499968886</v>
      </c>
    </row>
    <row r="41" spans="1:5">
      <c r="A41" s="60"/>
      <c r="B41" s="4" t="s">
        <v>1052</v>
      </c>
      <c r="C41" s="4"/>
      <c r="D41" s="1591">
        <f>GapCalc!D29+GapCalc!D38</f>
        <v>6480055.1829384444</v>
      </c>
      <c r="E41" s="1586">
        <f>D41/$D$10</f>
        <v>32079.481103655664</v>
      </c>
    </row>
    <row r="42" spans="1:5">
      <c r="A42" s="60"/>
      <c r="B42" s="1557" t="s">
        <v>26</v>
      </c>
      <c r="C42" s="4"/>
      <c r="D42" s="1592">
        <f>GapCalc!D30+GapCalc!D39</f>
        <v>36720312.703317851</v>
      </c>
      <c r="E42" s="1586">
        <f>D42/$D$10</f>
        <v>181783.72625404876</v>
      </c>
    </row>
    <row r="43" spans="1:5">
      <c r="A43" s="60"/>
      <c r="B43" s="1714" t="s">
        <v>1103</v>
      </c>
      <c r="C43" s="4"/>
      <c r="D43" s="1592">
        <f>IF(D32-D40&gt;0,0,D32-D40)</f>
        <v>-10908847.804032579</v>
      </c>
      <c r="E43" s="1586">
        <f>D43/$D$10</f>
        <v>-54004.197049666232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123429622.53216086</v>
      </c>
      <c r="E45" s="1588">
        <f>D45/$D$10</f>
        <v>611037.73530772701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2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196860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196860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13305000</v>
      </c>
      <c r="E17" s="1531">
        <f>D17/$D$11</f>
        <v>65866.336633663363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81146435.312499985</v>
      </c>
      <c r="E18" s="1531">
        <f t="shared" ref="E18:E24" si="0">D18/$D$11</f>
        <v>401715.02629950485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2298240</v>
      </c>
      <c r="E19" s="1531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3356436</v>
      </c>
      <c r="E20" s="1531">
        <f t="shared" si="0"/>
        <v>16616.019801980197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5926076.1148478277</v>
      </c>
      <c r="E21" s="1531">
        <f t="shared" si="0"/>
        <v>29337.0104695437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5311106.7239028858</v>
      </c>
      <c r="E22" s="1531">
        <f t="shared" si="0"/>
        <v>26292.607544073693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12191345.180910185</v>
      </c>
      <c r="E23" s="1532">
        <f t="shared" si="0"/>
        <v>60353.193964901904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123534639.33216088</v>
      </c>
      <c r="E24" s="1531">
        <f t="shared" si="0"/>
        <v>611557.620456242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80229254.645904571</v>
      </c>
      <c r="E28" s="1586">
        <f t="shared" si="1"/>
        <v>397174.5279500226</v>
      </c>
      <c r="F28" s="62"/>
      <c r="G28" s="1419" t="s">
        <v>609</v>
      </c>
      <c r="H28" s="1608">
        <f>H32/D11</f>
        <v>32079.481103655664</v>
      </c>
      <c r="I28" s="703"/>
    </row>
    <row r="29" spans="1:10" ht="15.75">
      <c r="A29" s="64"/>
      <c r="B29" s="4" t="s">
        <v>1052</v>
      </c>
      <c r="C29" s="4"/>
      <c r="D29" s="1587">
        <v>6480055.1829384444</v>
      </c>
      <c r="E29" s="1586">
        <f>D29/$D$11</f>
        <v>32079.481103655664</v>
      </c>
      <c r="F29" s="520"/>
      <c r="G29" s="1420" t="s">
        <v>972</v>
      </c>
      <c r="H29" s="1609">
        <f>H33/D11</f>
        <v>181783.72625404876</v>
      </c>
      <c r="I29" s="703"/>
    </row>
    <row r="30" spans="1:10" ht="16.5" thickBot="1">
      <c r="A30" s="65"/>
      <c r="B30" s="4" t="s">
        <v>26</v>
      </c>
      <c r="C30" s="4"/>
      <c r="D30" s="1587">
        <v>36720312.703317851</v>
      </c>
      <c r="E30" s="1586">
        <f>D30/$D$11</f>
        <v>181783.72625404876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-105016.80000001192</v>
      </c>
      <c r="E32" s="1588">
        <f>D32/$D$11</f>
        <v>-519.8851485149105</v>
      </c>
      <c r="F32" s="62"/>
      <c r="G32" s="1339" t="s">
        <v>609</v>
      </c>
      <c r="H32" s="1611">
        <f>D29+D38</f>
        <v>6480055.1829384444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123429622.53216086</v>
      </c>
      <c r="E33" s="1586">
        <f>D33/$D$11</f>
        <v>611037.73530772701</v>
      </c>
      <c r="F33" s="62"/>
      <c r="G33" s="1441" t="s">
        <v>972</v>
      </c>
      <c r="H33" s="1611">
        <f>D30+D39</f>
        <v>36720312.703317851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43200367.886256292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0.34970246499120639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91138102.44993715</v>
      </c>
      <c r="E37" s="1586">
        <f t="shared" ref="E37" si="2">D37/$D$11</f>
        <v>451178.72499968886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15752.520000001787</v>
      </c>
      <c r="I39" s="1596">
        <f>D29+H39</f>
        <v>6495807.7029384458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89264.280000010127</v>
      </c>
      <c r="I40" s="1597">
        <f>D30+H40</f>
        <v>36809576.983317859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10908847.804032579</v>
      </c>
      <c r="E41" s="1588">
        <f>D41/$D$11</f>
        <v>54004.197049666232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91138102.44993715</v>
      </c>
      <c r="E42" s="1586">
        <f>D42/$D$11</f>
        <v>451178.72499968886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-1636327.1706048867</v>
      </c>
      <c r="I43" s="1596">
        <f>D38+H43</f>
        <v>-1636327.1706048867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-9272520.6334276926</v>
      </c>
      <c r="I44" s="1596">
        <f>D39+H44</f>
        <v>-9272520.6334276926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36484520.292722762</v>
      </c>
      <c r="J46" s="1582" t="s">
        <v>1084</v>
      </c>
      <c r="K46" s="1583">
        <f>'Cash Flow'!C76</f>
        <v>8.8504752737750811E-2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13248693.388269527</v>
      </c>
      <c r="J47" s="1584" t="s">
        <v>1099</v>
      </c>
      <c r="K47" s="1607">
        <f>'Cash Flow'!C70</f>
        <v>59469768.077138104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-235792.4105950892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6438444.7575393124</v>
      </c>
      <c r="J51" s="1585" t="s">
        <v>1084</v>
      </c>
      <c r="K51" s="1618">
        <f>'Cash Flow'!H76</f>
        <v>8.8504752737750811E-2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6480055.1829384444</v>
      </c>
      <c r="J52" s="1584" t="s">
        <v>1098</v>
      </c>
      <c r="K52" s="1607">
        <f>'Cash Flow'!H70</f>
        <v>10494664.954789078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-41610.425399132073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-277402.83599422127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48460379.240019083</v>
      </c>
      <c r="J58" s="1582" t="s">
        <v>1084</v>
      </c>
      <c r="K58" s="1583">
        <f>'Cash Flow'!C103</f>
        <v>0.11511368598474367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78990418.161231101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11740066.536701232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7071988.5654545585</v>
      </c>
      <c r="J63" s="1585" t="s">
        <v>1084</v>
      </c>
      <c r="K63" s="1618">
        <f>'Cash Flow'!H103</f>
        <v>7.7889555509367492E-2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6480055.1829384444</v>
      </c>
      <c r="J64" s="1584" t="s">
        <v>1098</v>
      </c>
      <c r="K64" s="1607">
        <f>'Cash Flow'!H97</f>
        <v>11527341.361690929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591933.38251611404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12331999.919217346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5" zoomScale="130" zoomScaleNormal="130" workbookViewId="0">
      <selection activeCell="M8" sqref="M8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40</v>
      </c>
      <c r="O8" s="521">
        <f t="shared" si="0"/>
        <v>0.19801980198019803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44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53</v>
      </c>
      <c r="D10" s="210">
        <f>SUM(E24,E33,E42,E51,E60,E78,E69,E87,E96,E116,E106)</f>
        <v>35</v>
      </c>
      <c r="E10" s="278">
        <f>IF(D10="","",D10/D$15)</f>
        <v>0.17326732673267325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123</v>
      </c>
      <c r="E11" s="278">
        <f>IF(D11="","",D11/D$15)</f>
        <v>0.6089108910891089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160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164050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704088</v>
      </c>
      <c r="F18" s="285"/>
      <c r="H18" s="286"/>
      <c r="I18" s="287"/>
      <c r="K18" s="226"/>
      <c r="M18" s="328" t="s">
        <v>10</v>
      </c>
      <c r="N18" s="1423">
        <f>N17+N16</f>
        <v>202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0.6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20</v>
      </c>
      <c r="F32" s="223"/>
      <c r="G32" s="308">
        <f>H9*$C$29</f>
        <v>1455.6</v>
      </c>
      <c r="H32" s="308">
        <f>$K$9</f>
        <v>0</v>
      </c>
      <c r="I32" s="228">
        <f>ROUND(G32-H32,0)</f>
        <v>1456</v>
      </c>
      <c r="J32" s="284">
        <f>D32*E32</f>
        <v>8000</v>
      </c>
      <c r="K32" s="292">
        <f>E32*I32</f>
        <v>29120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11</v>
      </c>
      <c r="F33" s="223"/>
      <c r="G33" s="308">
        <f>H10*$C$29</f>
        <v>1560</v>
      </c>
      <c r="H33" s="308">
        <f>$K$10</f>
        <v>0</v>
      </c>
      <c r="I33" s="228">
        <f>ROUND(G33-H33,0)</f>
        <v>1560</v>
      </c>
      <c r="J33" s="284">
        <f>D33*E33</f>
        <v>7370</v>
      </c>
      <c r="K33" s="292">
        <f>E33*I33</f>
        <v>17160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9</v>
      </c>
      <c r="F34" s="223"/>
      <c r="G34" s="308">
        <f>H11*$C$29</f>
        <v>1872</v>
      </c>
      <c r="H34" s="228">
        <f>$K$11</f>
        <v>0</v>
      </c>
      <c r="I34" s="228">
        <f>ROUND(G34-H34,0)</f>
        <v>1872</v>
      </c>
      <c r="J34" s="284">
        <f>D34*E34</f>
        <v>9000</v>
      </c>
      <c r="K34" s="292">
        <f>E34*I34</f>
        <v>16848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2163.6</v>
      </c>
      <c r="H35" s="228">
        <v>0</v>
      </c>
      <c r="I35" s="228">
        <f>ROUND(G35-H35,0)</f>
        <v>2164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40</v>
      </c>
      <c r="F37" s="241"/>
      <c r="G37" s="241"/>
      <c r="H37" s="243"/>
      <c r="I37" s="241"/>
      <c r="J37" s="293">
        <f>SUM(J32:J36)</f>
        <v>24370</v>
      </c>
      <c r="K37" s="294">
        <f>SUM(K32:K36)</f>
        <v>63128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24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9600</v>
      </c>
      <c r="K50" s="292">
        <f>E50*I50</f>
        <v>57600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24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16080</v>
      </c>
      <c r="K51" s="292">
        <f>E51*I51</f>
        <v>74880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112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112000</v>
      </c>
      <c r="K52" s="292">
        <f>E52*I52</f>
        <v>508480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160</v>
      </c>
      <c r="F55" s="247"/>
      <c r="G55" s="247"/>
      <c r="H55" s="246"/>
      <c r="I55" s="247"/>
      <c r="J55" s="296">
        <f>SUM(J50:J54)</f>
        <v>137680</v>
      </c>
      <c r="K55" s="297">
        <f>SUM(K50:K54)</f>
        <v>640960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13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10908847.804032579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13130000</v>
      </c>
      <c r="F18" s="845"/>
      <c r="G18" s="1392">
        <f>E18</f>
        <v>13130000</v>
      </c>
      <c r="H18" s="950"/>
      <c r="I18" s="950">
        <f>G18/$F$9</f>
        <v>65000</v>
      </c>
      <c r="J18" s="1015"/>
      <c r="K18" s="1016"/>
      <c r="L18" s="1016"/>
      <c r="M18" s="1431">
        <f>F9*N17</f>
        <v>13130000</v>
      </c>
      <c r="N18" s="1674">
        <v>13130000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13130000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123.76237623762377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742.57425742574253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13305000</v>
      </c>
      <c r="H28" s="1333"/>
      <c r="I28" s="1325">
        <f t="shared" si="0"/>
        <v>65866.336633663363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13305000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64797148.25</v>
      </c>
      <c r="H32" s="1039"/>
      <c r="I32" s="950">
        <f t="shared" si="0"/>
        <v>320777.96163366339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71276863.075000003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59058000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5739148.2500000009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6479714.8250000002</v>
      </c>
      <c r="G36" s="854">
        <f>F36</f>
        <v>6479714.8250000002</v>
      </c>
      <c r="H36" s="950"/>
      <c r="I36" s="950">
        <f t="shared" si="0"/>
        <v>32077.796163366336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4535800.3775000004</v>
      </c>
      <c r="H37" s="1072"/>
      <c r="I37" s="950">
        <f t="shared" si="0"/>
        <v>22454.457314356438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4535800.3775000004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3239857.4125000001</v>
      </c>
      <c r="H38" s="1072"/>
      <c r="I38" s="950">
        <f t="shared" si="0"/>
        <v>16038.898081683168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3239857.4125000001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971957.22375</v>
      </c>
      <c r="H40" s="1072"/>
      <c r="I40" s="950">
        <f t="shared" si="0"/>
        <v>4811.6694245049503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971957.22375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971957.22375</v>
      </c>
      <c r="H41" s="1072"/>
      <c r="I41" s="950">
        <f t="shared" si="0"/>
        <v>4811.6694245049503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971957.22375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81146435.312499985</v>
      </c>
      <c r="H44" s="1324"/>
      <c r="I44" s="1325">
        <f t="shared" si="0"/>
        <v>401715.02629950485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81146435.312499985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81146435.312499985</v>
      </c>
      <c r="H46" s="1333"/>
      <c r="I46" s="1325">
        <f t="shared" si="0"/>
        <v>401715.02629950485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81146435.312499985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8114643.5312499991</v>
      </c>
      <c r="H47" s="1039"/>
      <c r="I47" s="950">
        <f t="shared" si="0"/>
        <v>40171.50262995049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8114643.5312499991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67670</v>
      </c>
      <c r="G49" s="1092">
        <f>F49</f>
        <v>67670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74336</v>
      </c>
      <c r="G50" s="1092">
        <f>F50</f>
        <v>74336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6.064356435643564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143231</v>
      </c>
      <c r="H52" s="1101"/>
      <c r="I52" s="950">
        <f t="shared" si="0"/>
        <v>709.06435643564362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143231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2139800</v>
      </c>
      <c r="H54" s="1039"/>
      <c r="I54" s="950">
        <f t="shared" si="0"/>
        <v>10593.069306930693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2139800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1976000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1976000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128440</v>
      </c>
      <c r="H57" s="1117"/>
      <c r="I57" s="950">
        <f t="shared" si="0"/>
        <v>635.8415841584158</v>
      </c>
      <c r="J57" s="1015"/>
      <c r="K57" s="1118"/>
      <c r="L57" s="1119"/>
      <c r="M57" s="1120">
        <f>(5000*F9)*1.6</f>
        <v>1616000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128440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148.51485148514851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1904373.9117187499</v>
      </c>
      <c r="H59" s="1128"/>
      <c r="I59" s="950">
        <f t="shared" si="0"/>
        <v>9427.5936223700483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2298240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202866.08828124998</v>
      </c>
      <c r="H67" s="1039"/>
      <c r="I67" s="950">
        <f t="shared" si="0"/>
        <v>1004.2875657487623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202866.08828124998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34.653465346534652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470.29702970297029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123.76237623762377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148.51485148514851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168.31683168316832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393866.08828124998</v>
      </c>
      <c r="H80" s="1101"/>
      <c r="I80" s="950">
        <f t="shared" si="0"/>
        <v>1949.8321202042077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393866.08828124998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3256436</v>
      </c>
      <c r="H90" s="1111"/>
      <c r="I90" s="950">
        <f t="shared" si="3"/>
        <v>16120.970297029702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3256436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495.04950495049508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2380974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2380974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525200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3356436</v>
      </c>
      <c r="H97" s="1101"/>
      <c r="I97" s="950">
        <f t="shared" si="3"/>
        <v>16616.019801980197</v>
      </c>
      <c r="J97" s="1102"/>
      <c r="K97" s="1166">
        <f>I97/I250</f>
        <v>2.7169998780465041E-2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3356436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308325.93965896801</v>
      </c>
      <c r="H102" s="1111"/>
      <c r="I102" s="950">
        <f t="shared" si="3"/>
        <v>1526.3660379156831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308325.93965896801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293325.93965896801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5770604.6279560579</v>
      </c>
      <c r="N103" s="1172">
        <v>5866518.7931793602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308325.93965896801</v>
      </c>
      <c r="H114" s="1101"/>
      <c r="I114" s="950">
        <f t="shared" si="3"/>
        <v>1526.3660379156831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308325.93965896801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3328208.5007009944</v>
      </c>
      <c r="H116" s="1177"/>
      <c r="I116" s="950">
        <f t="shared" si="3"/>
        <v>16476.279706440568</v>
      </c>
      <c r="J116" s="1178"/>
      <c r="K116" s="1179" t="s">
        <v>823</v>
      </c>
      <c r="L116" s="1073"/>
      <c r="M116" s="1180">
        <f>0.5*Data!C20*Data!C17/12*Data!C19</f>
        <v>3209170.1858361829</v>
      </c>
      <c r="N116" s="1181">
        <v>3328208.5007009944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3328208.5007009944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832052.1251752486</v>
      </c>
      <c r="H117" s="1094"/>
      <c r="I117" s="950">
        <f t="shared" si="3"/>
        <v>4119.0699266101419</v>
      </c>
      <c r="J117" s="1015"/>
      <c r="K117" s="1184" t="s">
        <v>825</v>
      </c>
      <c r="L117" s="1185"/>
      <c r="M117" s="1186">
        <f>0.01*Data!C20</f>
        <v>802292.54645904573</v>
      </c>
      <c r="N117" s="1172">
        <v>832052.1251752486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832052.1251752486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393702.39350000001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393702.39350000001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1111905.2766952969</v>
      </c>
      <c r="H121" s="1117"/>
      <c r="I121" s="950">
        <f t="shared" si="3"/>
        <v>5504.4815677984998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1111905.2766952969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1111905.2766952969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134807.81877628728</v>
      </c>
      <c r="H125" s="1111"/>
      <c r="I125" s="950">
        <f t="shared" si="3"/>
        <v>667.36543948657072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134807.81877628728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124807.81877628728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120343.88196885686</v>
      </c>
      <c r="N126" s="1172">
        <v>124807.81877628728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76.237623762376231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5816076.1148478277</v>
      </c>
      <c r="H148" s="1128"/>
      <c r="I148" s="950">
        <f t="shared" si="6"/>
        <v>28792.456014098156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5816076.1148478277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967061.51343438809</v>
      </c>
      <c r="H151" s="1093"/>
      <c r="I151" s="950">
        <f t="shared" ref="I151:I158" si="7">G151/$F$9</f>
        <v>4787.4332348237031</v>
      </c>
      <c r="J151" s="1094"/>
      <c r="K151" s="1244" t="s">
        <v>863</v>
      </c>
      <c r="L151" s="1245"/>
      <c r="M151" s="1558">
        <f>Data!C31*Data!C30</f>
        <v>911381.02449937153</v>
      </c>
      <c r="N151" s="1345">
        <v>967061.51343438809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91059.686861470691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1071193.7372294138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3213581.211688241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7220632.9181314111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297.02970297029702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247.52475247524754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544.55445544554459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5311106.7239028858</v>
      </c>
      <c r="H178" s="1093"/>
      <c r="I178" s="950">
        <f t="shared" si="6"/>
        <v>26292.607544073693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5311106.7239028858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5311106.7239028858</v>
      </c>
      <c r="H181" s="1128"/>
      <c r="I181" s="950">
        <f t="shared" si="6"/>
        <v>26292.607544073693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5311106.7239028858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64.356435643564353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59.405940594059409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123.76237623762377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71.78217821782178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461.63366336633663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247.52475247524754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1391.0891089108911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787978.0433345465</v>
      </c>
      <c r="H233" s="1111"/>
      <c r="I233" s="950">
        <f t="shared" si="8"/>
        <v>3900.8814026462696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787978.0433345465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1226728.0433345465</v>
      </c>
      <c r="H234" s="1282"/>
      <c r="I234" s="950">
        <f t="shared" si="8"/>
        <v>6072.9111056165666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1226728.0433345465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12376.237623762376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102.72277227722772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12478.960396039603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3.3003300330033003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9.9009900990099009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13.201320132013201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123534639.33216088</v>
      </c>
      <c r="H250" s="1298"/>
      <c r="I250" s="1299">
        <f>G250/F9</f>
        <v>611557.620456242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627.5253445705622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202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196860</v>
      </c>
      <c r="D5" t="s">
        <v>428</v>
      </c>
      <c r="G5" s="510"/>
    </row>
    <row r="6" spans="1:15">
      <c r="B6" s="1350" t="s">
        <v>12</v>
      </c>
      <c r="C6" s="700">
        <f>'Construction Calculation'!C14</f>
        <v>196860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32810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101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80229254.645904571</v>
      </c>
      <c r="D20" s="1375">
        <f>MIN(D22,GapCalc!D24)</f>
        <v>80297515.565904573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80297515.565904573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-4908090.7239029482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5008106.7239028858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96382850.399999991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91138102.44993715</v>
      </c>
      <c r="D30" s="1376">
        <f>-PV($C$24/12,$C$29*12,C27/12)</f>
        <v>92995294.781415597</v>
      </c>
      <c r="E30" s="1384"/>
      <c r="F30" t="s">
        <v>438</v>
      </c>
      <c r="G30" s="1381"/>
      <c r="H30" s="1376">
        <f>PV(G23,G29,-'Cash Flow'!E41*H28,)</f>
        <v>8073757.5849678442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5008106.7239028858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107119373.72294137</v>
      </c>
      <c r="D38" s="516" t="s">
        <v>1039</v>
      </c>
      <c r="E38" s="1391">
        <f>C37*GapCalc!D24</f>
        <v>98827711.4657287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82367145.622461453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8449056</v>
      </c>
      <c r="F12" s="89">
        <f>E12*(1+$D$12)</f>
        <v>8660282.3999999985</v>
      </c>
      <c r="G12" s="89">
        <f t="shared" ref="G12:AH12" si="0">F12*(1+$D$12)</f>
        <v>8876789.4599999972</v>
      </c>
      <c r="H12" s="89">
        <f t="shared" si="0"/>
        <v>9098709.1964999959</v>
      </c>
      <c r="I12" s="89">
        <f t="shared" si="0"/>
        <v>9326176.9264124949</v>
      </c>
      <c r="J12" s="89">
        <f t="shared" si="0"/>
        <v>9559331.3495728057</v>
      </c>
      <c r="K12" s="89">
        <f t="shared" si="0"/>
        <v>9798314.6333121248</v>
      </c>
      <c r="L12" s="89">
        <f t="shared" si="0"/>
        <v>10043272.499144927</v>
      </c>
      <c r="M12" s="89">
        <f t="shared" si="0"/>
        <v>10294354.311623549</v>
      </c>
      <c r="N12" s="89">
        <f t="shared" si="0"/>
        <v>10551713.169414137</v>
      </c>
      <c r="O12" s="89">
        <f t="shared" si="0"/>
        <v>10815505.998649489</v>
      </c>
      <c r="P12" s="89">
        <f t="shared" si="0"/>
        <v>11085893.648615725</v>
      </c>
      <c r="Q12" s="89">
        <f t="shared" si="0"/>
        <v>11363040.989831118</v>
      </c>
      <c r="R12" s="89">
        <f t="shared" si="0"/>
        <v>11647117.014576895</v>
      </c>
      <c r="S12" s="90">
        <f t="shared" si="0"/>
        <v>11938294.939941317</v>
      </c>
      <c r="T12" s="89">
        <f t="shared" si="0"/>
        <v>12236752.313439848</v>
      </c>
      <c r="U12" s="89">
        <f t="shared" si="0"/>
        <v>12542671.121275842</v>
      </c>
      <c r="V12" s="89">
        <f t="shared" si="0"/>
        <v>12856237.899307737</v>
      </c>
      <c r="W12" s="89">
        <f t="shared" si="0"/>
        <v>13177643.846790429</v>
      </c>
      <c r="X12" s="89">
        <f t="shared" si="0"/>
        <v>13507084.94296019</v>
      </c>
      <c r="Y12" s="89">
        <f t="shared" si="0"/>
        <v>13844762.066534193</v>
      </c>
      <c r="Z12" s="89">
        <f t="shared" si="0"/>
        <v>14190881.118197547</v>
      </c>
      <c r="AA12" s="89">
        <f t="shared" si="0"/>
        <v>14545653.146152485</v>
      </c>
      <c r="AB12" s="89">
        <f t="shared" si="0"/>
        <v>14909294.474806296</v>
      </c>
      <c r="AC12" s="89">
        <f t="shared" si="0"/>
        <v>15282026.836676452</v>
      </c>
      <c r="AD12" s="89">
        <f t="shared" si="0"/>
        <v>15664077.507593362</v>
      </c>
      <c r="AE12" s="89">
        <f t="shared" si="0"/>
        <v>16055679.445283195</v>
      </c>
      <c r="AF12" s="89">
        <f t="shared" si="0"/>
        <v>16457071.431415273</v>
      </c>
      <c r="AG12" s="89">
        <f t="shared" si="0"/>
        <v>16868498.217200652</v>
      </c>
      <c r="AH12" s="89">
        <f t="shared" si="0"/>
        <v>17290210.672630668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-422731.80000000005</v>
      </c>
      <c r="F14" s="100">
        <f t="shared" ref="F14:AH14" si="2">-((F12+F13)*$C$14)</f>
        <v>-433300.09499999997</v>
      </c>
      <c r="G14" s="100">
        <f t="shared" si="2"/>
        <v>-444132.5973749999</v>
      </c>
      <c r="H14" s="100">
        <f t="shared" si="2"/>
        <v>-455235.91230937478</v>
      </c>
      <c r="I14" s="100">
        <f t="shared" si="2"/>
        <v>-466616.81011710915</v>
      </c>
      <c r="J14" s="100">
        <f t="shared" si="2"/>
        <v>-478282.23037003679</v>
      </c>
      <c r="K14" s="100">
        <f t="shared" si="2"/>
        <v>-490239.28612928768</v>
      </c>
      <c r="L14" s="100">
        <f t="shared" si="2"/>
        <v>-502495.26828251977</v>
      </c>
      <c r="M14" s="100">
        <f t="shared" si="2"/>
        <v>-515057.64998958271</v>
      </c>
      <c r="N14" s="100">
        <f t="shared" si="2"/>
        <v>-527934.09123932233</v>
      </c>
      <c r="O14" s="100">
        <f t="shared" si="2"/>
        <v>-541132.44352030521</v>
      </c>
      <c r="P14" s="100">
        <f t="shared" si="2"/>
        <v>-554660.75460831285</v>
      </c>
      <c r="Q14" s="100">
        <f t="shared" si="2"/>
        <v>-568527.27347352065</v>
      </c>
      <c r="R14" s="100">
        <f t="shared" si="2"/>
        <v>-582740.45531035855</v>
      </c>
      <c r="S14" s="101">
        <f t="shared" si="2"/>
        <v>-597308.96669311763</v>
      </c>
      <c r="T14" s="100">
        <f t="shared" si="2"/>
        <v>-612241.69086044538</v>
      </c>
      <c r="U14" s="100">
        <f t="shared" si="2"/>
        <v>-627547.73313195643</v>
      </c>
      <c r="V14" s="100">
        <f t="shared" si="2"/>
        <v>-643236.42646025529</v>
      </c>
      <c r="W14" s="100">
        <f t="shared" si="2"/>
        <v>-659317.33712176164</v>
      </c>
      <c r="X14" s="100">
        <f t="shared" si="2"/>
        <v>-675800.2705498056</v>
      </c>
      <c r="Y14" s="100">
        <f t="shared" si="2"/>
        <v>-692695.2773135507</v>
      </c>
      <c r="Z14" s="100">
        <f t="shared" si="2"/>
        <v>-710012.6592463894</v>
      </c>
      <c r="AA14" s="100">
        <f t="shared" si="2"/>
        <v>-727762.97572754917</v>
      </c>
      <c r="AB14" s="100">
        <f t="shared" si="2"/>
        <v>-745957.05012073787</v>
      </c>
      <c r="AC14" s="100">
        <f t="shared" si="2"/>
        <v>-764605.97637375619</v>
      </c>
      <c r="AD14" s="100">
        <f t="shared" si="2"/>
        <v>-783721.12578310003</v>
      </c>
      <c r="AE14" s="100">
        <f t="shared" si="2"/>
        <v>-803314.15392767743</v>
      </c>
      <c r="AF14" s="100">
        <f t="shared" si="2"/>
        <v>-823397.00777586922</v>
      </c>
      <c r="AG14" s="100">
        <f t="shared" si="2"/>
        <v>-843981.93297026586</v>
      </c>
      <c r="AH14" s="100">
        <f t="shared" si="2"/>
        <v>-865081.48129452253</v>
      </c>
    </row>
    <row r="15" spans="1:34">
      <c r="A15" s="76"/>
      <c r="B15" s="102" t="s">
        <v>312</v>
      </c>
      <c r="C15" s="76"/>
      <c r="D15" s="76"/>
      <c r="E15" s="95">
        <f>SUM(E12:E14)</f>
        <v>8031904.2000000002</v>
      </c>
      <c r="F15" s="95">
        <f t="shared" ref="F15:AH15" si="3">SUM(F12:F14)</f>
        <v>8232701.8049999988</v>
      </c>
      <c r="G15" s="103">
        <f t="shared" si="3"/>
        <v>8438519.350124998</v>
      </c>
      <c r="H15" s="104">
        <f t="shared" si="3"/>
        <v>8649482.3338781204</v>
      </c>
      <c r="I15" s="104">
        <f t="shared" si="3"/>
        <v>8865719.3922250737</v>
      </c>
      <c r="J15" s="95">
        <f t="shared" si="3"/>
        <v>9087362.3770306986</v>
      </c>
      <c r="K15" s="103">
        <f t="shared" si="3"/>
        <v>9314546.4364564642</v>
      </c>
      <c r="L15" s="95">
        <f t="shared" si="3"/>
        <v>9547410.0973678753</v>
      </c>
      <c r="M15" s="95">
        <f t="shared" si="3"/>
        <v>9786095.3498020712</v>
      </c>
      <c r="N15" s="95">
        <f t="shared" si="3"/>
        <v>10030747.733547123</v>
      </c>
      <c r="O15" s="95">
        <f t="shared" si="3"/>
        <v>10281516.426885799</v>
      </c>
      <c r="P15" s="95">
        <f t="shared" si="3"/>
        <v>10538554.337557944</v>
      </c>
      <c r="Q15" s="95">
        <f t="shared" si="3"/>
        <v>10802018.195996892</v>
      </c>
      <c r="R15" s="95">
        <f t="shared" si="3"/>
        <v>11072068.650896814</v>
      </c>
      <c r="S15" s="96">
        <f t="shared" si="3"/>
        <v>11348870.367169233</v>
      </c>
      <c r="T15" s="95">
        <f t="shared" si="3"/>
        <v>11632592.126348462</v>
      </c>
      <c r="U15" s="95">
        <f t="shared" si="3"/>
        <v>11923406.929507172</v>
      </c>
      <c r="V15" s="95">
        <f t="shared" si="3"/>
        <v>12221492.102744849</v>
      </c>
      <c r="W15" s="95">
        <f t="shared" si="3"/>
        <v>12527029.405313469</v>
      </c>
      <c r="X15" s="95">
        <f t="shared" si="3"/>
        <v>12840205.140446305</v>
      </c>
      <c r="Y15" s="95">
        <f t="shared" si="3"/>
        <v>13161210.268957462</v>
      </c>
      <c r="Z15" s="95">
        <f t="shared" si="3"/>
        <v>13490240.525681399</v>
      </c>
      <c r="AA15" s="95">
        <f t="shared" si="3"/>
        <v>13827496.538823433</v>
      </c>
      <c r="AB15" s="95">
        <f t="shared" si="3"/>
        <v>14173183.952294018</v>
      </c>
      <c r="AC15" s="95">
        <f t="shared" si="3"/>
        <v>14527513.551101366</v>
      </c>
      <c r="AD15" s="95">
        <f t="shared" si="3"/>
        <v>14890701.389878899</v>
      </c>
      <c r="AE15" s="95">
        <f t="shared" si="3"/>
        <v>15262968.92462587</v>
      </c>
      <c r="AF15" s="95">
        <f t="shared" si="3"/>
        <v>15644543.147741515</v>
      </c>
      <c r="AG15" s="95">
        <f t="shared" si="3"/>
        <v>16035656.72643505</v>
      </c>
      <c r="AH15" s="95">
        <f t="shared" si="3"/>
        <v>16436548.144595927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-749576.13131653797</v>
      </c>
      <c r="F19" s="89">
        <f>E19*(1+$D$19)</f>
        <v>-758945.83295799466</v>
      </c>
      <c r="G19" s="89">
        <f t="shared" ref="G19:AH19" si="6">F19*(1+$D$19)</f>
        <v>-768432.65586996952</v>
      </c>
      <c r="H19" s="89">
        <f t="shared" si="6"/>
        <v>-778038.06406834407</v>
      </c>
      <c r="I19" s="89">
        <f t="shared" si="6"/>
        <v>-787763.53986919834</v>
      </c>
      <c r="J19" s="89">
        <f t="shared" si="6"/>
        <v>-797610.58411756332</v>
      </c>
      <c r="K19" s="89">
        <f t="shared" si="6"/>
        <v>-807580.71641903277</v>
      </c>
      <c r="L19" s="89">
        <f t="shared" si="6"/>
        <v>-817675.4753742707</v>
      </c>
      <c r="M19" s="89">
        <f t="shared" si="6"/>
        <v>-827896.418816449</v>
      </c>
      <c r="N19" s="89">
        <f t="shared" si="6"/>
        <v>-838245.12405165459</v>
      </c>
      <c r="O19" s="89">
        <f t="shared" si="6"/>
        <v>-848723.18810230028</v>
      </c>
      <c r="P19" s="89">
        <f t="shared" si="6"/>
        <v>-859332.22795357904</v>
      </c>
      <c r="Q19" s="89">
        <f t="shared" si="6"/>
        <v>-870073.88080299878</v>
      </c>
      <c r="R19" s="89">
        <f t="shared" si="6"/>
        <v>-880949.80431303626</v>
      </c>
      <c r="S19" s="90">
        <f t="shared" si="6"/>
        <v>-891961.67686694919</v>
      </c>
      <c r="T19" s="89">
        <f t="shared" si="6"/>
        <v>-903111.19782778597</v>
      </c>
      <c r="U19" s="89">
        <f t="shared" si="6"/>
        <v>-914400.08780063328</v>
      </c>
      <c r="V19" s="89">
        <f t="shared" si="6"/>
        <v>-925830.08889814117</v>
      </c>
      <c r="W19" s="89">
        <f t="shared" si="6"/>
        <v>-937402.96500936791</v>
      </c>
      <c r="X19" s="89">
        <f t="shared" si="6"/>
        <v>-949120.50207198493</v>
      </c>
      <c r="Y19" s="89">
        <f t="shared" si="6"/>
        <v>-960984.50834788475</v>
      </c>
      <c r="Z19" s="89">
        <f t="shared" si="6"/>
        <v>-972996.8147022333</v>
      </c>
      <c r="AA19" s="89">
        <f t="shared" si="6"/>
        <v>-985159.27488601115</v>
      </c>
      <c r="AB19" s="89">
        <f t="shared" si="6"/>
        <v>-997473.76582208625</v>
      </c>
      <c r="AC19" s="89">
        <f t="shared" si="6"/>
        <v>-1009942.1878948623</v>
      </c>
      <c r="AD19" s="89">
        <f t="shared" si="6"/>
        <v>-1022566.465243548</v>
      </c>
      <c r="AE19" s="89">
        <f t="shared" si="6"/>
        <v>-1035348.5460590924</v>
      </c>
      <c r="AF19" s="89">
        <f t="shared" si="6"/>
        <v>-1048290.402884831</v>
      </c>
      <c r="AG19" s="89">
        <f t="shared" si="6"/>
        <v>-1061394.0329208912</v>
      </c>
      <c r="AH19" s="89">
        <f t="shared" si="6"/>
        <v>-1074661.4583324022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6009728.0686834622</v>
      </c>
      <c r="F21" s="95">
        <f t="shared" si="8"/>
        <v>6158735.9720420036</v>
      </c>
      <c r="G21" s="95">
        <f t="shared" si="8"/>
        <v>6311161.9942550287</v>
      </c>
      <c r="H21" s="95">
        <f t="shared" si="8"/>
        <v>6467078.2053097757</v>
      </c>
      <c r="I21" s="95">
        <f t="shared" si="8"/>
        <v>6626557.9755983753</v>
      </c>
      <c r="J21" s="95">
        <f t="shared" si="8"/>
        <v>6789675.9904691232</v>
      </c>
      <c r="K21" s="95">
        <f t="shared" si="8"/>
        <v>6956508.2645078795</v>
      </c>
      <c r="L21" s="95">
        <f t="shared" si="8"/>
        <v>7127132.1555205174</v>
      </c>
      <c r="M21" s="95">
        <f t="shared" si="8"/>
        <v>7301626.3781859772</v>
      </c>
      <c r="N21" s="95">
        <f t="shared" si="8"/>
        <v>7480071.0173478369</v>
      </c>
      <c r="O21" s="95">
        <f t="shared" si="8"/>
        <v>7662547.5409106994</v>
      </c>
      <c r="P21" s="95">
        <f t="shared" si="8"/>
        <v>7849138.8123060167</v>
      </c>
      <c r="Q21" s="95">
        <f t="shared" si="8"/>
        <v>8039929.1024901047</v>
      </c>
      <c r="R21" s="95">
        <f t="shared" si="8"/>
        <v>8235004.1014353568</v>
      </c>
      <c r="S21" s="96">
        <f t="shared" si="8"/>
        <v>8434450.929073669</v>
      </c>
      <c r="T21" s="95">
        <f t="shared" si="8"/>
        <v>8638358.1456490587</v>
      </c>
      <c r="U21" s="95">
        <f t="shared" si="8"/>
        <v>8846815.7614344154</v>
      </c>
      <c r="V21" s="95">
        <f t="shared" si="8"/>
        <v>9059915.2457650602</v>
      </c>
      <c r="W21" s="95">
        <f t="shared" si="8"/>
        <v>9277749.5353395976</v>
      </c>
      <c r="X21" s="95">
        <f t="shared" si="8"/>
        <v>9500413.0417360589</v>
      </c>
      <c r="Y21" s="95">
        <f t="shared" si="8"/>
        <v>9728001.6580889747</v>
      </c>
      <c r="Z21" s="95">
        <f t="shared" si="8"/>
        <v>9960612.7648703437</v>
      </c>
      <c r="AA21" s="95">
        <f t="shared" si="8"/>
        <v>10198345.234714791</v>
      </c>
      <c r="AB21" s="95">
        <f t="shared" si="8"/>
        <v>10441299.43622651</v>
      </c>
      <c r="AC21" s="95">
        <f t="shared" si="8"/>
        <v>10689577.236702491</v>
      </c>
      <c r="AD21" s="95">
        <f t="shared" si="8"/>
        <v>10943282.003703699</v>
      </c>
      <c r="AE21" s="95">
        <f t="shared" si="8"/>
        <v>11202518.605402516</v>
      </c>
      <c r="AF21" s="95">
        <f t="shared" si="8"/>
        <v>11467393.409631675</v>
      </c>
      <c r="AG21" s="95">
        <f t="shared" si="8"/>
        <v>11738014.281556275</v>
      </c>
      <c r="AH21" s="95">
        <f t="shared" si="8"/>
        <v>12014490.579887113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-5008106.7239028858</v>
      </c>
      <c r="F22" s="95">
        <f t="shared" ref="F22:AH22" si="9">$E$22</f>
        <v>-5008106.7239028858</v>
      </c>
      <c r="G22" s="95">
        <f t="shared" si="9"/>
        <v>-5008106.7239028858</v>
      </c>
      <c r="H22" s="95">
        <f t="shared" si="9"/>
        <v>-5008106.7239028858</v>
      </c>
      <c r="I22" s="95">
        <f t="shared" si="9"/>
        <v>-5008106.7239028858</v>
      </c>
      <c r="J22" s="95">
        <f t="shared" si="9"/>
        <v>-5008106.7239028858</v>
      </c>
      <c r="K22" s="95">
        <f t="shared" si="9"/>
        <v>-5008106.7239028858</v>
      </c>
      <c r="L22" s="95">
        <f t="shared" si="9"/>
        <v>-5008106.7239028858</v>
      </c>
      <c r="M22" s="95">
        <f t="shared" si="9"/>
        <v>-5008106.7239028858</v>
      </c>
      <c r="N22" s="95">
        <f t="shared" si="9"/>
        <v>-5008106.7239028858</v>
      </c>
      <c r="O22" s="95">
        <f t="shared" si="9"/>
        <v>-5008106.7239028858</v>
      </c>
      <c r="P22" s="95">
        <f t="shared" si="9"/>
        <v>-5008106.7239028858</v>
      </c>
      <c r="Q22" s="95">
        <f t="shared" si="9"/>
        <v>-5008106.7239028858</v>
      </c>
      <c r="R22" s="95">
        <f t="shared" si="9"/>
        <v>-5008106.7239028858</v>
      </c>
      <c r="S22" s="96">
        <f t="shared" si="9"/>
        <v>-5008106.7239028858</v>
      </c>
      <c r="T22" s="95">
        <f t="shared" si="9"/>
        <v>-5008106.7239028858</v>
      </c>
      <c r="U22" s="95">
        <f t="shared" si="9"/>
        <v>-5008106.7239028858</v>
      </c>
      <c r="V22" s="95">
        <f t="shared" si="9"/>
        <v>-5008106.7239028858</v>
      </c>
      <c r="W22" s="95">
        <f t="shared" si="9"/>
        <v>-5008106.7239028858</v>
      </c>
      <c r="X22" s="95">
        <f t="shared" si="9"/>
        <v>-5008106.7239028858</v>
      </c>
      <c r="Y22" s="95">
        <f t="shared" si="9"/>
        <v>-5008106.7239028858</v>
      </c>
      <c r="Z22" s="95">
        <f t="shared" si="9"/>
        <v>-5008106.7239028858</v>
      </c>
      <c r="AA22" s="95">
        <f t="shared" si="9"/>
        <v>-5008106.7239028858</v>
      </c>
      <c r="AB22" s="95">
        <f t="shared" si="9"/>
        <v>-5008106.7239028858</v>
      </c>
      <c r="AC22" s="95">
        <f t="shared" si="9"/>
        <v>-5008106.7239028858</v>
      </c>
      <c r="AD22" s="95">
        <f t="shared" si="9"/>
        <v>-5008106.7239028858</v>
      </c>
      <c r="AE22" s="95">
        <f t="shared" si="9"/>
        <v>-5008106.7239028858</v>
      </c>
      <c r="AF22" s="95">
        <f t="shared" si="9"/>
        <v>-5008106.7239028858</v>
      </c>
      <c r="AG22" s="95">
        <f t="shared" si="9"/>
        <v>-5008106.7239028858</v>
      </c>
      <c r="AH22" s="95">
        <f t="shared" si="9"/>
        <v>-5008106.7239028858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1001621.3447805764</v>
      </c>
      <c r="F25" s="119">
        <f t="shared" ref="F25:AH25" si="11">+F21+F22+F23</f>
        <v>1150629.2481391178</v>
      </c>
      <c r="G25" s="119">
        <f t="shared" si="11"/>
        <v>1303055.2703521429</v>
      </c>
      <c r="H25" s="119">
        <f t="shared" si="11"/>
        <v>1458971.4814068899</v>
      </c>
      <c r="I25" s="119">
        <f t="shared" si="11"/>
        <v>1618451.2516954895</v>
      </c>
      <c r="J25" s="119">
        <f t="shared" si="11"/>
        <v>1781569.2665662374</v>
      </c>
      <c r="K25" s="119">
        <f t="shared" si="11"/>
        <v>1948401.5406049937</v>
      </c>
      <c r="L25" s="119">
        <f t="shared" si="11"/>
        <v>2119025.4316176316</v>
      </c>
      <c r="M25" s="119">
        <f t="shared" si="11"/>
        <v>2293519.6542830914</v>
      </c>
      <c r="N25" s="119">
        <f t="shared" si="11"/>
        <v>2471964.2934449511</v>
      </c>
      <c r="O25" s="119">
        <f t="shared" si="11"/>
        <v>2654440.8170078136</v>
      </c>
      <c r="P25" s="119">
        <f t="shared" si="11"/>
        <v>2841032.0884031309</v>
      </c>
      <c r="Q25" s="119">
        <f t="shared" si="11"/>
        <v>3031822.3785872189</v>
      </c>
      <c r="R25" s="119">
        <f t="shared" si="11"/>
        <v>3226897.377532471</v>
      </c>
      <c r="S25" s="160">
        <f t="shared" si="11"/>
        <v>3426344.2051707832</v>
      </c>
      <c r="T25" s="119">
        <f t="shared" si="11"/>
        <v>3630251.4217461729</v>
      </c>
      <c r="U25" s="119">
        <f t="shared" si="11"/>
        <v>3838709.0375315296</v>
      </c>
      <c r="V25" s="119">
        <f t="shared" si="11"/>
        <v>4051808.5218621744</v>
      </c>
      <c r="W25" s="119">
        <f t="shared" si="11"/>
        <v>4269642.8114367118</v>
      </c>
      <c r="X25" s="119">
        <f t="shared" si="11"/>
        <v>4492306.3178331731</v>
      </c>
      <c r="Y25" s="119">
        <f t="shared" si="11"/>
        <v>4719894.9341860889</v>
      </c>
      <c r="Z25" s="119">
        <f t="shared" si="11"/>
        <v>4952506.0409674579</v>
      </c>
      <c r="AA25" s="119">
        <f t="shared" si="11"/>
        <v>5190238.5108119054</v>
      </c>
      <c r="AB25" s="119">
        <f t="shared" si="11"/>
        <v>5433192.7123236237</v>
      </c>
      <c r="AC25" s="119">
        <f t="shared" si="11"/>
        <v>5681470.5127996048</v>
      </c>
      <c r="AD25" s="119">
        <f t="shared" si="11"/>
        <v>5935175.2798008127</v>
      </c>
      <c r="AE25" s="119">
        <f t="shared" si="11"/>
        <v>6194411.8814996304</v>
      </c>
      <c r="AF25" s="119">
        <f t="shared" si="11"/>
        <v>6459286.6857287893</v>
      </c>
      <c r="AG25" s="119">
        <f t="shared" si="11"/>
        <v>6729907.5576533889</v>
      </c>
      <c r="AH25" s="119">
        <f t="shared" si="11"/>
        <v>7006383.8559842268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1.229753340248791</v>
      </c>
      <c r="G27" s="122">
        <f t="shared" si="12"/>
        <v>1.2601891976728192</v>
      </c>
      <c r="H27" s="122">
        <f t="shared" si="12"/>
        <v>1.2913219629373021</v>
      </c>
      <c r="I27" s="122">
        <f t="shared" si="12"/>
        <v>1.3231662863674376</v>
      </c>
      <c r="J27" s="122">
        <f t="shared" si="12"/>
        <v>1.3557370808539473</v>
      </c>
      <c r="K27" s="122">
        <f t="shared" si="12"/>
        <v>1.3890495247047328</v>
      </c>
      <c r="L27" s="122">
        <f t="shared" si="12"/>
        <v>1.423119064436839</v>
      </c>
      <c r="M27" s="122">
        <f t="shared" si="12"/>
        <v>1.4579614175026447</v>
      </c>
      <c r="N27" s="122">
        <f t="shared" si="12"/>
        <v>1.4935925749438734</v>
      </c>
      <c r="O27" s="122">
        <f t="shared" si="12"/>
        <v>1.5300288039666958</v>
      </c>
      <c r="P27" s="122">
        <f t="shared" si="12"/>
        <v>1.5672866504308589</v>
      </c>
      <c r="Q27" s="122">
        <f t="shared" si="12"/>
        <v>1.605382941245405</v>
      </c>
      <c r="R27" s="122">
        <f t="shared" si="12"/>
        <v>1.6443347866631934</v>
      </c>
      <c r="S27" s="161">
        <f t="shared" si="12"/>
        <v>1.6841595824660436</v>
      </c>
      <c r="T27" s="122">
        <f t="shared" si="12"/>
        <v>1.7248750120319059</v>
      </c>
      <c r="U27" s="122">
        <f t="shared" si="12"/>
        <v>1.7664990482750678</v>
      </c>
      <c r="V27" s="122">
        <f t="shared" si="12"/>
        <v>1.80904995544994</v>
      </c>
      <c r="W27" s="122">
        <f t="shared" si="12"/>
        <v>1.8525462908085395</v>
      </c>
      <c r="X27" s="122">
        <f t="shared" si="12"/>
        <v>1.8970069061012855</v>
      </c>
      <c r="Y27" s="122">
        <f t="shared" si="12"/>
        <v>1.9424509489102522</v>
      </c>
      <c r="Z27" s="122">
        <f t="shared" si="12"/>
        <v>1.98889786380349</v>
      </c>
      <c r="AA27" s="122">
        <f t="shared" si="12"/>
        <v>2.0363673932984963</v>
      </c>
      <c r="AB27" s="122">
        <f t="shared" si="12"/>
        <v>2.0848795786223708</v>
      </c>
      <c r="AC27" s="122">
        <f t="shared" si="12"/>
        <v>2.1344547602555797</v>
      </c>
      <c r="AD27" s="122">
        <f t="shared" si="12"/>
        <v>2.1851135782456828</v>
      </c>
      <c r="AE27" s="122">
        <f t="shared" si="12"/>
        <v>2.236876972276709</v>
      </c>
      <c r="AF27" s="122">
        <f t="shared" si="12"/>
        <v>2.2897661814792514</v>
      </c>
      <c r="AG27" s="122">
        <f t="shared" si="12"/>
        <v>2.3438027439656239</v>
      </c>
      <c r="AH27" s="122">
        <f t="shared" si="12"/>
        <v>2.399008496073753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1001621.3447805764</v>
      </c>
      <c r="F41" s="129">
        <f t="shared" ref="F41:S41" si="20">F25+F37</f>
        <v>1150629.2481391178</v>
      </c>
      <c r="G41" s="129">
        <f t="shared" si="20"/>
        <v>1303055.2703521429</v>
      </c>
      <c r="H41" s="129">
        <f t="shared" si="20"/>
        <v>1458971.4814068899</v>
      </c>
      <c r="I41" s="129">
        <f t="shared" si="20"/>
        <v>1618451.2516954895</v>
      </c>
      <c r="J41" s="129">
        <f t="shared" si="20"/>
        <v>1781569.2665662374</v>
      </c>
      <c r="K41" s="129">
        <f t="shared" si="20"/>
        <v>1948401.5406049937</v>
      </c>
      <c r="L41" s="129">
        <f t="shared" si="20"/>
        <v>2119025.4316176316</v>
      </c>
      <c r="M41" s="129">
        <f t="shared" si="20"/>
        <v>2293519.6542830914</v>
      </c>
      <c r="N41" s="129">
        <f t="shared" si="20"/>
        <v>2471964.2934449511</v>
      </c>
      <c r="O41" s="129">
        <f t="shared" si="20"/>
        <v>2654440.8170078136</v>
      </c>
      <c r="P41" s="129">
        <f t="shared" si="20"/>
        <v>2841032.0884031309</v>
      </c>
      <c r="Q41" s="129">
        <f t="shared" si="20"/>
        <v>3031822.3785872189</v>
      </c>
      <c r="R41" s="129">
        <f t="shared" si="20"/>
        <v>3226897.377532471</v>
      </c>
      <c r="S41" s="130">
        <f t="shared" si="20"/>
        <v>3426344.2051707832</v>
      </c>
      <c r="T41" s="130">
        <f t="shared" ref="T41:AH41" si="21">T25+T37</f>
        <v>3630251.4217461729</v>
      </c>
      <c r="U41" s="130">
        <f t="shared" si="21"/>
        <v>3838709.0375315296</v>
      </c>
      <c r="V41" s="130">
        <f t="shared" si="21"/>
        <v>4051808.5218621744</v>
      </c>
      <c r="W41" s="130">
        <f t="shared" si="21"/>
        <v>4269642.8114367118</v>
      </c>
      <c r="X41" s="130">
        <f t="shared" si="21"/>
        <v>4492306.3178331731</v>
      </c>
      <c r="Y41" s="130">
        <f t="shared" si="21"/>
        <v>4719894.9341860889</v>
      </c>
      <c r="Z41" s="130">
        <f t="shared" si="21"/>
        <v>4952506.0409674579</v>
      </c>
      <c r="AA41" s="130">
        <f t="shared" si="21"/>
        <v>5190238.5108119054</v>
      </c>
      <c r="AB41" s="130">
        <f t="shared" si="21"/>
        <v>5433192.7123236237</v>
      </c>
      <c r="AC41" s="130">
        <f t="shared" si="21"/>
        <v>5681470.5127996048</v>
      </c>
      <c r="AD41" s="130">
        <f t="shared" si="21"/>
        <v>5935175.2798008127</v>
      </c>
      <c r="AE41" s="130">
        <f t="shared" si="21"/>
        <v>6194411.8814996304</v>
      </c>
      <c r="AF41" s="130">
        <f t="shared" si="21"/>
        <v>6459286.6857287893</v>
      </c>
      <c r="AG41" s="130">
        <f t="shared" si="21"/>
        <v>6729907.5576533889</v>
      </c>
      <c r="AH41" s="130">
        <f t="shared" si="21"/>
        <v>7006383.8559842268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851378.14306349005</v>
      </c>
      <c r="F42" s="129">
        <f t="shared" ref="F42:S42" si="22">((F41*$C$42))</f>
        <v>978034.86091825028</v>
      </c>
      <c r="G42" s="129">
        <f t="shared" si="22"/>
        <v>1107596.9797993216</v>
      </c>
      <c r="H42" s="129">
        <f t="shared" si="22"/>
        <v>1240125.7591958565</v>
      </c>
      <c r="I42" s="129">
        <f t="shared" si="22"/>
        <v>1375683.5639411663</v>
      </c>
      <c r="J42" s="129">
        <f t="shared" si="22"/>
        <v>1514333.8765813019</v>
      </c>
      <c r="K42" s="129">
        <f t="shared" si="22"/>
        <v>1656141.3095142448</v>
      </c>
      <c r="L42" s="129">
        <f t="shared" si="22"/>
        <v>1801171.616874987</v>
      </c>
      <c r="M42" s="129">
        <f t="shared" si="22"/>
        <v>1949491.7061406279</v>
      </c>
      <c r="N42" s="129">
        <f t="shared" si="22"/>
        <v>2101169.6494282088</v>
      </c>
      <c r="O42" s="129">
        <f t="shared" si="22"/>
        <v>2256274.694456642</v>
      </c>
      <c r="P42" s="129">
        <f t="shared" si="22"/>
        <v>2414877.2751426613</v>
      </c>
      <c r="Q42" s="129">
        <f t="shared" si="22"/>
        <v>2577049.0217991364</v>
      </c>
      <c r="R42" s="129">
        <f t="shared" si="22"/>
        <v>2742862.7709026006</v>
      </c>
      <c r="S42" s="129">
        <f t="shared" si="22"/>
        <v>2912392.5743951662</v>
      </c>
      <c r="T42" s="129">
        <f t="shared" ref="T42:AH42" si="23">((T41*$C$42))</f>
        <v>3085713.7084842473</v>
      </c>
      <c r="U42" s="129">
        <f t="shared" si="23"/>
        <v>3262902.6819018004</v>
      </c>
      <c r="V42" s="129">
        <f t="shared" si="23"/>
        <v>3444037.2435828485</v>
      </c>
      <c r="W42" s="129">
        <f t="shared" si="23"/>
        <v>3629196.3897212055</v>
      </c>
      <c r="X42" s="129">
        <f t="shared" si="23"/>
        <v>3818460.3701581974</v>
      </c>
      <c r="Y42" s="129">
        <f t="shared" si="23"/>
        <v>4011910.6940581761</v>
      </c>
      <c r="Z42" s="129">
        <f t="shared" si="23"/>
        <v>4209630.1348223398</v>
      </c>
      <c r="AA42" s="129">
        <f t="shared" si="23"/>
        <v>4411702.7341901204</v>
      </c>
      <c r="AB42" s="129">
        <f t="shared" si="23"/>
        <v>4618213.8054750804</v>
      </c>
      <c r="AC42" s="129">
        <f t="shared" si="23"/>
        <v>4829249.9358796645</v>
      </c>
      <c r="AD42" s="129">
        <f t="shared" si="23"/>
        <v>5044898.987830691</v>
      </c>
      <c r="AE42" s="129">
        <f t="shared" si="23"/>
        <v>5265250.0992746865</v>
      </c>
      <c r="AF42" s="129">
        <f t="shared" si="23"/>
        <v>5490393.6828694716</v>
      </c>
      <c r="AG42" s="129">
        <f t="shared" si="23"/>
        <v>5720421.4240053808</v>
      </c>
      <c r="AH42" s="129">
        <f t="shared" si="23"/>
        <v>5955426.2775865933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150243.20171708649</v>
      </c>
      <c r="F43" s="108">
        <f t="shared" ref="F43:S43" si="24">$C$43*(F41)</f>
        <v>172594.38722086771</v>
      </c>
      <c r="G43" s="108">
        <f t="shared" si="24"/>
        <v>195458.29055282145</v>
      </c>
      <c r="H43" s="108">
        <f t="shared" si="24"/>
        <v>218845.72221103351</v>
      </c>
      <c r="I43" s="108">
        <f t="shared" si="24"/>
        <v>242767.68775432347</v>
      </c>
      <c r="J43" s="108">
        <f t="shared" si="24"/>
        <v>267235.38998493564</v>
      </c>
      <c r="K43" s="108">
        <f t="shared" si="24"/>
        <v>292260.23109074909</v>
      </c>
      <c r="L43" s="108">
        <f t="shared" si="24"/>
        <v>317853.81474264478</v>
      </c>
      <c r="M43" s="108">
        <f t="shared" si="24"/>
        <v>344027.94814246375</v>
      </c>
      <c r="N43" s="108">
        <f t="shared" si="24"/>
        <v>370794.64401674271</v>
      </c>
      <c r="O43" s="108">
        <f t="shared" si="24"/>
        <v>398166.1225511721</v>
      </c>
      <c r="P43" s="108">
        <f t="shared" si="24"/>
        <v>426154.8132604697</v>
      </c>
      <c r="Q43" s="108">
        <f t="shared" si="24"/>
        <v>454773.35678808292</v>
      </c>
      <c r="R43" s="108">
        <f t="shared" si="24"/>
        <v>484034.60662987072</v>
      </c>
      <c r="S43" s="108">
        <f t="shared" si="24"/>
        <v>513951.63077561755</v>
      </c>
      <c r="T43" s="108">
        <f t="shared" ref="T43:AH43" si="25">$C$43*(T41)</f>
        <v>544537.71326192596</v>
      </c>
      <c r="U43" s="108">
        <f t="shared" si="25"/>
        <v>575806.35562972957</v>
      </c>
      <c r="V43" s="108">
        <f t="shared" si="25"/>
        <v>607771.27827932627</v>
      </c>
      <c r="W43" s="108">
        <f t="shared" si="25"/>
        <v>640446.42171550682</v>
      </c>
      <c r="X43" s="108">
        <f t="shared" si="25"/>
        <v>673845.94767497608</v>
      </c>
      <c r="Y43" s="108">
        <f t="shared" si="25"/>
        <v>707984.24012791342</v>
      </c>
      <c r="Z43" s="108">
        <f t="shared" si="25"/>
        <v>742875.90614511876</v>
      </c>
      <c r="AA43" s="108">
        <f t="shared" si="25"/>
        <v>778535.77662178595</v>
      </c>
      <c r="AB43" s="108">
        <f t="shared" si="25"/>
        <v>814978.90684854367</v>
      </c>
      <c r="AC43" s="108">
        <f t="shared" si="25"/>
        <v>852220.57691994088</v>
      </c>
      <c r="AD43" s="108">
        <f t="shared" si="25"/>
        <v>890276.29197012202</v>
      </c>
      <c r="AE43" s="108">
        <f t="shared" si="25"/>
        <v>929161.78222494468</v>
      </c>
      <c r="AF43" s="108">
        <f t="shared" si="25"/>
        <v>968893.00285931851</v>
      </c>
      <c r="AG43" s="108">
        <f t="shared" si="25"/>
        <v>1009486.1336480085</v>
      </c>
      <c r="AH43" s="108">
        <f t="shared" si="25"/>
        <v>1050957.5783976342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>
        <f>E21/Data!$C$38</f>
        <v>5.610309190405937E-2</v>
      </c>
      <c r="F46" s="1529">
        <f>F21/Data!$C$38</f>
        <v>5.749413722275161E-2</v>
      </c>
      <c r="G46" s="1529">
        <f>G21/Data!$C$38</f>
        <v>5.8917091977950857E-2</v>
      </c>
      <c r="H46" s="1529">
        <f>H21/Data!$C$38</f>
        <v>6.0372628970334852E-2</v>
      </c>
      <c r="I46" s="1529">
        <f>I21/Data!$C$38</f>
        <v>6.1861433140354416E-2</v>
      </c>
      <c r="J46" s="1529">
        <f>J21/Data!$C$38</f>
        <v>6.3384201704075147E-2</v>
      </c>
      <c r="K46" s="1529">
        <f>K21/Data!$C$38</f>
        <v>6.4941644286499678E-2</v>
      </c>
      <c r="L46" s="1529">
        <f>L21/Data!$C$38</f>
        <v>6.653448305209915E-2</v>
      </c>
      <c r="M46" s="1529">
        <f>M21/Data!$C$38</f>
        <v>6.8163452832269628E-2</v>
      </c>
      <c r="N46" s="1529">
        <f>N21/Data!$C$38</f>
        <v>6.9829301249414014E-2</v>
      </c>
      <c r="O46" s="1529">
        <f>O21/Data!$C$38</f>
        <v>7.153278883733466E-2</v>
      </c>
      <c r="P46" s="1529">
        <f>P21/Data!$C$38</f>
        <v>7.3274689157606557E-2</v>
      </c>
      <c r="Q46" s="1529">
        <f>Q21/Data!$C$38</f>
        <v>7.5055788911583432E-2</v>
      </c>
      <c r="R46" s="1529">
        <f>R21/Data!$C$38</f>
        <v>7.6876888047672523E-2</v>
      </c>
      <c r="S46" s="1529">
        <f>S21/Data!$C$38</f>
        <v>7.8738799863495593E-2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2.7277037449903722E-2</v>
      </c>
      <c r="F47" s="142">
        <f>F41/GapCalc!$H$33</f>
        <v>3.1334952331033748E-2</v>
      </c>
      <c r="G47" s="142">
        <f>G41/GapCalc!$H$33</f>
        <v>3.5485952444909485E-2</v>
      </c>
      <c r="H47" s="142">
        <f>H41/GapCalc!$H$33</f>
        <v>3.9732000465101294E-2</v>
      </c>
      <c r="I47" s="142">
        <f>I41/GapCalc!$H$33</f>
        <v>4.4075094478954559E-2</v>
      </c>
      <c r="J47" s="142">
        <f>J41/GapCalc!$H$33</f>
        <v>4.8517268383862763E-2</v>
      </c>
      <c r="K47" s="142">
        <f>K41/GapCalc!$H$33</f>
        <v>5.3060592276191226E-2</v>
      </c>
      <c r="L47" s="142">
        <f>L41/GapCalc!$H$33</f>
        <v>5.7707172832059457E-2</v>
      </c>
      <c r="M47" s="142">
        <f>M41/GapCalc!$H$33</f>
        <v>6.2459153679153209E-2</v>
      </c>
      <c r="N47" s="142">
        <f>N41/GapCalc!$H$33</f>
        <v>6.7318715758692263E-2</v>
      </c>
      <c r="O47" s="142">
        <f>O41/GapCalc!$H$33</f>
        <v>7.2288077676636253E-2</v>
      </c>
      <c r="P47" s="142">
        <f>P41/GapCalc!$H$33</f>
        <v>7.7369496043164968E-2</v>
      </c>
      <c r="Q47" s="142">
        <f>Q41/GapCalc!$H$33</f>
        <v>8.256526579941896E-2</v>
      </c>
      <c r="R47" s="142">
        <f>R41/GapCalc!$H$33</f>
        <v>8.7877720530438339E-2</v>
      </c>
      <c r="S47" s="142">
        <f>S41/GapCalc!$H$33</f>
        <v>9.3309232763183883E-2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2.3185481832418166E-2</v>
      </c>
      <c r="F48" s="142">
        <f>F43/GapCalc!$H$32</f>
        <v>2.663470948137869E-2</v>
      </c>
      <c r="G48" s="142">
        <f>G43/GapCalc!$H$32</f>
        <v>3.0163059578173064E-2</v>
      </c>
      <c r="H48" s="142">
        <f>H43/GapCalc!$H$32</f>
        <v>3.3772200395336106E-2</v>
      </c>
      <c r="I48" s="142">
        <f>I43/GapCalc!$H$32</f>
        <v>3.7463830307111382E-2</v>
      </c>
      <c r="J48" s="142">
        <f>J43/GapCalc!$H$32</f>
        <v>4.1239678126283354E-2</v>
      </c>
      <c r="K48" s="142">
        <f>K43/GapCalc!$H$32</f>
        <v>4.5101503434762547E-2</v>
      </c>
      <c r="L48" s="142">
        <f>L43/GapCalc!$H$32</f>
        <v>4.9051096907250541E-2</v>
      </c>
      <c r="M48" s="142">
        <f>M43/GapCalc!$H$32</f>
        <v>5.3090280627280231E-2</v>
      </c>
      <c r="N48" s="142">
        <f>N43/GapCalc!$H$32</f>
        <v>5.7220908394888428E-2</v>
      </c>
      <c r="O48" s="142">
        <f>O43/GapCalc!$H$32</f>
        <v>6.1444866025140821E-2</v>
      </c>
      <c r="P48" s="142">
        <f>P43/GapCalc!$H$32</f>
        <v>6.5764071636690236E-2</v>
      </c>
      <c r="Q48" s="142">
        <f>Q43/GapCalc!$H$32</f>
        <v>7.0180475929506131E-2</v>
      </c>
      <c r="R48" s="142">
        <f>R43/GapCalc!$H$32</f>
        <v>7.4696062450872597E-2</v>
      </c>
      <c r="S48" s="142">
        <f>S43/GapCalc!$H$32</f>
        <v>7.9312847848706305E-2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36484520.292722762</v>
      </c>
      <c r="D66" s="1544"/>
      <c r="E66" s="1564" t="s">
        <v>285</v>
      </c>
      <c r="G66" s="1520" t="s">
        <v>1073</v>
      </c>
      <c r="H66" s="1565">
        <f>H70/1.63</f>
        <v>6438444.7575393124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8723294.4930136316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1539404.9105318175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9272520.6334276926</v>
      </c>
      <c r="D68" s="1545" t="s">
        <v>68</v>
      </c>
      <c r="G68" s="1521" t="s">
        <v>1079</v>
      </c>
      <c r="H68" s="1568">
        <f>IF(GapCalc!D41*C43&lt; 0,0,GapCalc!D41*C43)</f>
        <v>1636327.1706048872</v>
      </c>
      <c r="I68" s="1545" t="s">
        <v>68</v>
      </c>
    </row>
    <row r="69" spans="2:10">
      <c r="B69" s="1521" t="s">
        <v>1059</v>
      </c>
      <c r="C69" s="1568">
        <f>'Debt Calc'!E60</f>
        <v>41473952.950696781</v>
      </c>
      <c r="D69" s="1546">
        <v>0.9</v>
      </c>
      <c r="G69" s="1521" t="s">
        <v>1075</v>
      </c>
      <c r="H69" s="1568">
        <f>'Debt Calc'!E59*C43</f>
        <v>7318932.8736523734</v>
      </c>
      <c r="I69" s="1546">
        <v>0.9</v>
      </c>
    </row>
    <row r="70" spans="2:10">
      <c r="B70" s="1523" t="s">
        <v>1042</v>
      </c>
      <c r="C70" s="1577">
        <f>C67+C68+C69</f>
        <v>59469768.077138104</v>
      </c>
      <c r="D70" s="1545" t="s">
        <v>68</v>
      </c>
      <c r="G70" s="1523" t="s">
        <v>1042</v>
      </c>
      <c r="H70" s="1577">
        <f>H67+H68+H69</f>
        <v>10494664.954789078</v>
      </c>
      <c r="I70" s="1545" t="s">
        <v>68</v>
      </c>
    </row>
    <row r="71" spans="2:10">
      <c r="B71" s="1523" t="s">
        <v>1043</v>
      </c>
      <c r="C71" s="1571">
        <f>C70/C66</f>
        <v>1.6300000000000001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0.63</v>
      </c>
      <c r="D72" s="1548"/>
      <c r="G72" s="1521" t="s">
        <v>1044</v>
      </c>
      <c r="H72" s="1524">
        <f>(H70-H66)/H66</f>
        <v>0.62999999999999978</v>
      </c>
      <c r="I72" s="1548"/>
    </row>
    <row r="73" spans="2:10">
      <c r="B73" s="1523" t="s">
        <v>1045</v>
      </c>
      <c r="C73" s="1566">
        <f>C72/7</f>
        <v>0.09</v>
      </c>
      <c r="D73" s="1548"/>
      <c r="G73" s="1523" t="s">
        <v>1045</v>
      </c>
      <c r="H73" s="1566">
        <f>H72/7</f>
        <v>8.9999999999999969E-2</v>
      </c>
      <c r="I73" s="1548"/>
    </row>
    <row r="74" spans="2:10" ht="13.5" thickBot="1">
      <c r="B74" s="1578" t="s">
        <v>1080</v>
      </c>
      <c r="C74" s="1581">
        <f>GapCalc!H33</f>
        <v>36720312.703317851</v>
      </c>
      <c r="D74" s="1549"/>
      <c r="F74" s="1559"/>
      <c r="G74" s="1578" t="s">
        <v>1082</v>
      </c>
      <c r="H74" s="1581">
        <f>GapCalc!H32</f>
        <v>6480055.1829384444</v>
      </c>
      <c r="I74" s="1549"/>
    </row>
    <row r="75" spans="2:10">
      <c r="B75" s="70" t="s">
        <v>1081</v>
      </c>
      <c r="C75" s="1579">
        <f>(C70-C74)/C74</f>
        <v>0.61953326916425566</v>
      </c>
      <c r="G75" s="70" t="s">
        <v>1081</v>
      </c>
      <c r="H75" s="1579">
        <f>(H70-H74)/H74</f>
        <v>0.61953326916425566</v>
      </c>
    </row>
    <row r="76" spans="2:10">
      <c r="B76" s="70" t="s">
        <v>1045</v>
      </c>
      <c r="C76" s="1579">
        <f>C75/7</f>
        <v>8.8504752737750811E-2</v>
      </c>
      <c r="G76" s="70" t="s">
        <v>1045</v>
      </c>
      <c r="H76" s="1579">
        <f>H75/7</f>
        <v>8.8504752737750811E-2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13248693.388269527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14575127.465457456</v>
      </c>
      <c r="D81" s="1545" t="s">
        <v>68</v>
      </c>
    </row>
    <row r="82" spans="2:10">
      <c r="B82" s="1521" t="s">
        <v>1059</v>
      </c>
      <c r="C82" s="1568">
        <f>C68</f>
        <v>9272520.6334276926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23847648.098885149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</v>
      </c>
      <c r="D86" s="1548"/>
    </row>
    <row r="87" spans="2:10">
      <c r="B87" s="1523" t="s">
        <v>1045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48460379.240019083</v>
      </c>
      <c r="D93" s="1544"/>
      <c r="E93" s="1564" t="s">
        <v>288</v>
      </c>
      <c r="G93" s="1520" t="s">
        <v>1073</v>
      </c>
      <c r="H93" s="1565">
        <f>H97/1.63</f>
        <v>7071988.5654545585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14575127.465457456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2572081.3174336688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9272520.6334276926</v>
      </c>
      <c r="D95" s="1545" t="s">
        <v>68</v>
      </c>
      <c r="G95" s="1521" t="s">
        <v>1079</v>
      </c>
      <c r="H95" s="1568">
        <f>IF(GapCalc!D41*C43&lt; 0,0,GapCalc!D41*C43)</f>
        <v>1636327.1706048872</v>
      </c>
      <c r="I95" s="1545" t="s">
        <v>68</v>
      </c>
    </row>
    <row r="96" spans="2:10">
      <c r="B96" s="1521" t="s">
        <v>1059</v>
      </c>
      <c r="C96" s="1568">
        <f>'Debt Calc'!H60</f>
        <v>55142770.062345959</v>
      </c>
      <c r="D96" s="1546">
        <v>0.9</v>
      </c>
      <c r="G96" s="1521" t="s">
        <v>1075</v>
      </c>
      <c r="H96" s="1568">
        <f>'Debt Calc'!E59*C43</f>
        <v>7318932.8736523734</v>
      </c>
      <c r="I96" s="1546">
        <v>0.9</v>
      </c>
    </row>
    <row r="97" spans="2:9">
      <c r="B97" s="1523" t="s">
        <v>1042</v>
      </c>
      <c r="C97" s="1577">
        <f>C94+C95+C96</f>
        <v>78990418.161231101</v>
      </c>
      <c r="D97" s="1545" t="s">
        <v>68</v>
      </c>
      <c r="G97" s="1523" t="s">
        <v>1042</v>
      </c>
      <c r="H97" s="1577">
        <f>H94+H95+H96</f>
        <v>11527341.361690929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36720312.703317851</v>
      </c>
      <c r="D101" s="1549"/>
      <c r="G101" s="1578" t="s">
        <v>1082</v>
      </c>
      <c r="H101" s="1581">
        <f>GapCalc!H32</f>
        <v>6480055.1829384444</v>
      </c>
      <c r="I101" s="1549"/>
    </row>
    <row r="102" spans="2:9">
      <c r="B102" s="70" t="s">
        <v>1081</v>
      </c>
      <c r="C102" s="1579">
        <f>(C97-C101)/C101</f>
        <v>1.1511368598474367</v>
      </c>
      <c r="G102" s="70" t="s">
        <v>1081</v>
      </c>
      <c r="H102" s="1579">
        <f>(H97-H101)/H101</f>
        <v>0.77889555509367492</v>
      </c>
    </row>
    <row r="103" spans="2:9">
      <c r="B103" s="70" t="s">
        <v>1045</v>
      </c>
      <c r="C103" s="1579">
        <f>C102/10</f>
        <v>0.11511368598474367</v>
      </c>
      <c r="G103" s="70" t="s">
        <v>1045</v>
      </c>
      <c r="H103" s="1579">
        <f>H102/10</f>
        <v>7.7889555509367492E-2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164050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32810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196860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196860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196860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202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101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101</v>
      </c>
      <c r="D49" s="876"/>
      <c r="E49" s="855" t="s">
        <v>577</v>
      </c>
      <c r="F49" s="855"/>
      <c r="G49" s="923">
        <v>143</v>
      </c>
      <c r="H49" s="884">
        <f>C53*D53</f>
        <v>40133.903846153851</v>
      </c>
      <c r="I49" s="884">
        <f>G49*H49</f>
        <v>5739148.2500000009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40133.903846153851</v>
      </c>
      <c r="I51" s="930">
        <f>SUM(I48:I50)</f>
        <v>5739148.2500000009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101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5739148.2500000009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101</v>
      </c>
      <c r="D55" s="855"/>
      <c r="E55" s="855"/>
      <c r="F55" s="937"/>
      <c r="G55" s="855"/>
      <c r="H55" s="872" t="s">
        <v>685</v>
      </c>
      <c r="I55" s="939">
        <f>SUM(I53:I54)</f>
        <v>5739148.2500000009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8" sqref="H58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5008106.7239028858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92995294.781415597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92995200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42914183.803923391</v>
      </c>
    </row>
    <row r="15" spans="2:36">
      <c r="B15" s="556"/>
      <c r="C15" s="560" t="s">
        <v>634</v>
      </c>
      <c r="H15" s="561">
        <f>12*PMT(Data!C24/12,Data!C29*12,-'Debt Calc'!H14)</f>
        <v>5008101.6196076637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-25342264.270445403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-25342264.270445403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92995200</v>
      </c>
      <c r="E21" s="561">
        <f>$H$15</f>
        <v>5008101.6196076637</v>
      </c>
      <c r="F21" s="561">
        <f>E21-G21</f>
        <v>0</v>
      </c>
      <c r="G21" s="561">
        <f>D21-H21</f>
        <v>5008101.6196076572</v>
      </c>
      <c r="H21" s="561">
        <f>D21-E21</f>
        <v>87987098.380392343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87987098.380392343</v>
      </c>
      <c r="E22" s="561">
        <f t="shared" ref="E22:E50" si="1">$H$15</f>
        <v>5008101.6196076637</v>
      </c>
      <c r="F22" s="561">
        <f t="shared" ref="F22:F50" si="2">E22-G22</f>
        <v>0</v>
      </c>
      <c r="G22" s="561">
        <f t="shared" ref="G22:G50" si="3">D22-H22</f>
        <v>5008101.6196076572</v>
      </c>
      <c r="H22" s="561">
        <f t="shared" ref="H22:H39" si="4">D22-E22</f>
        <v>82978996.760784686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82978996.760784686</v>
      </c>
      <c r="E23" s="561">
        <f t="shared" si="1"/>
        <v>5008101.6196076637</v>
      </c>
      <c r="F23" s="561">
        <f t="shared" si="2"/>
        <v>0</v>
      </c>
      <c r="G23" s="561">
        <f t="shared" si="3"/>
        <v>5008101.6196076572</v>
      </c>
      <c r="H23" s="561">
        <f t="shared" si="4"/>
        <v>77970895.141177028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77970895.141177028</v>
      </c>
      <c r="E24" s="561">
        <f t="shared" si="1"/>
        <v>5008101.6196076637</v>
      </c>
      <c r="F24" s="561">
        <f t="shared" si="2"/>
        <v>0</v>
      </c>
      <c r="G24" s="561">
        <f t="shared" si="3"/>
        <v>5008101.6196076572</v>
      </c>
      <c r="H24" s="561">
        <f t="shared" si="4"/>
        <v>72962793.521569371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72962793.521569371</v>
      </c>
      <c r="E25" s="561">
        <f t="shared" si="1"/>
        <v>5008101.6196076637</v>
      </c>
      <c r="F25" s="561">
        <f t="shared" si="2"/>
        <v>0</v>
      </c>
      <c r="G25" s="561">
        <f t="shared" si="3"/>
        <v>5008101.6196076572</v>
      </c>
      <c r="H25" s="561">
        <f t="shared" si="4"/>
        <v>67954691.901961714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67954691.901961714</v>
      </c>
      <c r="E26" s="561">
        <f t="shared" si="1"/>
        <v>5008101.6196076637</v>
      </c>
      <c r="F26" s="561">
        <f t="shared" si="2"/>
        <v>0</v>
      </c>
      <c r="G26" s="561">
        <f t="shared" si="3"/>
        <v>5008101.6196076646</v>
      </c>
      <c r="H26" s="561">
        <f t="shared" si="4"/>
        <v>62946590.282354049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62946590.282354049</v>
      </c>
      <c r="E27" s="561">
        <f t="shared" si="1"/>
        <v>5008101.6196076637</v>
      </c>
      <c r="F27" s="561">
        <f t="shared" si="2"/>
        <v>0</v>
      </c>
      <c r="G27" s="561">
        <f t="shared" si="3"/>
        <v>5008101.6196076646</v>
      </c>
      <c r="H27" s="561">
        <f t="shared" si="4"/>
        <v>57938488.662746385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57938488.662746385</v>
      </c>
      <c r="E28" s="561">
        <f t="shared" si="1"/>
        <v>5008101.6196076637</v>
      </c>
      <c r="F28" s="561">
        <f t="shared" si="2"/>
        <v>0</v>
      </c>
      <c r="G28" s="561">
        <f t="shared" si="3"/>
        <v>5008101.6196076646</v>
      </c>
      <c r="H28" s="561">
        <f t="shared" si="4"/>
        <v>52930387.04313872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52930387.04313872</v>
      </c>
      <c r="E29" s="561">
        <f t="shared" si="1"/>
        <v>5008101.6196076637</v>
      </c>
      <c r="F29" s="561">
        <f t="shared" si="2"/>
        <v>0</v>
      </c>
      <c r="G29" s="561">
        <f t="shared" si="3"/>
        <v>5008101.6196076646</v>
      </c>
      <c r="H29" s="561">
        <f t="shared" si="4"/>
        <v>47922285.423531055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47922285.423531055</v>
      </c>
      <c r="E30" s="561">
        <f t="shared" si="1"/>
        <v>5008101.6196076637</v>
      </c>
      <c r="F30" s="561">
        <f t="shared" si="2"/>
        <v>0</v>
      </c>
      <c r="G30" s="561">
        <f t="shared" si="3"/>
        <v>5008101.6196076646</v>
      </c>
      <c r="H30" s="561">
        <f>D30-E30</f>
        <v>42914183.803923391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42914183.803923391</v>
      </c>
      <c r="E31" s="561">
        <f t="shared" si="1"/>
        <v>5008101.6196076637</v>
      </c>
      <c r="F31" s="561">
        <f t="shared" si="2"/>
        <v>0</v>
      </c>
      <c r="G31" s="561">
        <f t="shared" si="3"/>
        <v>5008101.6196076646</v>
      </c>
      <c r="H31" s="561">
        <f t="shared" si="4"/>
        <v>37906082.184315726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37906082.184315726</v>
      </c>
      <c r="E32" s="561">
        <f t="shared" si="1"/>
        <v>5008101.6196076637</v>
      </c>
      <c r="F32" s="561">
        <f t="shared" si="2"/>
        <v>0</v>
      </c>
      <c r="G32" s="561">
        <f t="shared" si="3"/>
        <v>5008101.6196076646</v>
      </c>
      <c r="H32" s="561">
        <f t="shared" si="4"/>
        <v>32897980.564708062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32897980.564708062</v>
      </c>
      <c r="E33" s="561">
        <f t="shared" si="1"/>
        <v>5008101.6196076637</v>
      </c>
      <c r="F33" s="561">
        <f t="shared" si="2"/>
        <v>0</v>
      </c>
      <c r="G33" s="561">
        <f t="shared" si="3"/>
        <v>5008101.6196076646</v>
      </c>
      <c r="H33" s="561">
        <f t="shared" si="4"/>
        <v>27889878.945100397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27889878.945100397</v>
      </c>
      <c r="E34" s="561">
        <f t="shared" si="1"/>
        <v>5008101.6196076637</v>
      </c>
      <c r="F34" s="561">
        <f t="shared" si="2"/>
        <v>0</v>
      </c>
      <c r="G34" s="561">
        <f t="shared" si="3"/>
        <v>5008101.6196076646</v>
      </c>
      <c r="H34" s="561">
        <f t="shared" si="4"/>
        <v>22881777.325492732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22881777.325492732</v>
      </c>
      <c r="E35" s="561">
        <f t="shared" si="1"/>
        <v>5008101.6196076637</v>
      </c>
      <c r="F35" s="561">
        <f t="shared" si="2"/>
        <v>0</v>
      </c>
      <c r="G35" s="561">
        <f t="shared" si="3"/>
        <v>5008101.6196076646</v>
      </c>
      <c r="H35" s="561">
        <f t="shared" si="4"/>
        <v>17873675.705885068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17873675.705885068</v>
      </c>
      <c r="E36" s="561">
        <f t="shared" si="1"/>
        <v>5008101.6196076637</v>
      </c>
      <c r="F36" s="561">
        <f t="shared" si="2"/>
        <v>0</v>
      </c>
      <c r="G36" s="561">
        <f t="shared" si="3"/>
        <v>5008101.6196076646</v>
      </c>
      <c r="H36" s="561">
        <f t="shared" si="4"/>
        <v>12865574.086277403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12865574.086277403</v>
      </c>
      <c r="E37" s="561">
        <f t="shared" si="1"/>
        <v>5008101.6196076637</v>
      </c>
      <c r="F37" s="561">
        <f t="shared" si="2"/>
        <v>0</v>
      </c>
      <c r="G37" s="561">
        <f t="shared" si="3"/>
        <v>5008101.6196076637</v>
      </c>
      <c r="H37" s="561">
        <f t="shared" si="4"/>
        <v>7857472.4666697392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7857472.4666697392</v>
      </c>
      <c r="E38" s="561">
        <f t="shared" si="1"/>
        <v>5008101.6196076637</v>
      </c>
      <c r="F38" s="561">
        <f t="shared" si="2"/>
        <v>0</v>
      </c>
      <c r="G38" s="561">
        <f t="shared" si="3"/>
        <v>5008101.6196076637</v>
      </c>
      <c r="H38" s="561">
        <f>D38-E38</f>
        <v>2849370.8470620755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2849370.8470620755</v>
      </c>
      <c r="E39" s="561">
        <f t="shared" si="1"/>
        <v>5008101.6196076637</v>
      </c>
      <c r="F39" s="561">
        <f t="shared" si="2"/>
        <v>0</v>
      </c>
      <c r="G39" s="561">
        <f t="shared" si="3"/>
        <v>5008101.6196076637</v>
      </c>
      <c r="H39" s="561">
        <f t="shared" si="4"/>
        <v>-2158730.7725455882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-2158730.7725455882</v>
      </c>
      <c r="E40" s="561">
        <f t="shared" si="1"/>
        <v>5008101.6196076637</v>
      </c>
      <c r="F40" s="561">
        <f t="shared" si="2"/>
        <v>7166832.3921532519</v>
      </c>
      <c r="G40" s="561">
        <f t="shared" si="3"/>
        <v>-2158730.7725455882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5008101.6196076637</v>
      </c>
      <c r="F41" s="561">
        <f t="shared" si="2"/>
        <v>5008101.6196076637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5008101.6196076637</v>
      </c>
      <c r="F42" s="561">
        <f t="shared" si="2"/>
        <v>5008101.6196076637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5008101.6196076637</v>
      </c>
      <c r="F43" s="561">
        <f t="shared" si="2"/>
        <v>5008101.6196076637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5008101.6196076637</v>
      </c>
      <c r="F44" s="561">
        <f t="shared" si="2"/>
        <v>5008101.6196076637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5008101.6196076637</v>
      </c>
      <c r="F45" s="561">
        <f t="shared" si="2"/>
        <v>5008101.6196076637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5008101.6196076637</v>
      </c>
      <c r="F46" s="561">
        <f t="shared" si="2"/>
        <v>5008101.6196076637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5008101.6196076637</v>
      </c>
      <c r="F47" s="561">
        <f t="shared" si="2"/>
        <v>5008101.6196076637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5008101.6196076637</v>
      </c>
      <c r="F48" s="561">
        <f t="shared" si="2"/>
        <v>5008101.6196076637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5008101.6196076637</v>
      </c>
      <c r="F49" s="561">
        <f t="shared" si="2"/>
        <v>5008101.6196076637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5008101.6196076637</v>
      </c>
      <c r="F50" s="561">
        <f t="shared" si="2"/>
        <v>5008101.6196076637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186290928.72912928</v>
      </c>
      <c r="F55" s="561"/>
      <c r="G55" s="1663" t="s">
        <v>1064</v>
      </c>
      <c r="H55" s="1667">
        <f>'Cash Flow'!N15/0.05</f>
        <v>200614954.67094246</v>
      </c>
    </row>
    <row r="56" spans="2:28">
      <c r="D56" s="1653" t="s">
        <v>1065</v>
      </c>
      <c r="E56" s="1665">
        <f>'Cash Flow'!K21/1.2</f>
        <v>5797090.2204232328</v>
      </c>
      <c r="F56" s="561"/>
      <c r="G56" s="1661" t="s">
        <v>1065</v>
      </c>
      <c r="H56" s="1668">
        <f>'Cash Flow'!N21/1.2</f>
        <v>6233392.514456531</v>
      </c>
    </row>
    <row r="57" spans="2:28">
      <c r="D57" s="1653" t="s">
        <v>1066</v>
      </c>
      <c r="E57" s="1665">
        <f>E55*0.6</f>
        <v>111774557.23747757</v>
      </c>
      <c r="F57" s="561"/>
      <c r="G57" s="1661" t="s">
        <v>1066</v>
      </c>
      <c r="H57" s="1668">
        <f>H55*0.6</f>
        <v>120368972.80256547</v>
      </c>
    </row>
    <row r="58" spans="2:28">
      <c r="D58" s="1653" t="s">
        <v>1067</v>
      </c>
      <c r="E58" s="1665">
        <f>-PV(4%,34,E56)</f>
        <v>106731374.48709553</v>
      </c>
      <c r="F58" s="561"/>
      <c r="G58" s="1661" t="s">
        <v>1067</v>
      </c>
      <c r="H58" s="1668">
        <f>-PV(4%,30,H56)</f>
        <v>107788030.9360951</v>
      </c>
    </row>
    <row r="59" spans="2:28">
      <c r="D59" s="1652" t="s">
        <v>1068</v>
      </c>
      <c r="E59" s="1665">
        <f>E58-H27</f>
        <v>48792885.82434915</v>
      </c>
      <c r="F59" s="561"/>
      <c r="G59" s="1660" t="s">
        <v>1068</v>
      </c>
      <c r="H59" s="1668">
        <f>H58-H30</f>
        <v>64873847.132171713</v>
      </c>
    </row>
    <row r="60" spans="2:28" ht="13.5" thickBot="1">
      <c r="D60" s="1654" t="s">
        <v>1069</v>
      </c>
      <c r="E60" s="1666">
        <f>E59*GapCalc!I33</f>
        <v>41473952.950696781</v>
      </c>
      <c r="F60" s="561"/>
      <c r="G60" s="1662" t="s">
        <v>1069</v>
      </c>
      <c r="H60" s="1669">
        <f>H59*GapCalc!I33</f>
        <v>55142770.062345959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13130000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64797148.25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157480.95739999998</v>
      </c>
      <c r="C7" s="1417">
        <f>C4*E4</f>
        <v>777175.70016753499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126296.6094</v>
      </c>
      <c r="C8" s="1417">
        <f>C7*D7</f>
        <v>623279.52191653801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749576.13131653797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78740.478700000007</v>
      </c>
    </row>
    <row r="14" spans="1:5">
      <c r="A14" t="s">
        <v>992</v>
      </c>
      <c r="B14">
        <v>24</v>
      </c>
      <c r="C14" s="1425">
        <f>C3*(E3/12)*B14</f>
        <v>314961.91480000003</v>
      </c>
    </row>
    <row r="15" spans="1:5">
      <c r="A15" s="40" t="s">
        <v>994</v>
      </c>
      <c r="C15" s="1428">
        <f>SUM(C13+C14)</f>
        <v>393702.39350000001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8449056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-422731.80000000005</v>
      </c>
      <c r="E18" s="50"/>
      <c r="F18" s="55">
        <v>0.05</v>
      </c>
    </row>
    <row r="19" spans="1:25">
      <c r="A19" s="40" t="s">
        <v>165</v>
      </c>
      <c r="D19" s="57">
        <f>SUM(D15:D18)</f>
        <v>8031904.2000000002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105358</v>
      </c>
      <c r="E22" s="48">
        <v>1043</v>
      </c>
      <c r="F22" s="453" t="s">
        <v>172</v>
      </c>
      <c r="N22" s="428">
        <f>D22*0.8</f>
        <v>84286.400000000009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174</v>
      </c>
      <c r="D23" s="48">
        <f>(E23*$D$10-20)/2</f>
        <v>134724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18816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100847.36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183</v>
      </c>
      <c r="D26" s="51">
        <f>SUM(D22:D25)</f>
        <v>359745.36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37572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20200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192</v>
      </c>
      <c r="D31" s="48">
        <f>E31*$D$10</f>
        <v>33128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194</v>
      </c>
      <c r="C32" s="43"/>
      <c r="D32" s="50">
        <f>E32*$D$10</f>
        <v>6060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96960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107060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202</v>
      </c>
      <c r="D37" s="48">
        <f>E37*$D$10</f>
        <v>159580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85042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351682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74538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53682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79992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27472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171700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11110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319314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749576.13131653797</v>
      </c>
      <c r="Y56" s="1309">
        <f>X56/'Rental Income'!D15</f>
        <v>3710.7729273095938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544.26848554455444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169680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198.01980198019803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822160.26464987139</v>
      </c>
    </row>
    <row r="65" spans="1:25">
      <c r="B65" t="s">
        <v>250</v>
      </c>
      <c r="D65" s="48">
        <f>E65*$D$10</f>
        <v>30300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251980</v>
      </c>
      <c r="E67" s="48">
        <f>SUM(E62:E66)</f>
        <v>1373.0198019801981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60600</v>
      </c>
      <c r="E69" s="426">
        <v>300</v>
      </c>
    </row>
    <row r="70" spans="1:25">
      <c r="V70" s="40" t="s">
        <v>256</v>
      </c>
      <c r="X70" s="1307">
        <f>SUM(X68,X64,X54,X39,X31)</f>
        <v>1224422.911316538</v>
      </c>
      <c r="Y70" s="1307">
        <f>X70/D10</f>
        <v>6061.4995609729604</v>
      </c>
    </row>
    <row r="71" spans="1:25">
      <c r="A71" s="40" t="s">
        <v>257</v>
      </c>
      <c r="D71" s="48">
        <f>E71*$D$10</f>
        <v>101000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309">
        <f>Y70-6000</f>
        <v>61.499560972960353</v>
      </c>
    </row>
    <row r="75" spans="1:25">
      <c r="A75" s="44" t="s">
        <v>260</v>
      </c>
      <c r="B75" s="45"/>
      <c r="C75" s="45"/>
      <c r="D75" s="52">
        <f>D19-D73</f>
        <v>6252460.60592</v>
      </c>
      <c r="E75" s="52">
        <f>D75/D10</f>
        <v>30952.775276831682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196860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81146435.312499985</v>
      </c>
      <c r="C7" s="465">
        <f>'Dev Summary_5-20'!B8</f>
        <v>3190331</v>
      </c>
      <c r="D7" s="465">
        <f t="shared" ref="D7:D14" si="0">B7-C7</f>
        <v>77956104.312499985</v>
      </c>
      <c r="E7" s="477">
        <f t="shared" ref="E7:E15" si="1">D7/B7</f>
        <v>0.96068427420485158</v>
      </c>
      <c r="F7" s="477"/>
      <c r="G7" s="472" t="e">
        <f t="shared" ref="G7:G14" si="2">B7/$B$15</f>
        <v>#REF!</v>
      </c>
      <c r="I7" s="147">
        <f>B7/$H$4</f>
        <v>737694.86647727259</v>
      </c>
      <c r="J7" s="53">
        <f>B7/$H$5</f>
        <v>412.20377584323876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308325.93965896801</v>
      </c>
      <c r="C9" s="446">
        <f>'Dev Summary_5-20'!B10</f>
        <v>50000</v>
      </c>
      <c r="D9" s="446">
        <f t="shared" si="0"/>
        <v>258325.93965896801</v>
      </c>
      <c r="E9" s="477">
        <f t="shared" si="1"/>
        <v>0.83783394917954745</v>
      </c>
      <c r="F9" s="477"/>
      <c r="G9" s="473" t="e">
        <f t="shared" si="2"/>
        <v>#REF!</v>
      </c>
      <c r="I9" s="53">
        <f t="shared" si="3"/>
        <v>2802.9630878088001</v>
      </c>
      <c r="J9" s="53">
        <f t="shared" si="4"/>
        <v>1.5662193419636696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0.162552067459108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393702.39350000001</v>
      </c>
      <c r="C12" s="446">
        <f>'Dev Summary_5-20'!B13</f>
        <v>2500000</v>
      </c>
      <c r="D12" s="446">
        <f t="shared" si="0"/>
        <v>-2106297.6064999998</v>
      </c>
      <c r="E12" s="477">
        <f t="shared" si="1"/>
        <v>-5.3499740953441774</v>
      </c>
      <c r="F12" s="477"/>
      <c r="G12" s="473" t="e">
        <f t="shared" si="2"/>
        <v>#REF!</v>
      </c>
      <c r="I12" s="53">
        <f t="shared" si="3"/>
        <v>3579.1126681818182</v>
      </c>
      <c r="J12" s="53">
        <f t="shared" si="4"/>
        <v>1.9999105633445089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3256436</v>
      </c>
      <c r="C14" s="467">
        <f>'Dev Summary_5-20'!B14</f>
        <v>282276.62941911275</v>
      </c>
      <c r="D14" s="467">
        <f t="shared" si="0"/>
        <v>2974159.3705808874</v>
      </c>
      <c r="E14" s="478">
        <f t="shared" si="1"/>
        <v>0.91331731088247625</v>
      </c>
      <c r="F14" s="478"/>
      <c r="G14" s="474" t="e">
        <f t="shared" si="2"/>
        <v>#REF!</v>
      </c>
      <c r="I14" s="53">
        <f t="shared" si="3"/>
        <v>29603.963636363635</v>
      </c>
      <c r="J14" s="53">
        <f t="shared" si="4"/>
        <v>16.54188763588337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91138102.44993715</v>
      </c>
      <c r="C21" s="48">
        <v>18731659</v>
      </c>
      <c r="D21" s="48">
        <f>B21-C21</f>
        <v>72406443.44993715</v>
      </c>
      <c r="E21" s="55">
        <f>D21/B21</f>
        <v>0.79446950840029351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10908847.804032579</v>
      </c>
      <c r="C28" s="50"/>
      <c r="D28" s="50">
        <f t="shared" si="5"/>
        <v>10908847.804032579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89261078.843749985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80834.970959374987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72751.473863437495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649517.04533593741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89261078.843749985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20530.048134062497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823633.53829281242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71408863.074999988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98157.90903124999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71408863.074999988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105245.40903124999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971957.22375</v>
      </c>
      <c r="E10" s="748">
        <f>'PreDev Flow of Funds'!Y10+'PreDev Flow of Funds'!Y12</f>
        <v>1395966</v>
      </c>
      <c r="F10" s="748">
        <f>(D10-E10)/18</f>
        <v>-23556.043125</v>
      </c>
      <c r="G10" s="748">
        <f>$F$10</f>
        <v>-23556.043125</v>
      </c>
      <c r="H10" s="748">
        <f t="shared" ref="H10:W10" si="2">$F$10</f>
        <v>-23556.043125</v>
      </c>
      <c r="I10" s="748">
        <f t="shared" si="2"/>
        <v>-23556.043125</v>
      </c>
      <c r="J10" s="748">
        <f t="shared" si="2"/>
        <v>-23556.043125</v>
      </c>
      <c r="K10" s="748">
        <f t="shared" si="2"/>
        <v>-23556.043125</v>
      </c>
      <c r="L10" s="748">
        <f t="shared" si="2"/>
        <v>-23556.043125</v>
      </c>
      <c r="M10" s="748">
        <f t="shared" si="2"/>
        <v>-23556.043125</v>
      </c>
      <c r="N10" s="748">
        <f t="shared" si="2"/>
        <v>-23556.043125</v>
      </c>
      <c r="O10" s="748">
        <f t="shared" si="2"/>
        <v>-23556.043125</v>
      </c>
      <c r="P10" s="748">
        <f t="shared" si="2"/>
        <v>-23556.043125</v>
      </c>
      <c r="Q10" s="748">
        <f t="shared" si="2"/>
        <v>-23556.043125</v>
      </c>
      <c r="R10" s="748">
        <f t="shared" si="2"/>
        <v>-23556.043125</v>
      </c>
      <c r="S10" s="748">
        <f t="shared" si="2"/>
        <v>-23556.043125</v>
      </c>
      <c r="T10" s="748">
        <f t="shared" si="2"/>
        <v>-23556.043125</v>
      </c>
      <c r="U10" s="748">
        <f t="shared" si="2"/>
        <v>-23556.043125</v>
      </c>
      <c r="V10" s="748">
        <f t="shared" si="2"/>
        <v>-23556.043125</v>
      </c>
      <c r="W10" s="748">
        <f t="shared" si="2"/>
        <v>-23556.043125</v>
      </c>
      <c r="X10" s="748"/>
      <c r="Y10" s="748">
        <f>SUM(E10:W10)</f>
        <v>971957.22374999896</v>
      </c>
    </row>
    <row r="11" spans="1:25" ht="15">
      <c r="A11" s="402"/>
      <c r="B11" s="403" t="s">
        <v>388</v>
      </c>
      <c r="C11" s="748"/>
      <c r="D11" s="748">
        <f>'Development Budget'!G41</f>
        <v>971957.22375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81146435.312499985</v>
      </c>
      <c r="E13" s="748">
        <f>'PreDev Flow of Funds'!Y14</f>
        <v>69798.3</v>
      </c>
      <c r="F13" s="748">
        <f>(D13-E13)/18</f>
        <v>4504257.6118055545</v>
      </c>
      <c r="G13" s="748">
        <f>$F$13</f>
        <v>4504257.6118055545</v>
      </c>
      <c r="H13" s="748">
        <f t="shared" ref="H13:W13" si="5">$F$13</f>
        <v>4504257.6118055545</v>
      </c>
      <c r="I13" s="748">
        <f t="shared" si="5"/>
        <v>4504257.6118055545</v>
      </c>
      <c r="J13" s="748">
        <f t="shared" si="5"/>
        <v>4504257.6118055545</v>
      </c>
      <c r="K13" s="748">
        <f t="shared" si="5"/>
        <v>4504257.6118055545</v>
      </c>
      <c r="L13" s="748">
        <f t="shared" si="5"/>
        <v>4504257.6118055545</v>
      </c>
      <c r="M13" s="748">
        <f t="shared" si="5"/>
        <v>4504257.6118055545</v>
      </c>
      <c r="N13" s="748">
        <f t="shared" si="5"/>
        <v>4504257.6118055545</v>
      </c>
      <c r="O13" s="748">
        <f t="shared" si="5"/>
        <v>4504257.6118055545</v>
      </c>
      <c r="P13" s="748">
        <f t="shared" si="5"/>
        <v>4504257.6118055545</v>
      </c>
      <c r="Q13" s="748">
        <f t="shared" si="5"/>
        <v>4504257.6118055545</v>
      </c>
      <c r="R13" s="748">
        <f t="shared" si="5"/>
        <v>4504257.6118055545</v>
      </c>
      <c r="S13" s="748">
        <f t="shared" si="5"/>
        <v>4504257.6118055545</v>
      </c>
      <c r="T13" s="748">
        <f t="shared" si="5"/>
        <v>4504257.6118055545</v>
      </c>
      <c r="U13" s="748">
        <f t="shared" si="5"/>
        <v>4504257.6118055545</v>
      </c>
      <c r="V13" s="748">
        <f t="shared" si="5"/>
        <v>4504257.6118055545</v>
      </c>
      <c r="W13" s="748">
        <f t="shared" si="5"/>
        <v>4504257.6118055545</v>
      </c>
      <c r="X13" s="748"/>
      <c r="Y13" s="748">
        <f t="shared" si="3"/>
        <v>81146435.312500015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81146435.312499985</v>
      </c>
      <c r="E15" s="748">
        <f>'PreDev Flow of Funds'!Y16+'PreDev Flow of Funds'!Y17+'PreDev Flow of Funds'!Y19</f>
        <v>72500</v>
      </c>
      <c r="F15" s="748">
        <f>(D15-E15)/18</f>
        <v>4504107.5173611101</v>
      </c>
      <c r="G15" s="748">
        <f>$F$15</f>
        <v>4504107.5173611101</v>
      </c>
      <c r="H15" s="748">
        <f t="shared" ref="H15:W15" si="7">$F$15</f>
        <v>4504107.5173611101</v>
      </c>
      <c r="I15" s="748">
        <f t="shared" si="7"/>
        <v>4504107.5173611101</v>
      </c>
      <c r="J15" s="748">
        <f t="shared" si="7"/>
        <v>4504107.5173611101</v>
      </c>
      <c r="K15" s="748">
        <f t="shared" si="7"/>
        <v>4504107.5173611101</v>
      </c>
      <c r="L15" s="748">
        <f t="shared" si="7"/>
        <v>4504107.5173611101</v>
      </c>
      <c r="M15" s="748">
        <f t="shared" si="7"/>
        <v>4504107.5173611101</v>
      </c>
      <c r="N15" s="748">
        <f t="shared" si="7"/>
        <v>4504107.5173611101</v>
      </c>
      <c r="O15" s="748">
        <f t="shared" si="7"/>
        <v>4504107.5173611101</v>
      </c>
      <c r="P15" s="748">
        <f t="shared" si="7"/>
        <v>4504107.5173611101</v>
      </c>
      <c r="Q15" s="748">
        <f t="shared" si="7"/>
        <v>4504107.5173611101</v>
      </c>
      <c r="R15" s="748">
        <f t="shared" si="7"/>
        <v>4504107.5173611101</v>
      </c>
      <c r="S15" s="748">
        <f t="shared" si="7"/>
        <v>4504107.5173611101</v>
      </c>
      <c r="T15" s="748">
        <f t="shared" si="7"/>
        <v>4504107.5173611101</v>
      </c>
      <c r="U15" s="748">
        <f t="shared" si="7"/>
        <v>4504107.5173611101</v>
      </c>
      <c r="V15" s="748">
        <f t="shared" si="7"/>
        <v>4504107.5173611101</v>
      </c>
      <c r="W15" s="748">
        <f t="shared" si="7"/>
        <v>4504107.5173611101</v>
      </c>
      <c r="X15" s="748"/>
      <c r="Y15" s="748">
        <f t="shared" si="3"/>
        <v>81146435.312499985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13305000</v>
      </c>
      <c r="E26" s="748">
        <v>0</v>
      </c>
      <c r="F26" s="748">
        <f>D26/2</f>
        <v>6652500</v>
      </c>
      <c r="G26" s="748">
        <f>F26</f>
        <v>6652500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13305000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64797148.25</v>
      </c>
      <c r="E33" s="748">
        <v>0</v>
      </c>
      <c r="F33" s="748">
        <f>D33</f>
        <v>64797148.25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64797148.25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202866.08828124998</v>
      </c>
      <c r="E43" s="748">
        <f>D43</f>
        <v>202866.08828124998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202866.08828124998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393866.08828124998</v>
      </c>
      <c r="E52" s="748">
        <f>D52</f>
        <v>393866.08828124998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393866.08828124998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3256436</v>
      </c>
      <c r="E58" s="748">
        <f>'PreDev Flow of Funds'!Y46</f>
        <v>96238.814999999988</v>
      </c>
      <c r="F58" s="748">
        <f>(D58-E58)/18</f>
        <v>175566.51027777779</v>
      </c>
      <c r="G58" s="748">
        <f>$F$58</f>
        <v>175566.51027777779</v>
      </c>
      <c r="H58" s="748">
        <f t="shared" ref="H58:W58" si="18">$F$58</f>
        <v>175566.51027777779</v>
      </c>
      <c r="I58" s="748">
        <f t="shared" si="18"/>
        <v>175566.51027777779</v>
      </c>
      <c r="J58" s="748">
        <f t="shared" si="18"/>
        <v>175566.51027777779</v>
      </c>
      <c r="K58" s="748">
        <f t="shared" si="18"/>
        <v>175566.51027777779</v>
      </c>
      <c r="L58" s="748">
        <f t="shared" si="18"/>
        <v>175566.51027777779</v>
      </c>
      <c r="M58" s="748">
        <f t="shared" si="18"/>
        <v>175566.51027777779</v>
      </c>
      <c r="N58" s="748">
        <f t="shared" si="18"/>
        <v>175566.51027777779</v>
      </c>
      <c r="O58" s="748">
        <f t="shared" si="18"/>
        <v>175566.51027777779</v>
      </c>
      <c r="P58" s="748">
        <f t="shared" si="18"/>
        <v>175566.51027777779</v>
      </c>
      <c r="Q58" s="748">
        <f t="shared" si="18"/>
        <v>175566.51027777779</v>
      </c>
      <c r="R58" s="748">
        <f t="shared" si="18"/>
        <v>175566.51027777779</v>
      </c>
      <c r="S58" s="748">
        <f t="shared" si="18"/>
        <v>175566.51027777779</v>
      </c>
      <c r="T58" s="748">
        <f t="shared" si="18"/>
        <v>175566.51027777779</v>
      </c>
      <c r="U58" s="748">
        <f t="shared" si="18"/>
        <v>175566.51027777779</v>
      </c>
      <c r="V58" s="748">
        <f t="shared" si="18"/>
        <v>175566.51027777779</v>
      </c>
      <c r="W58" s="748">
        <f t="shared" si="18"/>
        <v>175566.51027777779</v>
      </c>
      <c r="X58" s="748"/>
      <c r="Y58" s="748">
        <f t="shared" si="3"/>
        <v>3256436.0000000019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308325.93965896801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15441885.251562497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80229254.645904571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-9177287.3270615563</v>
      </c>
      <c r="E87" s="749">
        <f>E80-E84-E85-E86-E88-E89-E90-E91</f>
        <v>600732.17656249553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15441885.251562497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6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6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69" t="s">
        <v>583</v>
      </c>
      <c r="K74" s="1770"/>
      <c r="L74" s="1770"/>
      <c r="M74" s="1770"/>
      <c r="N74" s="1770"/>
      <c r="O74" s="1771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-1020177.0303124998</v>
      </c>
      <c r="K103" s="162">
        <f>J103+(C116*0.25)/2</f>
        <v>-2040354.0606249997</v>
      </c>
      <c r="L103" s="162">
        <f>K103+((C116-K103)/4)</f>
        <v>-3570619.6060937494</v>
      </c>
      <c r="M103" s="162">
        <f>L103+((C116-K103)/4)</f>
        <v>-5100885.1515624989</v>
      </c>
      <c r="N103" s="162">
        <f>M103+((C116-K103)/4)</f>
        <v>-6631150.6970312484</v>
      </c>
      <c r="O103" s="162">
        <f>N103+((C116-K103)/4)</f>
        <v>-8161416.2424999978</v>
      </c>
      <c r="P103" s="162">
        <f>O103</f>
        <v>-8161416.2424999978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9556260.0112500004</v>
      </c>
      <c r="K104" s="371">
        <f>((C117-1033493)/6)+J104</f>
        <v>19112520.022500001</v>
      </c>
      <c r="L104" s="371">
        <f>((C117-1033493)/6)+K104</f>
        <v>28668780.033750001</v>
      </c>
      <c r="M104" s="371">
        <f>((C117-1033493)/6)+L104</f>
        <v>38225040.045000002</v>
      </c>
      <c r="N104" s="371">
        <f>((C117-1033493)/6)+M104</f>
        <v>47781300.056250006</v>
      </c>
      <c r="O104" s="371">
        <f>((C117-1033493)/6)+N104</f>
        <v>57337560.06750001</v>
      </c>
      <c r="P104" s="371">
        <f>(286645+100000+646848)+O104</f>
        <v>58371053.06750001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8536082.9809375014</v>
      </c>
      <c r="K110" s="371">
        <f t="shared" ref="K110:P110" si="9">SUM(K103:K104)</f>
        <v>17072165.961875003</v>
      </c>
      <c r="L110" s="371">
        <f t="shared" si="9"/>
        <v>25098160.427656252</v>
      </c>
      <c r="M110" s="371">
        <f t="shared" si="9"/>
        <v>33124154.893437505</v>
      </c>
      <c r="N110" s="371">
        <f t="shared" si="9"/>
        <v>41150149.359218761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4">
        <f>'PreDev Flow of Funds'!D47</f>
        <v>14824249.954999998</v>
      </c>
      <c r="D114" s="1773"/>
    </row>
    <row r="115" spans="2:19">
      <c r="B115" s="397" t="s">
        <v>601</v>
      </c>
      <c r="C115" s="1775">
        <f>M102</f>
        <v>1323400.22</v>
      </c>
      <c r="D115" s="1773"/>
    </row>
    <row r="116" spans="2:19">
      <c r="B116" s="397" t="s">
        <v>583</v>
      </c>
      <c r="C116" s="1775">
        <f>'Development Budget'!G37-Predevelopment!D27-Predevelopment!D28-Predevelopment!D29-Timeline!M102-Predevelopment!D17</f>
        <v>-8161416.2424999988</v>
      </c>
      <c r="D116" s="1773"/>
    </row>
    <row r="117" spans="2:19" ht="16.5" thickBot="1">
      <c r="B117" s="398" t="s">
        <v>602</v>
      </c>
      <c r="C117" s="1776">
        <f>C118-C114-C116-C115</f>
        <v>58371053.067500003</v>
      </c>
      <c r="D117" s="1777"/>
    </row>
    <row r="118" spans="2:19" ht="16.5" thickTop="1">
      <c r="B118" s="368" t="s">
        <v>586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