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\Policy Hypotheticals\Low Cost Financing\Lowered TDC\"/>
    </mc:Choice>
  </mc:AlternateContent>
  <xr:revisionPtr revIDLastSave="0" documentId="13_ncr:1_{EFD0DCFB-4FCC-4956-BE58-3BE23E5583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N46" i="10"/>
  <c r="M34" i="10"/>
  <c r="M116" i="1"/>
  <c r="M117" i="1"/>
  <c r="M163" i="1"/>
  <c r="E35" i="1"/>
  <c r="D37" i="2" l="1"/>
  <c r="D40" i="28" s="1"/>
  <c r="I59" i="2" l="1"/>
  <c r="D50" i="10"/>
  <c r="L50" i="10" s="1"/>
  <c r="L51" i="10"/>
  <c r="L52" i="10"/>
  <c r="L53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M52" i="10" l="1"/>
  <c r="N52" i="10" s="1"/>
  <c r="M50" i="10"/>
  <c r="N50" i="10" s="1"/>
  <c r="M51" i="10"/>
  <c r="N51" i="10" s="1"/>
  <c r="L42" i="10"/>
  <c r="M42" i="10" s="1"/>
  <c r="L43" i="10"/>
  <c r="M43" i="10" s="1"/>
  <c r="L41" i="10"/>
  <c r="M41" i="10" s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<sst xmlns="http://schemas.openxmlformats.org/spreadsheetml/2006/main" count="2004" uniqueCount="1108">
  <si>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</si>
  <si>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</si>
  <si>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</si>
  <si>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</si>
  <si>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</si>
  <si>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</si>
  <si>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</si>
  <si>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</si>
  <si>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</si>
  <si>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</si>
  <si>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</si>
  <si>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</si>
  <si>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</si>
  <si>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</si>
  <si>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</si>
  <si>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</si>
  <si>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</si>
  <si>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</si>
  <si>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</si>
  <si>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</si>
  <si>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</si>
  <si>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</si>
  <si>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</si>
  <si>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</si>
  <si>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</si>
  <si>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</si>
  <si>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</si>
  <si>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</si>
  <si>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</si>
  <si>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</si>
  <si>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</si>
  <si>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</si>
  <si>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</si>
  <si>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</si>
  <si>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</si>
  <si>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</si>
  <si>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</si>
  <si>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</si>
  <si>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</si>
  <si>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</si>
  <si>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</si>
  <si>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</si>
  <si>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</si>
  <si>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</si>
  <si>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</si>
  <si>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</si>
  <si>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</si>
  <si>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</si>
  <si>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</si>
  <si>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</si>
  <si>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</si>
  <si>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</si>
  <si>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</si>
  <si>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</si>
  <si>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</si>
  <si>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</si>
  <si>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</si>
  <si>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</si>
  <si>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</si>
  <si>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</si>
  <si>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</si>
  <si>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</si>
  <si>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</si>
  <si>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</si>
  <si>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</si>
  <si>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</si>
  <si>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</si>
  <si>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</si>
  <si>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</si>
  <si>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</si>
  <si>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</si>
  <si>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</si>
  <si>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</si>
  <si>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</si>
  <si>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</si>
  <si>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</si>
  <si>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</si>
  <si>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</si>
  <si>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</si>
  <si>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</si>
  <si>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</si>
  <si>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</si>
  <si>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</si>
  <si>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</si>
  <si>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</si>
  <si>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</si>
  <si>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</si>
  <si>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</si>
  <si>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</si>
  <si>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</si>
  <si>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</si>
  <si>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</si>
  <si>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</si>
  <si>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</si>
  <si>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</si>
  <si>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</si>
  <si>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</si>
  <si>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</si>
  <si>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</si>
  <si>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</si>
  <si>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</si>
  <si>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</si>
  <si>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</si>
  <si>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</si>
  <si>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</si>
  <si>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</si>
  <si>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</si>
  <si>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</si>
  <si>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</si>
  <si>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</si>
  <si>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</si>
  <si>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</si>
  <si>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</si>
  <si>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</si>
  <si>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</si>
  <si>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</si>
  <si>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</si>
  <si>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</si>
  <si>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</si>
  <si>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</si>
  <si>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</si>
  <si>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</si>
  <si>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</si>
  <si>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</si>
  <si>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</si>
  <si>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</si>
  <si>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</si>
  <si>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</si>
  <si>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</si>
  <si>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</si>
  <si>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</si>
  <si>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</si>
  <si>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</si>
  <si>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</si>
  <si>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</si>
  <si>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</si>
  <si>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</si>
  <si>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</si>
  <si>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</si>
  <si>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</si>
  <si>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</si>
  <si>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</si>
  <si>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</si>
  <si>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</si>
  <si>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</si>
  <si>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</si>
  <si>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</si>
  <si>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</si>
  <si>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</si>
  <si>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</si>
  <si>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</si>
  <si>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</si>
  <si>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</si>
  <si>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</si>
  <si>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</si>
  <si>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</si>
  <si>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</si>
  <si>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</si>
  <si>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</si>
  <si>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</si>
  <si>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</si>
  <si>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</si>
  <si>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</si>
  <si>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</si>
  <si>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</si>
  <si>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</si>
  <si>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</si>
  <si>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</si>
  <si>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</si>
  <si>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</si>
  <si>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</si>
  <si>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</si>
  <si>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</si>
  <si>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</si>
  <si>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</si>
  <si>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</si>
  <si>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</si>
  <si>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</si>
  <si>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</si>
  <si>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</si>
  <si>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</si>
  <si>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</si>
  <si>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</si>
  <si>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</si>
  <si>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</si>
  <si>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</si>
  <si>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</si>
  <si>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</si>
  <si>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</si>
  <si>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</si>
  <si>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</si>
  <si>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</si>
  <si>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</si>
  <si>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</si>
  <si>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</si>
  <si>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</si>
  <si>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</si>
  <si>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</si>
  <si>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</si>
  <si>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</si>
  <si>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</si>
  <si>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</si>
  <si>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</si>
  <si>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</si>
  <si>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</si>
  <si>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</si>
  <si>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</si>
  <si>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</si>
  <si>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</si>
  <si>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</si>
  <si>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</si>
  <si>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</si>
  <si>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</si>
  <si>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</si>
  <si>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</si>
  <si>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</si>
  <si>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</si>
  <si>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</si>
  <si>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</si>
  <si>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</si>
  <si>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</si>
  <si>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</si>
  <si>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</si>
  <si>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</si>
  <si>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</si>
  <si>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</si>
  <si>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</si>
  <si>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</si>
  <si>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</si>
  <si>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</si>
  <si>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</si>
  <si>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</si>
  <si>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</si>
  <si>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</si>
  <si>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</si>
  <si>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</si>
  <si>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</si>
  <si>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</si>
  <si>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</si>
  <si>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</si>
  <si>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</si>
  <si>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</si>
  <si>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</si>
  <si>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</si>
  <si>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</si>
  <si>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</si>
  <si>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</si>
  <si>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</si>
  <si>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</si>
  <si>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</si>
  <si>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</si>
  <si>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</si>
  <si>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</si>
  <si>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</si>
  <si>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</si>
  <si>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</si>
  <si>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</si>
  <si>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</si>
  <si>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</si>
  <si>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</si>
  <si>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</si>
  <si>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</si>
  <si>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</si>
  <si>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</si>
  <si>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</si>
  <si>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</si>
  <si>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</si>
  <si>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</si>
  <si>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</si>
  <si>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</si>
  <si>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</si>
  <si>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</si>
  <si>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</si>
  <si>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</si>
  <si>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</si>
  <si>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</si>
  <si>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</si>
  <si>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</si>
  <si>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</si>
  <si>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</si>
  <si>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</si>
  <si>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</si>
  <si>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</si>
  <si>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</si>
  <si>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</si>
  <si>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</si>
  <si>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</si>
  <si>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</si>
  <si>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</si>
  <si>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</si>
  <si>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</si>
  <si>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</si>
  <si>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</si>
  <si>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</si>
  <si>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</si>
  <si>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</si>
  <si>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</si>
  <si>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</si>
  <si>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</si>
  <si>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</si>
  <si>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</si>
  <si>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</si>
  <si>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</si>
  <si>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</si>
  <si>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</si>
  <si>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</si>
  <si>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</si>
  <si>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</si>
  <si>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</si>
  <si>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</si>
  <si>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</si>
  <si>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</si>
  <si>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</si>
  <si>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</si>
  <si>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</si>
  <si>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</si>
  <si>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</si>
  <si>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</si>
  <si>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</si>
  <si>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</si>
  <si>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</si>
  <si>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</si>
  <si>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</si>
  <si>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</si>
  <si>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</si>
  <si>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</si>
  <si>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</si>
  <si>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</si>
  <si>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</si>
  <si>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</si>
  <si>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</si>
  <si>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</si>
  <si>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</si>
  <si>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</si>
  <si>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</si>
  <si>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</si>
  <si>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</si>
  <si>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</si>
  <si>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</si>
  <si>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</si>
  <si>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</si>
  <si>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</si>
  <si>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</si>
  <si>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</si>
  <si>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</si>
  <si>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</si>
  <si>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</si>
  <si>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</si>
  <si>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</si>
  <si>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</si>
  <si>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</si>
  <si>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</si>
  <si>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</si>
  <si>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</si>
  <si>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</si>
  <si>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</si>
  <si>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</si>
  <si>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</si>
  <si>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</si>
  <si>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</si>
  <si>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</si>
  <si>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</si>
  <si>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</si>
  <si>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</si>
  <si>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</si>
  <si>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</si>
  <si>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</si>
  <si>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</si>
  <si>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</si>
  <si>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</si>
  <si>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</si>
  <si>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</si>
  <si>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</si>
  <si>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</si>
  <si>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</si>
  <si>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</si>
  <si>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</si>
  <si>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</si>
  <si>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</si>
  <si>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</si>
  <si>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</si>
  <si>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</si>
  <si>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</si>
  <si>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</si>
  <si>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</si>
  <si>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</si>
  <si>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</si>
  <si>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</si>
  <si>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</si>
  <si>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</si>
  <si>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</si>
  <si>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</si>
  <si>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</si>
  <si>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</si>
  <si>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</si>
  <si>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</si>
  <si>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</si>
  <si>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</si>
  <si>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</si>
  <si>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</si>
  <si>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</si>
  <si>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</si>
  <si>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</si>
  <si>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</si>
  <si>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</si>
  <si>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</si>
  <si>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</si>
  <si>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</si>
  <si>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</si>
  <si>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</si>
  <si>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</si>
  <si>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</si>
  <si>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</si>
  <si>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</si>
  <si>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</si>
  <si>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</si>
  <si>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</si>
  <si>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</si>
  <si>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</si>
  <si>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</si>
  <si>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</si>
  <si>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</si>
  <si>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</si>
  <si>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</si>
  <si>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</si>
  <si>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</si>
  <si>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</si>
  <si>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</si>
  <si>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</si>
  <si>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</si>
  <si>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</si>
  <si>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</si>
  <si>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</si>
  <si>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</si>
  <si>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</si>
  <si>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</si>
  <si>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</si>
  <si>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</si>
  <si>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</si>
  <si>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</si>
  <si>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</si>
  <si>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</si>
  <si>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</si>
  <si>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</si>
  <si>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</si>
  <si>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</si>
  <si>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</si>
  <si>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</si>
  <si>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</si>
  <si>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</si>
  <si>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</si>
  <si>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</si>
  <si>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</si>
  <si>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</si>
  <si>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</si>
  <si>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</si>
  <si>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</si>
  <si>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</si>
  <si>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</si>
  <si>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</si>
  <si>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</si>
  <si>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</si>
  <si>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</si>
  <si>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</si>
  <si>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</si>
  <si>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</si>
  <si>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</si>
  <si>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</si>
  <si>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</si>
  <si>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</si>
  <si>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</si>
  <si>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</si>
  <si>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</si>
  <si>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</si>
  <si>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</si>
  <si>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</si>
  <si>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</si>
  <si>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</si>
  <si>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</si>
  <si>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</si>
  <si>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</si>
  <si>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</si>
  <si>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</si>
  <si>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</si>
  <si>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</si>
  <si>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</si>
  <si>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</si>
  <si>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</si>
  <si>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</si>
  <si>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</si>
  <si>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</si>
  <si>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</si>
  <si>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</si>
  <si>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</si>
  <si>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</si>
  <si>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</si>
  <si>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</si>
  <si>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</si>
  <si>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</si>
  <si>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</si>
  <si>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</si>
  <si>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</si>
  <si>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</si>
  <si>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</si>
  <si>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</si>
  <si>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</si>
  <si>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</si>
  <si>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</si>
  <si>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</si>
  <si>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</si>
  <si>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</si>
  <si>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</si>
  <si>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</si>
  <si>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</si>
  <si>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</si>
  <si>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</si>
  <si>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</si>
  <si>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</si>
  <si>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</si>
  <si>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</si>
  <si>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</si>
  <si>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</si>
  <si>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</si>
  <si>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</si>
  <si>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</si>
  <si>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</si>
  <si>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</si>
  <si>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</si>
  <si>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</si>
  <si>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</si>
  <si>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</si>
  <si>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</si>
  <si>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</si>
  <si>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</si>
  <si>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</si>
  <si>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</si>
  <si>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</si>
  <si>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</si>
  <si>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</si>
  <si>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</si>
  <si>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</si>
  <si>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</si>
  <si>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</si>
  <si>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</si>
  <si>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</si>
  <si>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</si>
  <si>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</si>
  <si>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</si>
  <si>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</si>
  <si>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</si>
  <si>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</si>
  <si>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</si>
  <si>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</si>
  <si>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</si>
  <si>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</si>
  <si>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</si>
  <si>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</si>
  <si>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</si>
  <si>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</si>
  <si>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</si>
  <si>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</si>
  <si>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</si>
  <si>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</si>
  <si>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</si>
  <si>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</si>
  <si>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</si>
  <si>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</si>
  <si>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</si>
  <si>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</si>
  <si>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</si>
  <si>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</si>
  <si>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</si>
  <si>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</si>
  <si>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</si>
  <si>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</si>
  <si>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</si>
  <si>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</si>
  <si>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</si>
  <si>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</si>
  <si>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</si>
  <si>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</si>
  <si>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</si>
  <si>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</si>
  <si>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</si>
  <si>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</si>
  <si>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</si>
  <si>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</si>
  <si>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</si>
  <si>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</si>
  <si>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</si>
  <si>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</si>
  <si>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</si>
  <si>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</si>
  <si>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</si>
  <si>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</si>
  <si>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</si>
  <si>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</si>
  <si>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</si>
  <si>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</si>
  <si>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</si>
  <si>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</si>
  <si>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</si>
  <si>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</si>
  <si>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</si>
  <si>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</si>
  <si>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</si>
  <si>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</si>
  <si>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</si>
  <si>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</si>
  <si>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</si>
  <si>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</si>
  <si>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</si>
  <si>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</si>
  <si>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</si>
  <si>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</si>
  <si>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</si>
  <si>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</si>
  <si>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</si>
  <si>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</si>
  <si>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</si>
  <si>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</si>
  <si>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</si>
  <si>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</si>
  <si>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</si>
  <si>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</si>
  <si>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</si>
  <si>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</si>
  <si>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</si>
  <si>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</si>
  <si>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</si>
  <si>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</si>
  <si>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</si>
  <si>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</si>
  <si>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</si>
  <si>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</si>
  <si>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</si>
  <si>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</si>
  <si>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</si>
  <si>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</si>
  <si>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</si>
  <si>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</si>
  <si>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</si>
  <si>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</si>
  <si>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</si>
  <si>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</si>
  <si>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</si>
  <si>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</si>
  <si>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</si>
  <si>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</si>
  <si>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</si>
  <si>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</si>
  <si>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</si>
  <si>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</si>
  <si>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</si>
  <si>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</si>
  <si>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</si>
  <si>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</si>
  <si>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</si>
  <si>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</si>
  <si>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</si>
  <si>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</si>
  <si>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</si>
  <si>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</si>
  <si>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</si>
  <si>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</si>
  <si>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</si>
  <si>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</si>
  <si>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</si>
  <si>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</si>
  <si>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</si>
  <si>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</si>
  <si>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</si>
  <si>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</si>
  <si>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</si>
  <si>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</si>
  <si>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</si>
  <si>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</si>
  <si>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</si>
  <si>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</si>
  <si>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</si>
  <si>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</si>
  <si>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</si>
  <si>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</si>
  <si>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</si>
  <si>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</si>
  <si>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</si>
  <si>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</si>
  <si>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</si>
  <si>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</si>
  <si>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</si>
  <si>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</si>
  <si>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</si>
  <si>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</si>
  <si>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</si>
  <si>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</si>
  <si>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</si>
  <si>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</si>
  <si>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</si>
  <si>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</si>
  <si>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</si>
  <si>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</si>
  <si>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</si>
  <si>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</si>
  <si>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</si>
  <si>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</si>
  <si>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</si>
  <si>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</si>
  <si>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</si>
  <si>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</si>
  <si>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</si>
  <si>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</si>
  <si>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</si>
  <si>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</si>
  <si>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</si>
  <si>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</si>
  <si>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</si>
  <si>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</si>
  <si>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</si>
  <si>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</si>
  <si>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</si>
  <si>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</si>
  <si>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</si>
  <si>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</si>
  <si>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</si>
  <si>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</si>
  <si>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</si>
  <si>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</si>
  <si>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</si>
  <si>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</si>
  <si>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</si>
  <si>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</si>
  <si>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</si>
  <si>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</si>
  <si>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</si>
  <si>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</si>
  <si>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</si>
  <si>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</si>
  <si>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</si>
  <si>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</si>
  <si>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</si>
  <si>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</si>
  <si>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</si>
  <si>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</si>
  <si>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</si>
  <si>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</si>
  <si>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</si>
  <si>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</si>
  <si>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</si>
  <si>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</si>
  <si>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</si>
  <si>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</si>
  <si>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</si>
  <si>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</si>
  <si>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</si>
  <si>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</si>
  <si>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</si>
  <si>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</si>
  <si>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</si>
  <si>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</si>
  <si>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</si>
  <si>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</si>
  <si>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</si>
  <si>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</si>
  <si>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</si>
  <si>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</si>
  <si>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</si>
  <si>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</si>
  <si>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</si>
  <si>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</si>
  <si>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</si>
  <si>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</si>
  <si>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</si>
  <si>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</si>
  <si>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</si>
  <si>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</si>
  <si>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</si>
  <si>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</si>
  <si>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</si>
  <si>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</si>
  <si>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</si>
  <si>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</si>
  <si>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</si>
  <si>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</si>
  <si>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</si>
  <si>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</si>
  <si>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</si>
  <si>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</si>
  <si>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</si>
  <si>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</si>
  <si>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</si>
  <si>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</si>
  <si>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</si>
  <si>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</si>
  <si>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</si>
  <si>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</si>
  <si>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</si>
  <si>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</si>
  <si>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</si>
  <si>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</si>
  <si>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</si>
  <si>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</si>
  <si>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</si>
  <si>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</si>
  <si>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</si>
  <si>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</si>
  <si>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</si>
  <si>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</si>
  <si>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</si>
  <si>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</si>
  <si>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</si>
  <si>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</si>
  <si>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</si>
  <si>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</si>
  <si>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</si>
  <si>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</si>
  <si>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</si>
  <si>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</si>
  <si>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</si>
  <si>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</si>
  <si>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</si>
  <si>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</si>
  <si>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</si>
  <si>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</si>
  <si>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</si>
  <si>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</si>
  <si>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</si>
  <si>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</si>
  <si>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</si>
  <si>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</si>
  <si>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</si>
  <si>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</si>
  <si>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</si>
  <si>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</si>
  <si>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</si>
  <si>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</si>
  <si>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</si>
  <si>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</si>
  <si>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</si>
  <si>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</si>
  <si>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</si>
  <si>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</si>
  <si>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</si>
  <si>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</si>
  <si>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</si>
  <si>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</si>
  <si>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</si>
  <si>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</si>
  <si>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</si>
  <si>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</si>
  <si>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</si>
  <si>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</si>
  <si>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</si>
  <si>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</si>
  <si>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</si>
  <si>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</si>
  <si>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</si>
  <si>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</si>
  <si>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</si>
  <si>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</si>
  <si>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</si>
  <si>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</si>
  <si>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</si>
  <si>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</si>
  <si>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</si>
  <si>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</si>
  <si>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</si>
  <si>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</si>
  <si>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</si>
  <si>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</si>
  <si>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</si>
  <si>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</si>
  <si>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</si>
  <si>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</si>
  <si>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</si>
  <si>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</si>
  <si>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</si>
  <si>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</si>
  <si>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</si>
  <si>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</si>
  <si>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</si>
  <si>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</si>
  <si>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</si>
  <si>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</si>
  <si>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</si>
  <si>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</si>
  <si>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</si>
  <si>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</si>
  <si>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</si>
  <si>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</si>
  <si>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</si>
  <si>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</si>
  <si>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</si>
  <si>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</si>
  <si>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</si>
  <si>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</si>
  <si>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</si>
  <si>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</si>
  <si>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</si>
  <si>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</si>
  <si>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</si>
  <si>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</si>
  <si>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</si>
  <si>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</si>
  <si>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</si>
  <si>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</si>
  <si>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</si>
  <si>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</si>
  <si>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</si>
  <si>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</si>
  <si>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</si>
  <si>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</si>
  <si>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</si>
  <si>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</si>
  <si>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</si>
  <si>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</si>
  <si>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</si>
  <si>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</si>
  <si>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</si>
  <si>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</si>
  <si>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</si>
  <si>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</si>
  <si>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</si>
  <si>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</si>
  <si>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</si>
  <si>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</si>
  <si>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</si>
  <si>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</si>
  <si>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</si>
  <si>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</si>
  <si>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</si>
  <si>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</si>
  <si>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</si>
  <si>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</si>
  <si>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</si>
  <si>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</si>
  <si>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</si>
  <si>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</si>
  <si>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</si>
  <si>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</si>
  <si>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</si>
  <si>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</si>
  <si>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</si>
  <si>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</si>
  <si>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</si>
  <si>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</si>
  <si>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</si>
  <si>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</si>
  <si>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</si>
  <si>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</si>
  <si>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</si>
  <si>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</si>
  <si>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</si>
  <si>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</si>
  <si>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</si>
  <si>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</si>
  <si>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</si>
  <si>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</si>
  <si>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</si>
  <si>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</si>
  <si>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</si>
  <si>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</si>
  <si>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</si>
  <si>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</si>
  <si>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</si>
  <si>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</si>
  <si>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</si>
  <si>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</si>
  <si>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</si>
  <si>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</si>
  <si>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</si>
  <si>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</si>
  <si>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</si>
  <si>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</si>
  <si>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</si>
  <si>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</si>
  <si>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</si>
  <si>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</si>
  <si>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</si>
  <si>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</si>
  <si>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</si>
  <si>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</si>
  <si>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</si>
  <si>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</si>
  <si>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</si>
  <si>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</si>
  <si>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</si>
  <si>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</si>
  <si>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</si>
  <si>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</si>
  <si>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</si>
  <si>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</si>
  <si>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</si>
  <si>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</si>
  <si>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</si>
  <si>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</si>
  <si>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</si>
  <si>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</si>
  <si>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</si>
  <si>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</si>
  <si>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</si>
  <si>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</si>
  <si>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</si>
  <si>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</si>
  <si>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</si>
  <si>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</si>
  <si>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</si>
  <si>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</si>
  <si>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</si>
  <si>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</si>
  <si>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</si>
  <si>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</si>
  <si>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</si>
  <si>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</si>
  <si>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</si>
  <si>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</si>
  <si>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</si>
  <si>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</si>
  <si>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</si>
  <si>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</si>
  <si>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</si>
  <si>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</si>
  <si>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</si>
  <si>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</si>
  <si>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</si>
  <si>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</si>
  <si>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</si>
  <si>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</si>
  <si>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</si>
  <si>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</si>
  <si>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</si>
  <si>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</si>
  <si>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</si>
  <si>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</si>
  <si>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</si>
  <si>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</si>
  <si>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</si>
  <si>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</si>
  <si>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</si>
  <si>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</si>
  <si>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Abode std.</t>
  </si>
  <si>
    <t xml:space="preserve">squeeze 2s down to 1s 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</si>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</sst>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5" fontId="55" fillId="17" borderId="0" xfId="0" applyNumberFormat="1" applyFont="1" applyFill="1" applyProtection="1">
      <protection locked="0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8" t="s">
        <v>1093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8"/>
      <c r="B13" s="1689" t="s">
        <v>13</v>
      </c>
      <c r="C13" s="1689"/>
      <c r="D13" s="1690">
        <f>'Construction Calculation'!C18</f>
        <v>0</v>
      </c>
      <c r="E13" s="700"/>
    </row>
    <row r="14" spans="1:5">
      <c r="A14" s="1691" t="s">
        <v>1097</v>
      </c>
      <c r="B14" s="1692"/>
      <c r="C14" s="1692"/>
      <c r="D14" s="1716" t="s">
        <v>1106</v>
      </c>
      <c r="E14" s="700"/>
    </row>
    <row r="15" spans="1:5">
      <c r="A15" s="1582" t="s">
        <v>1094</v>
      </c>
      <c r="B15" s="1679"/>
      <c r="C15" s="1686"/>
      <c r="D15" s="1680" cm="1">
        <f t="array" aca="1" ref="D15" ca="1">IF(D14="Year 7 Takeout", INDIRECT("GapCalc!K46"), INDIRECT("GapCalc!K58"))</f>
        <v>8.5239255512202253E-2</v>
      </c>
      <c r="E15" s="700"/>
    </row>
    <row r="16" spans="1:5">
      <c r="A16" s="1682" t="s">
        <v>1095</v>
      </c>
      <c r="B16" s="702"/>
      <c r="D16" s="1681" cm="1">
        <f t="array" aca="1" ref="D16" ca="1">IF(D14="Year 7 Takeout", INDIRECT("GapCalc!K51"), INDIRECT("GapCalc!K63"))</f>
        <v>8.5239255512202322E-2</v>
      </c>
      <c r="E16" s="700"/>
    </row>
    <row r="17" spans="1:6">
      <c r="A17" s="1687"/>
      <c r="B17" s="702"/>
      <c r="D17" s="1683"/>
      <c r="E17" s="1755" t="s">
        <v>962</v>
      </c>
    </row>
    <row r="18" spans="1:6">
      <c r="A18" s="1684" t="s">
        <v>1096</v>
      </c>
      <c r="B18" s="47"/>
      <c r="C18" s="47"/>
      <c r="D18" s="1685" cm="1">
        <f t="array" aca="1" ref="D18" ca="1">IF(D14="Year 7 Takeout", INDIRECT("GapCalc!I55"), INDIRECT("GapCalc!I67"))</f>
        <v>-383045.70457542315</v>
      </c>
      <c r="E18" s="1756">
        <f ca="1">-D18/D28</f>
        <v>7.1828252433135155E-3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40757982.187500007</v>
      </c>
      <c r="E22" s="1531">
        <f t="shared" ref="E22:E28" si="0">D22/$D$10</f>
        <v>403544.37809405947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3116634.8969793469</v>
      </c>
      <c r="E25" s="1531">
        <f t="shared" si="0"/>
        <v>30857.771257221255</v>
      </c>
    </row>
    <row r="26" spans="1:6">
      <c r="A26" s="64"/>
      <c r="B26" s="4" t="s">
        <v>20</v>
      </c>
      <c r="C26" s="4"/>
      <c r="D26" s="1531">
        <f>'Development Budget'!G181</f>
        <v>2758955.2333970247</v>
      </c>
      <c r="E26" s="1531">
        <f t="shared" si="0"/>
        <v>27316.388449475493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-3386641.3178763762</v>
      </c>
      <c r="E27" s="1532">
        <f t="shared" si="0"/>
        <v>-33531.102157191846</v>
      </c>
    </row>
    <row r="28" spans="1:6" ht="16.5" thickTop="1">
      <c r="A28" s="4"/>
      <c r="B28" s="4"/>
      <c r="C28" s="150" t="s">
        <v>14</v>
      </c>
      <c r="D28" s="1533">
        <f>SUM(D21:D27)</f>
        <v>53328000</v>
      </c>
      <c r="E28" s="1531">
        <f t="shared" si="0"/>
        <v>528000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34663200</v>
      </c>
      <c r="E32" s="1586">
        <f t="shared" si="1"/>
        <v>343200</v>
      </c>
    </row>
    <row r="33" spans="1:5">
      <c r="A33" s="64"/>
      <c r="B33" s="4" t="s">
        <v>1054</v>
      </c>
      <c r="C33" s="4"/>
      <c r="D33" s="1587">
        <f>GapCalc!D29</f>
        <v>2810325</v>
      </c>
      <c r="E33" s="1586">
        <f>D33/$D$10</f>
        <v>27825</v>
      </c>
    </row>
    <row r="34" spans="1:5">
      <c r="A34" s="65"/>
      <c r="B34" s="4" t="s">
        <v>26</v>
      </c>
      <c r="C34" s="4"/>
      <c r="D34" s="1587">
        <f>GapCalc!D30</f>
        <v>15925175.000000004</v>
      </c>
      <c r="E34" s="1586">
        <f>D34/$D$10</f>
        <v>157675.00000000003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53398700</v>
      </c>
      <c r="E36" s="1586">
        <f>D36/$D$10</f>
        <v>528700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1050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48417711.807493649</v>
      </c>
      <c r="E40" s="1586">
        <f t="shared" ref="E40" si="2">D40/$D$10</f>
        <v>479383.28522270941</v>
      </c>
    </row>
    <row r="41" spans="1:5">
      <c r="A41" s="60"/>
      <c r="B41" s="4" t="s">
        <v>1054</v>
      </c>
      <c r="C41" s="4"/>
      <c r="D41" s="1591">
        <f>GapCalc!D29+GapCalc!D38</f>
        <v>2810325</v>
      </c>
      <c r="E41" s="1586">
        <f>D41/$D$10</f>
        <v>27825</v>
      </c>
    </row>
    <row r="42" spans="1:5">
      <c r="A42" s="60"/>
      <c r="B42" s="1557" t="s">
        <v>26</v>
      </c>
      <c r="C42" s="4"/>
      <c r="D42" s="1592">
        <f>GapCalc!D30+GapCalc!D39</f>
        <v>15925175.000000004</v>
      </c>
      <c r="E42" s="1586">
        <f>D42/$D$10</f>
        <v>157675.00000000003</v>
      </c>
    </row>
    <row r="43" spans="1:5">
      <c r="A43" s="60"/>
      <c r="B43" s="1715" t="s">
        <v>1105</v>
      </c>
      <c r="C43" s="4"/>
      <c r="D43" s="1592">
        <f>IF(D32-D40&gt;0,0,D32-D40)</f>
        <v>-13754511.807493649</v>
      </c>
      <c r="E43" s="1586">
        <f>D43/$D$10</f>
        <v>-136183.28522270941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6" t="s">
        <v>33</v>
      </c>
      <c r="D45" s="1677">
        <f>SUM(D39:D44)</f>
        <v>53398700.000000007</v>
      </c>
      <c r="E45" s="1588">
        <f>D45/$D$10</f>
        <v>528700.00000000012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abSelected="1" topLeftCell="A26" zoomScaleNormal="100" workbookViewId="0">
      <selection activeCell="K38" sqref="K38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40757982.187500007</v>
      </c>
      <c r="E18" s="1531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3116634.8969793469</v>
      </c>
      <c r="E21" s="1531">
        <f t="shared" si="0"/>
        <v>30857.771257221255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2758955.2333970247</v>
      </c>
      <c r="E22" s="1531">
        <f t="shared" si="0"/>
        <v>27316.388449475493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-3386641.3178763762</v>
      </c>
      <c r="E23" s="1532">
        <f t="shared" si="0"/>
        <v>-33531.102157191846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53328000</v>
      </c>
      <c r="E24" s="1531">
        <f t="shared" si="0"/>
        <v>528000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1053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34663200</v>
      </c>
      <c r="E28" s="1586">
        <f t="shared" si="1"/>
        <v>343200</v>
      </c>
      <c r="F28" s="62"/>
      <c r="G28" s="1419" t="s">
        <v>609</v>
      </c>
      <c r="H28" s="1608">
        <f>H32/D11</f>
        <v>27825</v>
      </c>
      <c r="I28" s="703"/>
    </row>
    <row r="29" spans="1:10" ht="15.75">
      <c r="A29" s="64"/>
      <c r="B29" s="4" t="s">
        <v>1054</v>
      </c>
      <c r="C29" s="4"/>
      <c r="D29" s="1587">
        <v>2810325</v>
      </c>
      <c r="E29" s="1586">
        <f>D29/$D$11</f>
        <v>27825</v>
      </c>
      <c r="F29" s="520"/>
      <c r="G29" s="1420" t="s">
        <v>972</v>
      </c>
      <c r="H29" s="1609">
        <f>H33/D11</f>
        <v>157675.00000000003</v>
      </c>
      <c r="I29" s="703"/>
    </row>
    <row r="30" spans="1:10" ht="16.5" thickBot="1">
      <c r="A30" s="65"/>
      <c r="B30" s="4" t="s">
        <v>26</v>
      </c>
      <c r="C30" s="4"/>
      <c r="D30" s="1587">
        <v>15925175.000000004</v>
      </c>
      <c r="E30" s="1586">
        <f>D30/$D$11</f>
        <v>157675.00000000003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70700</v>
      </c>
      <c r="E32" s="1588">
        <f>D32/$D$11</f>
        <v>700</v>
      </c>
      <c r="F32" s="62"/>
      <c r="G32" s="1339" t="s">
        <v>609</v>
      </c>
      <c r="H32" s="1611">
        <f>D29+D38</f>
        <v>2810325</v>
      </c>
      <c r="I32" s="1346">
        <f>H32/H34</f>
        <v>0.14999999999999997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53398700</v>
      </c>
      <c r="E33" s="1586">
        <f>D33/$D$11</f>
        <v>528700</v>
      </c>
      <c r="F33" s="62"/>
      <c r="G33" s="1441" t="s">
        <v>972</v>
      </c>
      <c r="H33" s="1611">
        <f>D30+D39</f>
        <v>15925175.000000004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18735500.000000004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1050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0.35132575757575762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48417711.807493649</v>
      </c>
      <c r="E37" s="1586">
        <f t="shared" ref="E37" si="2">D37/$D$11</f>
        <v>479383.28522270941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1054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-10605</v>
      </c>
      <c r="I39" s="1596">
        <f>D29+H39</f>
        <v>2799720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-60095</v>
      </c>
      <c r="I40" s="1597">
        <f>D30+H40</f>
        <v>15865080.000000004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13754511.807493649</v>
      </c>
      <c r="E41" s="1588">
        <f>D41/$D$11</f>
        <v>136183.28522270941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48417711.807493649</v>
      </c>
      <c r="E42" s="1586">
        <f>D42/$D$11</f>
        <v>479383.28522270941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-2063176.7711240472</v>
      </c>
      <c r="I43" s="1596">
        <f>D38+H43</f>
        <v>-2063176.7711240472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-11691335.036369601</v>
      </c>
      <c r="I44" s="1596">
        <f>D39+H44</f>
        <v>-11691335.036369601</v>
      </c>
      <c r="J44" s="690"/>
    </row>
    <row r="45" spans="1:12" ht="15.75">
      <c r="A45" s="60"/>
      <c r="D45" s="159"/>
      <c r="E45" s="159"/>
      <c r="G45" s="4"/>
      <c r="H45" s="1706" t="s">
        <v>1098</v>
      </c>
      <c r="I45" s="1710"/>
      <c r="J45" s="1708"/>
      <c r="K45" s="1707"/>
      <c r="L45" s="1696"/>
    </row>
    <row r="46" spans="1:12" ht="15.75">
      <c r="A46" s="60"/>
      <c r="D46" s="1444"/>
      <c r="E46" s="1444"/>
      <c r="G46" s="690"/>
      <c r="H46" s="1572" t="s">
        <v>1064</v>
      </c>
      <c r="I46" s="1600">
        <f>'Cash Flow'!C66</f>
        <v>15599586.151110893</v>
      </c>
      <c r="J46" s="1582" t="s">
        <v>1086</v>
      </c>
      <c r="K46" s="1583">
        <f>'Cash Flow'!C76</f>
        <v>8.5239255512202253E-2</v>
      </c>
      <c r="L46" s="1697"/>
    </row>
    <row r="47" spans="1:12" ht="16.5" thickBot="1">
      <c r="A47" s="696"/>
      <c r="C47" s="1443"/>
      <c r="D47" s="690"/>
      <c r="E47" s="690"/>
      <c r="G47" s="690"/>
      <c r="H47" s="1573" t="s">
        <v>1065</v>
      </c>
      <c r="I47" s="1601">
        <f>'Cash Flow'!C80</f>
        <v>10712249.377960339</v>
      </c>
      <c r="J47" s="1584" t="s">
        <v>1101</v>
      </c>
      <c r="K47" s="1607">
        <f>'Cash Flow'!C70</f>
        <v>25427325.426310755</v>
      </c>
      <c r="L47" s="1697"/>
    </row>
    <row r="48" spans="1:12" ht="15.75" thickTop="1">
      <c r="A48" s="6"/>
      <c r="B48" s="696"/>
      <c r="C48" s="696"/>
      <c r="D48" s="690"/>
      <c r="E48" s="690"/>
      <c r="H48" s="1570" t="s">
        <v>1062</v>
      </c>
      <c r="I48" s="1602">
        <f>I46-H33</f>
        <v>-325588.84888911061</v>
      </c>
      <c r="J48" s="1698"/>
      <c r="K48" s="1699"/>
      <c r="L48" s="1697"/>
    </row>
    <row r="49" spans="1:12" ht="15.75">
      <c r="A49" s="696"/>
      <c r="B49" s="696"/>
      <c r="C49" s="696"/>
      <c r="D49" s="690"/>
      <c r="E49" s="690"/>
      <c r="F49" s="68"/>
      <c r="H49" s="1700"/>
      <c r="I49" s="1603"/>
      <c r="J49" s="707"/>
      <c r="K49" s="1699"/>
      <c r="L49" s="1697"/>
    </row>
    <row r="50" spans="1:12">
      <c r="A50" s="696"/>
      <c r="B50" s="696"/>
      <c r="C50" s="696"/>
      <c r="D50" s="690"/>
      <c r="E50" s="690"/>
      <c r="F50" s="692"/>
      <c r="H50" s="1700"/>
      <c r="I50" s="1699"/>
      <c r="J50" s="707"/>
      <c r="K50" s="1699"/>
      <c r="L50" s="1697"/>
    </row>
    <row r="51" spans="1:12">
      <c r="A51" s="6"/>
      <c r="B51" s="696"/>
      <c r="C51" s="696"/>
      <c r="D51" s="690"/>
      <c r="E51" s="690"/>
      <c r="F51" s="692"/>
      <c r="H51" s="1574" t="s">
        <v>1073</v>
      </c>
      <c r="I51" s="1604">
        <f>'Cash Flow'!H66</f>
        <v>2752868.1443136875</v>
      </c>
      <c r="J51" s="1585" t="s">
        <v>1086</v>
      </c>
      <c r="K51" s="1618">
        <f>'Cash Flow'!H76</f>
        <v>8.5239255512202322E-2</v>
      </c>
      <c r="L51" s="1697"/>
    </row>
    <row r="52" spans="1:12" ht="15.75" thickBot="1">
      <c r="A52" s="696"/>
      <c r="B52" s="696"/>
      <c r="C52" s="696"/>
      <c r="D52" s="690"/>
      <c r="E52" s="690"/>
      <c r="F52" s="708"/>
      <c r="H52" s="1576" t="s">
        <v>1074</v>
      </c>
      <c r="I52" s="1605">
        <f>H32</f>
        <v>2810325</v>
      </c>
      <c r="J52" s="1584" t="s">
        <v>1100</v>
      </c>
      <c r="K52" s="1607">
        <f>'Cash Flow'!H70</f>
        <v>4487175.07523131</v>
      </c>
      <c r="L52" s="1697"/>
    </row>
    <row r="53" spans="1:12" ht="15.75" thickTop="1">
      <c r="A53" s="696"/>
      <c r="B53" s="696"/>
      <c r="C53" s="696"/>
      <c r="D53" s="690"/>
      <c r="E53" s="690"/>
      <c r="F53" s="708"/>
      <c r="H53" s="1575" t="s">
        <v>1062</v>
      </c>
      <c r="I53" s="1606">
        <f>I51-I52</f>
        <v>-57456.855686312541</v>
      </c>
      <c r="J53" s="690"/>
      <c r="L53" s="1697"/>
    </row>
    <row r="54" spans="1:12">
      <c r="A54" s="696"/>
      <c r="B54" s="696"/>
      <c r="C54" s="696"/>
      <c r="D54" s="690"/>
      <c r="E54" s="690"/>
      <c r="F54" s="692"/>
      <c r="H54" s="1700"/>
      <c r="I54" s="1699"/>
      <c r="J54" s="690"/>
      <c r="L54" s="1697"/>
    </row>
    <row r="55" spans="1:12">
      <c r="A55" s="696"/>
      <c r="B55" s="690"/>
      <c r="C55" s="690"/>
      <c r="D55" s="690"/>
      <c r="E55" s="690"/>
      <c r="F55" s="690"/>
      <c r="H55" s="1711" t="s">
        <v>1078</v>
      </c>
      <c r="I55" s="1712">
        <f>I48+I53</f>
        <v>-383045.70457542315</v>
      </c>
      <c r="J55" s="1713"/>
      <c r="K55" s="1704"/>
      <c r="L55" s="170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6" t="s">
        <v>1099</v>
      </c>
      <c r="I57" s="1707"/>
      <c r="J57" s="1708"/>
      <c r="K57" s="1707"/>
      <c r="L57" s="1709"/>
    </row>
    <row r="58" spans="1:12" ht="15.75">
      <c r="A58" s="696"/>
      <c r="B58" s="696"/>
      <c r="C58" s="696"/>
      <c r="D58" s="690"/>
      <c r="E58" s="690"/>
      <c r="F58" s="692"/>
      <c r="H58" s="1572" t="s">
        <v>1064</v>
      </c>
      <c r="I58" s="1600">
        <f>'Cash Flow'!C93</f>
        <v>22282027.730455119</v>
      </c>
      <c r="J58" s="1582" t="s">
        <v>1086</v>
      </c>
      <c r="K58" s="1583">
        <f>'Cash Flow'!C103</f>
        <v>0.12806471640432104</v>
      </c>
      <c r="L58" s="1697"/>
    </row>
    <row r="59" spans="1:12" ht="16.5" thickBot="1">
      <c r="A59" s="696"/>
      <c r="B59" s="696"/>
      <c r="C59" s="696"/>
      <c r="D59" s="690"/>
      <c r="E59" s="690"/>
      <c r="F59" s="692"/>
      <c r="H59" s="1573" t="s">
        <v>1065</v>
      </c>
      <c r="I59" s="1601">
        <f>'Cash Flow'!C92</f>
        <v>0</v>
      </c>
      <c r="J59" s="1584" t="s">
        <v>1100</v>
      </c>
      <c r="K59" s="1607">
        <f>'Cash Flow'!C97</f>
        <v>36319705.200641841</v>
      </c>
      <c r="L59" s="169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1062</v>
      </c>
      <c r="I60" s="1602">
        <f>I58-H33</f>
        <v>6356852.7304551154</v>
      </c>
      <c r="J60" s="1698"/>
      <c r="K60" s="1699"/>
      <c r="L60" s="1697"/>
    </row>
    <row r="61" spans="1:12">
      <c r="A61" s="696"/>
      <c r="B61" s="696"/>
      <c r="C61" s="696"/>
      <c r="D61" s="690"/>
      <c r="E61" s="690"/>
      <c r="F61" s="709"/>
      <c r="G61" s="703"/>
      <c r="H61" s="1700"/>
      <c r="I61" s="1603"/>
      <c r="J61" s="707"/>
      <c r="K61" s="1699"/>
      <c r="L61" s="1697"/>
    </row>
    <row r="62" spans="1:12">
      <c r="A62" s="696"/>
      <c r="B62" s="696"/>
      <c r="C62" s="696"/>
      <c r="D62" s="690"/>
      <c r="E62" s="690"/>
      <c r="F62" s="692"/>
      <c r="G62" s="703"/>
      <c r="H62" s="1700"/>
      <c r="I62" s="1699"/>
      <c r="J62" s="707"/>
      <c r="K62" s="1699"/>
      <c r="L62" s="1697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1073</v>
      </c>
      <c r="I63" s="1604">
        <f>'Cash Flow'!H93</f>
        <v>3082866.0192146292</v>
      </c>
      <c r="J63" s="1585" t="s">
        <v>1086</v>
      </c>
      <c r="K63" s="1618">
        <f>'Cash Flow'!H103</f>
        <v>7.8807490639689198E-2</v>
      </c>
      <c r="L63" s="169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1074</v>
      </c>
      <c r="I64" s="1605">
        <f>H32</f>
        <v>2810325</v>
      </c>
      <c r="J64" s="1584" t="s">
        <v>1100</v>
      </c>
      <c r="K64" s="1607">
        <f>'Cash Flow'!H97</f>
        <v>5025071.6113198455</v>
      </c>
      <c r="L64" s="169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1062</v>
      </c>
      <c r="I65" s="1606">
        <f>I63-I64</f>
        <v>272541.0192146292</v>
      </c>
      <c r="J65" s="690"/>
      <c r="L65" s="1697"/>
    </row>
    <row r="66" spans="1:14">
      <c r="A66" s="696"/>
      <c r="B66" s="696"/>
      <c r="C66" s="696"/>
      <c r="D66" s="690"/>
      <c r="E66" s="690"/>
      <c r="F66" s="692"/>
      <c r="G66" s="703"/>
      <c r="H66" s="1700"/>
      <c r="I66" s="1699"/>
      <c r="J66" s="690"/>
      <c r="L66" s="1697"/>
    </row>
    <row r="67" spans="1:14">
      <c r="A67" s="6"/>
      <c r="B67" s="696"/>
      <c r="C67" s="696"/>
      <c r="D67" s="690"/>
      <c r="E67" s="690"/>
      <c r="F67" s="692"/>
      <c r="G67" s="703"/>
      <c r="H67" s="1701" t="s">
        <v>1078</v>
      </c>
      <c r="I67" s="1702">
        <f>I60+I65</f>
        <v>6629393.7496697446</v>
      </c>
      <c r="J67" s="690"/>
      <c r="L67" s="1697"/>
    </row>
    <row r="68" spans="1:14">
      <c r="A68" s="696"/>
      <c r="B68" s="696"/>
      <c r="C68" s="696"/>
      <c r="D68" s="690"/>
      <c r="E68" s="690"/>
      <c r="F68" s="709"/>
      <c r="G68" s="703"/>
      <c r="H68" s="1703"/>
      <c r="I68" s="1704"/>
      <c r="J68" s="1704"/>
      <c r="K68" s="1704"/>
      <c r="L68" s="170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4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45" zoomScale="130" zoomScaleNormal="130" workbookViewId="0">
      <selection activeCell="E118" sqref="E118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1085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1107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 t="s">
        <v>1039</v>
      </c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 t="s">
        <v>44</v>
      </c>
      <c r="Q24" s="201" t="s">
        <v>45</v>
      </c>
      <c r="R24" s="521" t="s">
        <v>46</v>
      </c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 t="s">
        <v>52</v>
      </c>
      <c r="Q25" s="201"/>
      <c r="R25" s="521">
        <v>0.17</v>
      </c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 t="s">
        <v>53</v>
      </c>
      <c r="Q26" s="201">
        <v>72</v>
      </c>
      <c r="R26" s="521">
        <v>0.16</v>
      </c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 t="s">
        <v>55</v>
      </c>
      <c r="Q27" s="201">
        <v>74</v>
      </c>
      <c r="R27" s="521">
        <v>0.4</v>
      </c>
      <c r="S27" s="201" t="s">
        <v>1040</v>
      </c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 t="s">
        <v>56</v>
      </c>
      <c r="Q28" s="201">
        <v>20</v>
      </c>
      <c r="R28" s="521">
        <v>0.25</v>
      </c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M34" s="201">
        <f>100*0.2</f>
        <v>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>
        <f>E41/$E$46</f>
        <v>0.5</v>
      </c>
      <c r="M41" s="1636">
        <f>$M$34*L41</f>
        <v>10</v>
      </c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>
        <f t="shared" ref="L42:L43" si="1">E42/$E$46</f>
        <v>0.25</v>
      </c>
      <c r="M42" s="1636">
        <f t="shared" ref="M42:M43" si="2">$M$34*L42</f>
        <v>5</v>
      </c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>
        <f t="shared" si="1"/>
        <v>0.25</v>
      </c>
      <c r="M43" s="1636">
        <f t="shared" si="2"/>
        <v>5</v>
      </c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N46" s="201">
        <f>100-20</f>
        <v>80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645">
        <v>2400</v>
      </c>
      <c r="J50" s="284">
        <f>D50*E50</f>
        <v>4800</v>
      </c>
      <c r="K50" s="292">
        <f>E50*I50</f>
        <v>28800</v>
      </c>
      <c r="L50" s="1693">
        <f>I50/D50</f>
        <v>6</v>
      </c>
      <c r="M50" s="1636">
        <f>E50/$E$55</f>
        <v>0.15</v>
      </c>
      <c r="N50" s="1636">
        <f>$N$46*M50</f>
        <v>12</v>
      </c>
      <c r="O50" s="169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8040</v>
      </c>
      <c r="K51" s="292">
        <f>E51*I51</f>
        <v>37440</v>
      </c>
      <c r="L51" s="1693">
        <f t="shared" ref="L51:L53" si="3">I51/D51</f>
        <v>4.6567164179104479</v>
      </c>
      <c r="M51" s="1636">
        <f>E51/$E$55</f>
        <v>0.15</v>
      </c>
      <c r="N51" s="1636">
        <f t="shared" ref="N51:N52" si="4">$N$46*M51</f>
        <v>12</v>
      </c>
      <c r="O51" s="1694"/>
      <c r="Q51" s="169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645">
        <v>4540</v>
      </c>
      <c r="J52" s="284">
        <f>D52*E52</f>
        <v>56000</v>
      </c>
      <c r="K52" s="292">
        <f>E52*I52</f>
        <v>254240</v>
      </c>
      <c r="L52" s="1693">
        <f t="shared" si="3"/>
        <v>4.54</v>
      </c>
      <c r="M52" s="1636">
        <f t="shared" ref="M52" si="5">E52/$E$55</f>
        <v>0.7</v>
      </c>
      <c r="N52" s="1636">
        <f t="shared" si="4"/>
        <v>56</v>
      </c>
      <c r="O52" s="1694"/>
      <c r="Q52" s="169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45">
        <f>ROUND(G53-H53,0)</f>
        <v>4327</v>
      </c>
      <c r="J53" s="284">
        <f>D53*E53</f>
        <v>0</v>
      </c>
      <c r="K53" s="292">
        <f>E53*I53</f>
        <v>0</v>
      </c>
      <c r="L53" s="1693">
        <f t="shared" si="3"/>
        <v>3.5467213114754097</v>
      </c>
      <c r="O53" s="169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28" zoomScaleNormal="100" workbookViewId="0">
      <selection activeCell="I251" sqref="I2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13754511.807493649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7" t="s">
        <v>85</v>
      </c>
      <c r="G14" s="1758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4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5">
        <v>6565000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32486385.75</v>
      </c>
      <c r="H32" s="1039"/>
      <c r="I32" s="950">
        <f t="shared" si="0"/>
        <v>321647.38366336632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35735024.325000003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2897985.7500000005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3248638.5750000002</v>
      </c>
      <c r="G36" s="854">
        <f>F36</f>
        <v>3248638.5750000002</v>
      </c>
      <c r="H36" s="950"/>
      <c r="I36" s="950">
        <f t="shared" si="0"/>
        <v>32164.738366336634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2274047.0025000004</v>
      </c>
      <c r="H37" s="1072"/>
      <c r="I37" s="950">
        <f t="shared" si="0"/>
        <v>22515.316856435649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2274047.0025000004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1624319.2875000001</v>
      </c>
      <c r="H38" s="1072"/>
      <c r="I38" s="950">
        <f t="shared" si="0"/>
        <v>16082.369183168317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1624319.2875000001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487295.78625</v>
      </c>
      <c r="H40" s="1072"/>
      <c r="I40" s="950">
        <f t="shared" si="0"/>
        <v>4824.7107549504954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487295.78625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487295.78625</v>
      </c>
      <c r="H41" s="1072"/>
      <c r="I41" s="950">
        <f t="shared" si="0"/>
        <v>4824.7107549504954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487295.78625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40757982.187500007</v>
      </c>
      <c r="H44" s="1324"/>
      <c r="I44" s="1325">
        <f t="shared" si="0"/>
        <v>403544.37809405947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40757982.187500007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40757982.187500007</v>
      </c>
      <c r="H46" s="1333"/>
      <c r="I46" s="1325">
        <f t="shared" si="0"/>
        <v>403544.37809405947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40757982.187500007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4075798.2187500009</v>
      </c>
      <c r="H47" s="1039"/>
      <c r="I47" s="950">
        <f t="shared" si="0"/>
        <v>40354.43780940595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4075798.2187500009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1092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1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1144825.0445312499</v>
      </c>
      <c r="H59" s="1128"/>
      <c r="I59" s="950">
        <f t="shared" si="0"/>
        <v>11334.901431002474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101894.95546875002</v>
      </c>
      <c r="H67" s="1039"/>
      <c r="I67" s="950">
        <f t="shared" si="0"/>
        <v>1008.8609452351487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101894.95546875002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292894.95546875003</v>
      </c>
      <c r="H80" s="1101"/>
      <c r="I80" s="950">
        <f t="shared" si="0"/>
        <v>2899.9500541460397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292894.95546875003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3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3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3.5691362886288623E-2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187222.5339119393</v>
      </c>
      <c r="H102" s="1111"/>
      <c r="I102" s="950">
        <f t="shared" si="3"/>
        <v>1853.6884545736564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187222.5339119393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2">
        <v>0.05</v>
      </c>
      <c r="F103" s="1170">
        <f>E103*N103</f>
        <v>172222.5339119393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3444362.9103071224</v>
      </c>
      <c r="N103" s="1172">
        <v>3444450.6782387858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187222.5339119393</v>
      </c>
      <c r="H114" s="1101"/>
      <c r="I114" s="950">
        <f t="shared" si="3"/>
        <v>1853.6884545736564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187222.5339119393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1711591.0037297229</v>
      </c>
      <c r="H116" s="1177"/>
      <c r="I116" s="950">
        <f t="shared" si="3"/>
        <v>16946.445581482407</v>
      </c>
      <c r="J116" s="1178"/>
      <c r="K116" s="1179" t="s">
        <v>823</v>
      </c>
      <c r="L116" s="1073"/>
      <c r="M116" s="1180">
        <f>0.5*Data!C20*Data!C17/12*Data!C19</f>
        <v>1386528</v>
      </c>
      <c r="N116" s="1181">
        <v>1711591.0037297229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1711591.0037297229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427897.75093243073</v>
      </c>
      <c r="H117" s="1094"/>
      <c r="I117" s="950">
        <f t="shared" si="3"/>
        <v>4236.6113953706017</v>
      </c>
      <c r="J117" s="1015"/>
      <c r="K117" s="1184" t="s">
        <v>825</v>
      </c>
      <c r="L117" s="1185"/>
      <c r="M117" s="1186">
        <f>0.01*Data!C20</f>
        <v>346632</v>
      </c>
      <c r="N117" s="1172">
        <v>427897.75093243073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427897.75093243073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580710.28292732826</v>
      </c>
      <c r="H121" s="1117"/>
      <c r="I121" s="950">
        <f t="shared" si="3"/>
        <v>5749.6067616567152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580710.28292732826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580710.28292732826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74184.662639864604</v>
      </c>
      <c r="H125" s="1111"/>
      <c r="I125" s="950">
        <f t="shared" si="3"/>
        <v>734.50161029568915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74184.662639864604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64184.662639864604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51994.8</v>
      </c>
      <c r="N126" s="1172">
        <v>64184.662639864604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3006634.8969793469</v>
      </c>
      <c r="H148" s="1128"/>
      <c r="I148" s="950">
        <f t="shared" si="6"/>
        <v>29768.662346330166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3006634.8969793469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484177.1180749365</v>
      </c>
      <c r="H151" s="1093"/>
      <c r="I151" s="950">
        <f t="shared" ref="I151:I158" si="7">G151/$F$9</f>
        <v>4793.832852227094</v>
      </c>
      <c r="J151" s="1094"/>
      <c r="K151" s="1244" t="s">
        <v>863</v>
      </c>
      <c r="L151" s="1245"/>
      <c r="M151" s="1558">
        <f>Data!C31*Data!C30</f>
        <v>484177.1180749365</v>
      </c>
      <c r="N151" s="1345">
        <v>484177.1180749365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1059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1091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3119688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2758955.2333970247</v>
      </c>
      <c r="H178" s="1093"/>
      <c r="I178" s="950">
        <f t="shared" si="6"/>
        <v>27316.388449475493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2758955.2333970247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2758955.2333970247</v>
      </c>
      <c r="H181" s="1128"/>
      <c r="I181" s="950">
        <f t="shared" si="6"/>
        <v>27316.388449475493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2758955.2333970247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436140.33098785311</v>
      </c>
      <c r="H233" s="1111"/>
      <c r="I233" s="950">
        <f t="shared" si="8"/>
        <v>4318.221098889635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436140.33098785311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874890.33098785311</v>
      </c>
      <c r="H234" s="1282"/>
      <c r="I234" s="950">
        <f t="shared" si="8"/>
        <v>8662.2805048302289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874890.33098785311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I250*F9</f>
        <v>53328000</v>
      </c>
      <c r="H250" s="1298"/>
      <c r="I250" s="1299">
        <v>528000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1048</v>
      </c>
    </row>
    <row r="254" spans="2:28">
      <c r="G254" s="1528">
        <f>G250/'Construction Calculation'!C14</f>
        <v>540.69838179827229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1103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34663200</v>
      </c>
      <c r="D20" s="1375">
        <f>MIN(D22,GapCalc!D24)</f>
        <v>34663200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1041</v>
      </c>
      <c r="D22" s="1391">
        <f>C18*'Development Budget'!G250</f>
        <v>34663200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-2607455.2333970573</v>
      </c>
      <c r="E24" s="1384"/>
      <c r="G24" s="1377"/>
      <c r="H24" s="1385"/>
      <c r="K24" s="1425"/>
    </row>
    <row r="25" spans="1:13">
      <c r="A25" s="1371"/>
      <c r="B25" t="s">
        <v>1104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2607455.2333970247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49690548</v>
      </c>
      <c r="E28" s="1384"/>
      <c r="F28" t="s">
        <v>1049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48417711.807493649</v>
      </c>
      <c r="D30" s="1376">
        <f>-PV($C$24/12,$C$29*12,C27/12)</f>
        <v>48417711.807493649</v>
      </c>
      <c r="E30" s="1384"/>
      <c r="F30" t="s">
        <v>438</v>
      </c>
      <c r="G30" s="1381"/>
      <c r="H30" s="1376">
        <f>PV(G23,G29,-'Cash Flow'!E41*H28,)</f>
        <v>4203576.8462412609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1104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2607455.2333970247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1041</v>
      </c>
      <c r="E38" s="1391">
        <f>C37*GapCalc!D24</f>
        <v>42662400</v>
      </c>
    </row>
    <row r="39" spans="1:10">
      <c r="A39" s="1362"/>
      <c r="B39" t="s">
        <v>110</v>
      </c>
      <c r="C39" s="54">
        <f>C21</f>
        <v>0.01</v>
      </c>
      <c r="D39" t="s">
        <v>1055</v>
      </c>
      <c r="E39" s="1376">
        <f>PV($C$33/12,$C$34*12,-C36/12)</f>
        <v>42884198.910579488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4" t="s">
        <v>1102</v>
      </c>
      <c r="D19" s="88">
        <v>1.2500000000000001E-2</v>
      </c>
      <c r="E19" s="95">
        <f>IF(C19="Abatement", 0, -'Tax Calc'!B10)</f>
        <v>-375632.71992357017</v>
      </c>
      <c r="F19" s="89">
        <f>E19*(1+$D$19)</f>
        <v>-380328.12892261479</v>
      </c>
      <c r="G19" s="89">
        <f t="shared" ref="G19:AH19" si="6">F19*(1+$D$19)</f>
        <v>-385082.23053414747</v>
      </c>
      <c r="H19" s="89">
        <f t="shared" si="6"/>
        <v>-389895.75841582433</v>
      </c>
      <c r="I19" s="89">
        <f t="shared" si="6"/>
        <v>-394769.45539602212</v>
      </c>
      <c r="J19" s="89">
        <f t="shared" si="6"/>
        <v>-399704.07358847238</v>
      </c>
      <c r="K19" s="89">
        <f t="shared" si="6"/>
        <v>-404700.37450832827</v>
      </c>
      <c r="L19" s="89">
        <f t="shared" si="6"/>
        <v>-409759.12918968237</v>
      </c>
      <c r="M19" s="89">
        <f t="shared" si="6"/>
        <v>-414881.11830455338</v>
      </c>
      <c r="N19" s="89">
        <f t="shared" si="6"/>
        <v>-420067.13228336029</v>
      </c>
      <c r="O19" s="89">
        <f t="shared" si="6"/>
        <v>-425317.9714369023</v>
      </c>
      <c r="P19" s="89">
        <f t="shared" si="6"/>
        <v>-430634.44607986358</v>
      </c>
      <c r="Q19" s="89">
        <f t="shared" si="6"/>
        <v>-436017.37665586185</v>
      </c>
      <c r="R19" s="89">
        <f t="shared" si="6"/>
        <v>-441467.59386406012</v>
      </c>
      <c r="S19" s="90">
        <f t="shared" si="6"/>
        <v>-446985.93878736085</v>
      </c>
      <c r="T19" s="89">
        <f t="shared" si="6"/>
        <v>-452573.26302220282</v>
      </c>
      <c r="U19" s="89">
        <f t="shared" si="6"/>
        <v>-458230.42880998034</v>
      </c>
      <c r="V19" s="89">
        <f t="shared" si="6"/>
        <v>-463958.30917010509</v>
      </c>
      <c r="W19" s="89">
        <f t="shared" si="6"/>
        <v>-469757.78803473141</v>
      </c>
      <c r="X19" s="89">
        <f t="shared" si="6"/>
        <v>-475629.76038516551</v>
      </c>
      <c r="Y19" s="89">
        <f t="shared" si="6"/>
        <v>-481575.13238998008</v>
      </c>
      <c r="Z19" s="89">
        <f t="shared" si="6"/>
        <v>-487594.82154485479</v>
      </c>
      <c r="AA19" s="89">
        <f t="shared" si="6"/>
        <v>-493689.75681416545</v>
      </c>
      <c r="AB19" s="89">
        <f t="shared" si="6"/>
        <v>-499860.87877434248</v>
      </c>
      <c r="AC19" s="89">
        <f t="shared" si="6"/>
        <v>-506109.13975902175</v>
      </c>
      <c r="AD19" s="89">
        <f t="shared" si="6"/>
        <v>-512435.50400600949</v>
      </c>
      <c r="AE19" s="89">
        <f t="shared" si="6"/>
        <v>-518840.94780608459</v>
      </c>
      <c r="AF19" s="89">
        <f t="shared" si="6"/>
        <v>-525326.45965366066</v>
      </c>
      <c r="AG19" s="89">
        <f t="shared" si="6"/>
        <v>-531893.04039933137</v>
      </c>
      <c r="AH19" s="89">
        <f t="shared" si="6"/>
        <v>-538541.70340432297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3128946.2800764297</v>
      </c>
      <c r="F21" s="95">
        <f t="shared" si="8"/>
        <v>3206562.8460773849</v>
      </c>
      <c r="G21" s="95">
        <f t="shared" si="8"/>
        <v>3285966.4188408521</v>
      </c>
      <c r="H21" s="95">
        <f t="shared" si="8"/>
        <v>3367194.9836935499</v>
      </c>
      <c r="I21" s="95">
        <f t="shared" si="8"/>
        <v>3450287.2249435857</v>
      </c>
      <c r="J21" s="95">
        <f t="shared" si="8"/>
        <v>3535282.534375838</v>
      </c>
      <c r="K21" s="95">
        <f t="shared" si="8"/>
        <v>3622221.0196428704</v>
      </c>
      <c r="L21" s="95">
        <f t="shared" si="8"/>
        <v>3711143.5125376475</v>
      </c>
      <c r="M21" s="95">
        <f t="shared" si="8"/>
        <v>3802091.5771335941</v>
      </c>
      <c r="N21" s="95">
        <f t="shared" si="8"/>
        <v>3895107.5177767412</v>
      </c>
      <c r="O21" s="95">
        <f t="shared" si="8"/>
        <v>3990234.3869139631</v>
      </c>
      <c r="P21" s="95">
        <f t="shared" si="8"/>
        <v>4087515.992740409</v>
      </c>
      <c r="Q21" s="95">
        <f t="shared" si="8"/>
        <v>4186996.9066484263</v>
      </c>
      <c r="R21" s="95">
        <f t="shared" si="8"/>
        <v>4288722.470459315</v>
      </c>
      <c r="S21" s="96">
        <f t="shared" si="8"/>
        <v>4392738.8034183579</v>
      </c>
      <c r="T21" s="95">
        <f t="shared" si="8"/>
        <v>4499092.8089325149</v>
      </c>
      <c r="U21" s="95">
        <f t="shared" si="8"/>
        <v>4607832.1810292462</v>
      </c>
      <c r="V21" s="95">
        <f t="shared" si="8"/>
        <v>4719005.41051374</v>
      </c>
      <c r="W21" s="95">
        <f t="shared" si="8"/>
        <v>4832661.7908008024</v>
      </c>
      <c r="X21" s="95">
        <f t="shared" si="8"/>
        <v>4948851.4233964337</v>
      </c>
      <c r="Y21" s="95">
        <f t="shared" si="8"/>
        <v>5067625.2230029674</v>
      </c>
      <c r="Z21" s="95">
        <f t="shared" si="8"/>
        <v>5189034.922220313</v>
      </c>
      <c r="AA21" s="95">
        <f t="shared" si="8"/>
        <v>5313133.0758145871</v>
      </c>
      <c r="AB21" s="95">
        <f t="shared" si="8"/>
        <v>5439973.0645240163</v>
      </c>
      <c r="AC21" s="95">
        <f t="shared" si="8"/>
        <v>5569609.0983705679</v>
      </c>
      <c r="AD21" s="95">
        <f t="shared" si="8"/>
        <v>5702096.2194442991</v>
      </c>
      <c r="AE21" s="95">
        <f t="shared" si="8"/>
        <v>5837490.3041258221</v>
      </c>
      <c r="AF21" s="95">
        <f t="shared" si="8"/>
        <v>5975848.0647107232</v>
      </c>
      <c r="AG21" s="95">
        <f t="shared" si="8"/>
        <v>6117227.0503980378</v>
      </c>
      <c r="AH21" s="95">
        <f t="shared" si="8"/>
        <v>6261685.6476031905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-2607455.2333970247</v>
      </c>
      <c r="F22" s="95">
        <f t="shared" ref="F22:AH22" si="9">$E$22</f>
        <v>-2607455.2333970247</v>
      </c>
      <c r="G22" s="95">
        <f t="shared" si="9"/>
        <v>-2607455.2333970247</v>
      </c>
      <c r="H22" s="95">
        <f t="shared" si="9"/>
        <v>-2607455.2333970247</v>
      </c>
      <c r="I22" s="95">
        <f t="shared" si="9"/>
        <v>-2607455.2333970247</v>
      </c>
      <c r="J22" s="95">
        <f t="shared" si="9"/>
        <v>-2607455.2333970247</v>
      </c>
      <c r="K22" s="95">
        <f t="shared" si="9"/>
        <v>-2607455.2333970247</v>
      </c>
      <c r="L22" s="95">
        <f t="shared" si="9"/>
        <v>-2607455.2333970247</v>
      </c>
      <c r="M22" s="95">
        <f t="shared" si="9"/>
        <v>-2607455.2333970247</v>
      </c>
      <c r="N22" s="95">
        <f t="shared" si="9"/>
        <v>-2607455.2333970247</v>
      </c>
      <c r="O22" s="95">
        <f t="shared" si="9"/>
        <v>-2607455.2333970247</v>
      </c>
      <c r="P22" s="95">
        <f t="shared" si="9"/>
        <v>-2607455.2333970247</v>
      </c>
      <c r="Q22" s="95">
        <f t="shared" si="9"/>
        <v>-2607455.2333970247</v>
      </c>
      <c r="R22" s="95">
        <f t="shared" si="9"/>
        <v>-2607455.2333970247</v>
      </c>
      <c r="S22" s="96">
        <f t="shared" si="9"/>
        <v>-2607455.2333970247</v>
      </c>
      <c r="T22" s="95">
        <f t="shared" si="9"/>
        <v>-2607455.2333970247</v>
      </c>
      <c r="U22" s="95">
        <f t="shared" si="9"/>
        <v>-2607455.2333970247</v>
      </c>
      <c r="V22" s="95">
        <f t="shared" si="9"/>
        <v>-2607455.2333970247</v>
      </c>
      <c r="W22" s="95">
        <f t="shared" si="9"/>
        <v>-2607455.2333970247</v>
      </c>
      <c r="X22" s="95">
        <f t="shared" si="9"/>
        <v>-2607455.2333970247</v>
      </c>
      <c r="Y22" s="95">
        <f t="shared" si="9"/>
        <v>-2607455.2333970247</v>
      </c>
      <c r="Z22" s="95">
        <f t="shared" si="9"/>
        <v>-2607455.2333970247</v>
      </c>
      <c r="AA22" s="95">
        <f t="shared" si="9"/>
        <v>-2607455.2333970247</v>
      </c>
      <c r="AB22" s="95">
        <f t="shared" si="9"/>
        <v>-2607455.2333970247</v>
      </c>
      <c r="AC22" s="95">
        <f t="shared" si="9"/>
        <v>-2607455.2333970247</v>
      </c>
      <c r="AD22" s="95">
        <f t="shared" si="9"/>
        <v>-2607455.2333970247</v>
      </c>
      <c r="AE22" s="95">
        <f t="shared" si="9"/>
        <v>-2607455.2333970247</v>
      </c>
      <c r="AF22" s="95">
        <f t="shared" si="9"/>
        <v>-2607455.2333970247</v>
      </c>
      <c r="AG22" s="95">
        <f t="shared" si="9"/>
        <v>-2607455.2333970247</v>
      </c>
      <c r="AH22" s="95">
        <f t="shared" si="9"/>
        <v>-2607455.2333970247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521491.04667940503</v>
      </c>
      <c r="F25" s="119">
        <f t="shared" ref="F25:AH25" si="11">+F21+F22+F23</f>
        <v>599107.61268036021</v>
      </c>
      <c r="G25" s="119">
        <f t="shared" si="11"/>
        <v>678511.18544382742</v>
      </c>
      <c r="H25" s="119">
        <f t="shared" si="11"/>
        <v>759739.75029652519</v>
      </c>
      <c r="I25" s="119">
        <f t="shared" si="11"/>
        <v>842831.99154656101</v>
      </c>
      <c r="J25" s="119">
        <f t="shared" si="11"/>
        <v>927827.30097881332</v>
      </c>
      <c r="K25" s="119">
        <f t="shared" si="11"/>
        <v>1014765.7862458457</v>
      </c>
      <c r="L25" s="119">
        <f t="shared" si="11"/>
        <v>1103688.2791406228</v>
      </c>
      <c r="M25" s="119">
        <f t="shared" si="11"/>
        <v>1194636.3437365694</v>
      </c>
      <c r="N25" s="119">
        <f t="shared" si="11"/>
        <v>1287652.2843797165</v>
      </c>
      <c r="O25" s="119">
        <f t="shared" si="11"/>
        <v>1382779.1535169384</v>
      </c>
      <c r="P25" s="119">
        <f t="shared" si="11"/>
        <v>1480060.7593433843</v>
      </c>
      <c r="Q25" s="119">
        <f t="shared" si="11"/>
        <v>1579541.6732514016</v>
      </c>
      <c r="R25" s="119">
        <f t="shared" si="11"/>
        <v>1681267.2370622903</v>
      </c>
      <c r="S25" s="160">
        <f t="shared" si="11"/>
        <v>1785283.5700213332</v>
      </c>
      <c r="T25" s="119">
        <f t="shared" si="11"/>
        <v>1891637.5755354902</v>
      </c>
      <c r="U25" s="119">
        <f t="shared" si="11"/>
        <v>2000376.9476322215</v>
      </c>
      <c r="V25" s="119">
        <f t="shared" si="11"/>
        <v>2111550.1771167153</v>
      </c>
      <c r="W25" s="119">
        <f t="shared" si="11"/>
        <v>2225206.5574037777</v>
      </c>
      <c r="X25" s="119">
        <f t="shared" si="11"/>
        <v>2341396.189999409</v>
      </c>
      <c r="Y25" s="119">
        <f t="shared" si="11"/>
        <v>2460169.9896059427</v>
      </c>
      <c r="Z25" s="119">
        <f t="shared" si="11"/>
        <v>2581579.6888232883</v>
      </c>
      <c r="AA25" s="119">
        <f t="shared" si="11"/>
        <v>2705677.8424175624</v>
      </c>
      <c r="AB25" s="119">
        <f t="shared" si="11"/>
        <v>2832517.8311269917</v>
      </c>
      <c r="AC25" s="119">
        <f t="shared" si="11"/>
        <v>2962153.8649735432</v>
      </c>
      <c r="AD25" s="119">
        <f t="shared" si="11"/>
        <v>3094640.9860472744</v>
      </c>
      <c r="AE25" s="119">
        <f t="shared" si="11"/>
        <v>3230035.0707287975</v>
      </c>
      <c r="AF25" s="119">
        <f t="shared" si="11"/>
        <v>3368392.8313136986</v>
      </c>
      <c r="AG25" s="119">
        <f t="shared" si="11"/>
        <v>3509771.8170010131</v>
      </c>
      <c r="AH25" s="119">
        <f t="shared" si="11"/>
        <v>3654230.4142061658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1.2297671710742415</v>
      </c>
      <c r="G27" s="122">
        <f t="shared" si="12"/>
        <v>1.260219687284853</v>
      </c>
      <c r="H27" s="122">
        <f t="shared" si="12"/>
        <v>1.2913721166007237</v>
      </c>
      <c r="I27" s="122">
        <f t="shared" si="12"/>
        <v>1.3232392950610734</v>
      </c>
      <c r="J27" s="122">
        <f t="shared" si="12"/>
        <v>1.3558363300335663</v>
      </c>
      <c r="K27" s="122">
        <f t="shared" si="12"/>
        <v>1.3891786034323574</v>
      </c>
      <c r="L27" s="122">
        <f t="shared" si="12"/>
        <v>1.4232817748908095</v>
      </c>
      <c r="M27" s="122">
        <f t="shared" si="12"/>
        <v>1.4581617848833333</v>
      </c>
      <c r="N27" s="122">
        <f t="shared" si="12"/>
        <v>1.4938348577905007</v>
      </c>
      <c r="O27" s="122">
        <f t="shared" si="12"/>
        <v>1.5303175049012967</v>
      </c>
      <c r="P27" s="122">
        <f t="shared" si="12"/>
        <v>1.5676265273460297</v>
      </c>
      <c r="Q27" s="122">
        <f t="shared" si="12"/>
        <v>1.6057790189531098</v>
      </c>
      <c r="R27" s="122">
        <f t="shared" si="12"/>
        <v>1.644792369022541</v>
      </c>
      <c r="S27" s="161">
        <f t="shared" si="12"/>
        <v>1.6846842650086244</v>
      </c>
      <c r="T27" s="122">
        <f t="shared" si="12"/>
        <v>1.7254726951039698</v>
      </c>
      <c r="U27" s="122">
        <f t="shared" si="12"/>
        <v>1.7671759507165559</v>
      </c>
      <c r="V27" s="122">
        <f t="shared" si="12"/>
        <v>1.8098126288311236</v>
      </c>
      <c r="W27" s="122">
        <f t="shared" si="12"/>
        <v>1.8534016342457973</v>
      </c>
      <c r="X27" s="122">
        <f t="shared" si="12"/>
        <v>1.8979621816743559</v>
      </c>
      <c r="Y27" s="122">
        <f t="shared" si="12"/>
        <v>1.9435137977041328</v>
      </c>
      <c r="Z27" s="122">
        <f t="shared" si="12"/>
        <v>1.9900763225990172</v>
      </c>
      <c r="AA27" s="122">
        <f t="shared" si="12"/>
        <v>2.0376699119365407</v>
      </c>
      <c r="AB27" s="122">
        <f t="shared" si="12"/>
        <v>2.0863150380675002</v>
      </c>
      <c r="AC27" s="122">
        <f t="shared" si="12"/>
        <v>2.1360324913860218</v>
      </c>
      <c r="AD27" s="122">
        <f t="shared" si="12"/>
        <v>2.1868433813974009</v>
      </c>
      <c r="AE27" s="122">
        <f t="shared" si="12"/>
        <v>2.2387691375704533</v>
      </c>
      <c r="AF27" s="122">
        <f t="shared" si="12"/>
        <v>2.2918315099605047</v>
      </c>
      <c r="AG27" s="122">
        <f t="shared" si="12"/>
        <v>2.3460525695884868</v>
      </c>
      <c r="AH27" s="122">
        <f t="shared" si="12"/>
        <v>2.4014547085609554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521491.04667940503</v>
      </c>
      <c r="F41" s="129">
        <f t="shared" ref="F41:S41" si="20">F25+F37</f>
        <v>599107.61268036021</v>
      </c>
      <c r="G41" s="129">
        <f t="shared" si="20"/>
        <v>678511.18544382742</v>
      </c>
      <c r="H41" s="129">
        <f t="shared" si="20"/>
        <v>759739.75029652519</v>
      </c>
      <c r="I41" s="129">
        <f t="shared" si="20"/>
        <v>842831.99154656101</v>
      </c>
      <c r="J41" s="129">
        <f t="shared" si="20"/>
        <v>927827.30097881332</v>
      </c>
      <c r="K41" s="129">
        <f t="shared" si="20"/>
        <v>1014765.7862458457</v>
      </c>
      <c r="L41" s="129">
        <f t="shared" si="20"/>
        <v>1103688.2791406228</v>
      </c>
      <c r="M41" s="129">
        <f t="shared" si="20"/>
        <v>1194636.3437365694</v>
      </c>
      <c r="N41" s="129">
        <f t="shared" si="20"/>
        <v>1287652.2843797165</v>
      </c>
      <c r="O41" s="129">
        <f t="shared" si="20"/>
        <v>1382779.1535169384</v>
      </c>
      <c r="P41" s="129">
        <f t="shared" si="20"/>
        <v>1480060.7593433843</v>
      </c>
      <c r="Q41" s="129">
        <f t="shared" si="20"/>
        <v>1579541.6732514016</v>
      </c>
      <c r="R41" s="129">
        <f t="shared" si="20"/>
        <v>1681267.2370622903</v>
      </c>
      <c r="S41" s="130">
        <f t="shared" si="20"/>
        <v>1785283.5700213332</v>
      </c>
      <c r="T41" s="130">
        <f t="shared" ref="T41:AH41" si="21">T25+T37</f>
        <v>1891637.5755354902</v>
      </c>
      <c r="U41" s="130">
        <f t="shared" si="21"/>
        <v>2000376.9476322215</v>
      </c>
      <c r="V41" s="130">
        <f t="shared" si="21"/>
        <v>2111550.1771167153</v>
      </c>
      <c r="W41" s="130">
        <f t="shared" si="21"/>
        <v>2225206.5574037777</v>
      </c>
      <c r="X41" s="130">
        <f t="shared" si="21"/>
        <v>2341396.189999409</v>
      </c>
      <c r="Y41" s="130">
        <f t="shared" si="21"/>
        <v>2460169.9896059427</v>
      </c>
      <c r="Z41" s="130">
        <f t="shared" si="21"/>
        <v>2581579.6888232883</v>
      </c>
      <c r="AA41" s="130">
        <f t="shared" si="21"/>
        <v>2705677.8424175624</v>
      </c>
      <c r="AB41" s="130">
        <f t="shared" si="21"/>
        <v>2832517.8311269917</v>
      </c>
      <c r="AC41" s="130">
        <f t="shared" si="21"/>
        <v>2962153.8649735432</v>
      </c>
      <c r="AD41" s="130">
        <f t="shared" si="21"/>
        <v>3094640.9860472744</v>
      </c>
      <c r="AE41" s="130">
        <f t="shared" si="21"/>
        <v>3230035.0707287975</v>
      </c>
      <c r="AF41" s="130">
        <f t="shared" si="21"/>
        <v>3368392.8313136986</v>
      </c>
      <c r="AG41" s="130">
        <f t="shared" si="21"/>
        <v>3509771.8170010131</v>
      </c>
      <c r="AH41" s="130">
        <f t="shared" si="21"/>
        <v>3654230.4142061658</v>
      </c>
    </row>
    <row r="42" spans="1:34">
      <c r="A42" s="86"/>
      <c r="B42" s="110" t="s">
        <v>330</v>
      </c>
      <c r="C42" s="323">
        <f>GapCalc!I33</f>
        <v>0.85</v>
      </c>
      <c r="D42" s="131" t="s">
        <v>1051</v>
      </c>
      <c r="E42" s="129">
        <f>((E41*$C$42))</f>
        <v>443267.38967749424</v>
      </c>
      <c r="F42" s="129">
        <f t="shared" ref="F42:S42" si="22">((F41*$C$42))</f>
        <v>509241.47077830619</v>
      </c>
      <c r="G42" s="129">
        <f t="shared" si="22"/>
        <v>576734.5076272533</v>
      </c>
      <c r="H42" s="129">
        <f t="shared" si="22"/>
        <v>645778.78775204637</v>
      </c>
      <c r="I42" s="129">
        <f t="shared" si="22"/>
        <v>716407.19281457679</v>
      </c>
      <c r="J42" s="129">
        <f t="shared" si="22"/>
        <v>788653.20583199128</v>
      </c>
      <c r="K42" s="129">
        <f t="shared" si="22"/>
        <v>862550.91830896889</v>
      </c>
      <c r="L42" s="129">
        <f t="shared" si="22"/>
        <v>938135.03726952942</v>
      </c>
      <c r="M42" s="129">
        <f t="shared" si="22"/>
        <v>1015440.892176084</v>
      </c>
      <c r="N42" s="129">
        <f t="shared" si="22"/>
        <v>1094504.441722759</v>
      </c>
      <c r="O42" s="129">
        <f t="shared" si="22"/>
        <v>1175362.2804893977</v>
      </c>
      <c r="P42" s="129">
        <f t="shared" si="22"/>
        <v>1258051.6454418767</v>
      </c>
      <c r="Q42" s="129">
        <f t="shared" si="22"/>
        <v>1342610.4222636914</v>
      </c>
      <c r="R42" s="129">
        <f t="shared" si="22"/>
        <v>1429077.1515029466</v>
      </c>
      <c r="S42" s="129">
        <f t="shared" si="22"/>
        <v>1517491.0345181332</v>
      </c>
      <c r="T42" s="129">
        <f t="shared" ref="T42:AH42" si="23">((T41*$C$42))</f>
        <v>1607891.9392051667</v>
      </c>
      <c r="U42" s="129">
        <f t="shared" si="23"/>
        <v>1700320.4054873881</v>
      </c>
      <c r="V42" s="129">
        <f t="shared" si="23"/>
        <v>1794817.650549208</v>
      </c>
      <c r="W42" s="129">
        <f t="shared" si="23"/>
        <v>1891425.573793211</v>
      </c>
      <c r="X42" s="129">
        <f t="shared" si="23"/>
        <v>1990186.7614994976</v>
      </c>
      <c r="Y42" s="129">
        <f t="shared" si="23"/>
        <v>2091144.4911650512</v>
      </c>
      <c r="Z42" s="129">
        <f t="shared" si="23"/>
        <v>2194342.7354997951</v>
      </c>
      <c r="AA42" s="129">
        <f t="shared" si="23"/>
        <v>2299826.1660549277</v>
      </c>
      <c r="AB42" s="129">
        <f t="shared" si="23"/>
        <v>2407640.1564579429</v>
      </c>
      <c r="AC42" s="129">
        <f t="shared" si="23"/>
        <v>2517830.7852275115</v>
      </c>
      <c r="AD42" s="129">
        <f t="shared" si="23"/>
        <v>2630444.8381401831</v>
      </c>
      <c r="AE42" s="129">
        <f t="shared" si="23"/>
        <v>2745529.8101194776</v>
      </c>
      <c r="AF42" s="129">
        <f t="shared" si="23"/>
        <v>2863133.9066166435</v>
      </c>
      <c r="AG42" s="129">
        <f t="shared" si="23"/>
        <v>2983306.0444508609</v>
      </c>
      <c r="AH42" s="129">
        <f t="shared" si="23"/>
        <v>3106095.852075241</v>
      </c>
    </row>
    <row r="43" spans="1:34">
      <c r="A43" s="86"/>
      <c r="B43" s="132" t="s">
        <v>331</v>
      </c>
      <c r="C43" s="324">
        <f>GapCalc!I32</f>
        <v>0.14999999999999997</v>
      </c>
      <c r="D43" s="133" t="s">
        <v>1051</v>
      </c>
      <c r="E43" s="108">
        <f>$C$43*(E41)</f>
        <v>78223.657001910731</v>
      </c>
      <c r="F43" s="108">
        <f t="shared" ref="F43:S43" si="24">$C$43*(F41)</f>
        <v>89866.141902054005</v>
      </c>
      <c r="G43" s="108">
        <f t="shared" si="24"/>
        <v>101776.67781657408</v>
      </c>
      <c r="H43" s="108">
        <f t="shared" si="24"/>
        <v>113960.96254447875</v>
      </c>
      <c r="I43" s="108">
        <f t="shared" si="24"/>
        <v>126424.79873198412</v>
      </c>
      <c r="J43" s="108">
        <f t="shared" si="24"/>
        <v>139174.09514682196</v>
      </c>
      <c r="K43" s="108">
        <f t="shared" si="24"/>
        <v>152214.86793687684</v>
      </c>
      <c r="L43" s="108">
        <f t="shared" si="24"/>
        <v>165553.2418710934</v>
      </c>
      <c r="M43" s="108">
        <f t="shared" si="24"/>
        <v>179195.45156048538</v>
      </c>
      <c r="N43" s="108">
        <f t="shared" si="24"/>
        <v>193147.84265695742</v>
      </c>
      <c r="O43" s="108">
        <f t="shared" si="24"/>
        <v>207416.87302754071</v>
      </c>
      <c r="P43" s="108">
        <f t="shared" si="24"/>
        <v>222009.1139015076</v>
      </c>
      <c r="Q43" s="108">
        <f t="shared" si="24"/>
        <v>236931.2509877102</v>
      </c>
      <c r="R43" s="108">
        <f t="shared" si="24"/>
        <v>252190.08555934348</v>
      </c>
      <c r="S43" s="108">
        <f t="shared" si="24"/>
        <v>267792.53550319991</v>
      </c>
      <c r="T43" s="108">
        <f t="shared" ref="T43:AH43" si="25">$C$43*(T41)</f>
        <v>283745.63633032347</v>
      </c>
      <c r="U43" s="108">
        <f t="shared" si="25"/>
        <v>300056.54214483313</v>
      </c>
      <c r="V43" s="108">
        <f t="shared" si="25"/>
        <v>316732.52656750724</v>
      </c>
      <c r="W43" s="108">
        <f t="shared" si="25"/>
        <v>333780.98361056659</v>
      </c>
      <c r="X43" s="108">
        <f t="shared" si="25"/>
        <v>351209.42849991127</v>
      </c>
      <c r="Y43" s="108">
        <f t="shared" si="25"/>
        <v>369025.49844089133</v>
      </c>
      <c r="Z43" s="108">
        <f t="shared" si="25"/>
        <v>387236.95332349319</v>
      </c>
      <c r="AA43" s="108">
        <f t="shared" si="25"/>
        <v>405851.67636263429</v>
      </c>
      <c r="AB43" s="108">
        <f t="shared" si="25"/>
        <v>424877.67466904863</v>
      </c>
      <c r="AC43" s="108">
        <f t="shared" si="25"/>
        <v>444323.07974603138</v>
      </c>
      <c r="AD43" s="108">
        <f t="shared" si="25"/>
        <v>464196.14790709107</v>
      </c>
      <c r="AE43" s="108">
        <f t="shared" si="25"/>
        <v>484505.26060931949</v>
      </c>
      <c r="AF43" s="108">
        <f t="shared" si="25"/>
        <v>505258.92469705467</v>
      </c>
      <c r="AG43" s="108">
        <f t="shared" si="25"/>
        <v>526465.7725501518</v>
      </c>
      <c r="AH43" s="108">
        <f t="shared" si="25"/>
        <v>548134.56213092478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1052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3.2746330679531303E-2</v>
      </c>
      <c r="F47" s="142">
        <f>F41/GapCalc!$H$33</f>
        <v>3.7620158816487732E-2</v>
      </c>
      <c r="G47" s="142">
        <f>G41/GapCalc!$H$33</f>
        <v>4.2606199645770122E-2</v>
      </c>
      <c r="H47" s="142">
        <f>H41/GapCalc!$H$33</f>
        <v>4.7706838405011248E-2</v>
      </c>
      <c r="I47" s="142">
        <f>I41/GapCalc!$H$33</f>
        <v>5.2924504223442491E-2</v>
      </c>
      <c r="J47" s="142">
        <f>J41/GapCalc!$H$33</f>
        <v>5.8261670655349977E-2</v>
      </c>
      <c r="K47" s="142">
        <f>K41/GapCalc!$H$33</f>
        <v>6.3720856206970752E-2</v>
      </c>
      <c r="L47" s="142">
        <f>L41/GapCalc!$H$33</f>
        <v>6.930462485596689E-2</v>
      </c>
      <c r="M47" s="142">
        <f>M41/GapCalc!$H$33</f>
        <v>7.5015586562569583E-2</v>
      </c>
      <c r="N47" s="142">
        <f>N41/GapCalc!$H$33</f>
        <v>8.0856397771435246E-2</v>
      </c>
      <c r="O47" s="142">
        <f>O41/GapCalc!$H$33</f>
        <v>8.682976190320911E-2</v>
      </c>
      <c r="P47" s="142">
        <f>P41/GapCalc!$H$33</f>
        <v>9.2938429834735506E-2</v>
      </c>
      <c r="Q47" s="142">
        <f>Q41/GapCalc!$H$33</f>
        <v>9.918520036680295E-2</v>
      </c>
      <c r="R47" s="142">
        <f>R41/GapCalc!$H$33</f>
        <v>0.10557292067825251</v>
      </c>
      <c r="S47" s="142">
        <f>S41/GapCalc!$H$33</f>
        <v>0.11210448676522128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2.7834381077601604E-2</v>
      </c>
      <c r="F48" s="142">
        <f>F43/GapCalc!$H$32</f>
        <v>3.1977134994014576E-2</v>
      </c>
      <c r="G48" s="142">
        <f>G43/GapCalc!$H$32</f>
        <v>3.6215269698904602E-2</v>
      </c>
      <c r="H48" s="142">
        <f>H43/GapCalc!$H$32</f>
        <v>4.0550812644259561E-2</v>
      </c>
      <c r="I48" s="142">
        <f>I43/GapCalc!$H$32</f>
        <v>4.498582858992612E-2</v>
      </c>
      <c r="J48" s="142">
        <f>J43/GapCalc!$H$32</f>
        <v>4.9522420057047482E-2</v>
      </c>
      <c r="K48" s="142">
        <f>K43/GapCalc!$H$32</f>
        <v>5.4162727775925144E-2</v>
      </c>
      <c r="L48" s="142">
        <f>L43/GapCalc!$H$32</f>
        <v>5.8908931127571867E-2</v>
      </c>
      <c r="M48" s="142">
        <f>M43/GapCalc!$H$32</f>
        <v>6.3763248578184148E-2</v>
      </c>
      <c r="N48" s="142">
        <f>N43/GapCalc!$H$32</f>
        <v>6.8727938105719949E-2</v>
      </c>
      <c r="O48" s="142">
        <f>O43/GapCalc!$H$32</f>
        <v>7.3805297617727736E-2</v>
      </c>
      <c r="P48" s="142">
        <f>P43/GapCalc!$H$32</f>
        <v>7.8997665359525182E-2</v>
      </c>
      <c r="Q48" s="142">
        <f>Q43/GapCalc!$H$32</f>
        <v>8.4307420311782511E-2</v>
      </c>
      <c r="R48" s="142">
        <f>R43/GapCalc!$H$32</f>
        <v>8.9736982576514635E-2</v>
      </c>
      <c r="S48" s="142">
        <f>S43/GapCalc!$H$32</f>
        <v>9.5288813750438087E-2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1060</v>
      </c>
      <c r="G64" s="70" t="s">
        <v>1072</v>
      </c>
    </row>
    <row r="65" spans="2:10" ht="13.5" thickBot="1">
      <c r="B65" s="1518" t="s">
        <v>1042</v>
      </c>
      <c r="C65" s="1519"/>
      <c r="D65" s="1543"/>
      <c r="E65" s="70" t="s">
        <v>1058</v>
      </c>
      <c r="G65" s="1518" t="s">
        <v>1042</v>
      </c>
      <c r="H65" s="1519"/>
      <c r="I65" s="1543"/>
      <c r="J65" s="70" t="s">
        <v>1058</v>
      </c>
    </row>
    <row r="66" spans="2:10">
      <c r="B66" s="1520" t="s">
        <v>1056</v>
      </c>
      <c r="C66" s="1565">
        <f>C70/1.63</f>
        <v>15599586.151110893</v>
      </c>
      <c r="D66" s="1544"/>
      <c r="E66" s="1564" t="s">
        <v>285</v>
      </c>
      <c r="G66" s="1520" t="s">
        <v>1075</v>
      </c>
      <c r="H66" s="1565">
        <f>H70/1.63</f>
        <v>2752868.1443136875</v>
      </c>
      <c r="I66" s="1544"/>
      <c r="J66" s="1564" t="s">
        <v>285</v>
      </c>
    </row>
    <row r="67" spans="2:10" ht="15">
      <c r="B67" s="1521" t="s">
        <v>1057</v>
      </c>
      <c r="C67" s="1580">
        <f>SUMIFS(E42:AH42, E50:AH50, "&lt;=" &amp; VALUE(RIGHT(E66, LEN(E66)-FIND(" ", E66))))</f>
        <v>4542633.4727906371</v>
      </c>
      <c r="D67" s="1545" t="s">
        <v>68</v>
      </c>
      <c r="G67" s="1521" t="s">
        <v>1076</v>
      </c>
      <c r="H67" s="1560">
        <f>SUMIFS(E43:AH43, E50:AH50, "&lt;=" &amp; VALUE(RIGHT(E66, LEN(E66)-FIND(" ", E66))))</f>
        <v>801641.2010807005</v>
      </c>
      <c r="I67" s="1545" t="s">
        <v>68</v>
      </c>
    </row>
    <row r="68" spans="2:10">
      <c r="B68" s="1521" t="s">
        <v>1080</v>
      </c>
      <c r="C68" s="1568">
        <f>IF(GapCalc!D41*C42&lt; 0,0,GapCalc!D41*C42)</f>
        <v>11691335.036369601</v>
      </c>
      <c r="D68" s="1545" t="s">
        <v>68</v>
      </c>
      <c r="G68" s="1521" t="s">
        <v>1081</v>
      </c>
      <c r="H68" s="1568">
        <f>IF(GapCalc!D41*C43&lt; 0,0,GapCalc!D41*C43)</f>
        <v>2063176.771124047</v>
      </c>
      <c r="I68" s="1545" t="s">
        <v>68</v>
      </c>
    </row>
    <row r="69" spans="2:10">
      <c r="B69" s="1521" t="s">
        <v>1061</v>
      </c>
      <c r="C69" s="1568">
        <f>'Debt Calc'!E60</f>
        <v>9193356.9171505179</v>
      </c>
      <c r="D69" s="1546">
        <v>0.9</v>
      </c>
      <c r="G69" s="1521" t="s">
        <v>1077</v>
      </c>
      <c r="H69" s="1568">
        <f>'Debt Calc'!E59*C43</f>
        <v>1622357.1030265619</v>
      </c>
      <c r="I69" s="1546">
        <v>0.9</v>
      </c>
    </row>
    <row r="70" spans="2:10">
      <c r="B70" s="1523" t="s">
        <v>1044</v>
      </c>
      <c r="C70" s="1577">
        <f>C67+C68+C69</f>
        <v>25427325.426310755</v>
      </c>
      <c r="D70" s="1545" t="s">
        <v>68</v>
      </c>
      <c r="G70" s="1523" t="s">
        <v>1044</v>
      </c>
      <c r="H70" s="1577">
        <f>H67+H68+H69</f>
        <v>4487175.07523131</v>
      </c>
      <c r="I70" s="1545" t="s">
        <v>68</v>
      </c>
    </row>
    <row r="71" spans="2:10">
      <c r="B71" s="1523" t="s">
        <v>1045</v>
      </c>
      <c r="C71" s="1571">
        <f>C70/C66</f>
        <v>1.63</v>
      </c>
      <c r="D71" s="1547"/>
      <c r="G71" s="1523" t="s">
        <v>1045</v>
      </c>
      <c r="H71" s="1571">
        <f>H70/H66</f>
        <v>1.63</v>
      </c>
      <c r="I71" s="1547"/>
    </row>
    <row r="72" spans="2:10">
      <c r="B72" s="1521" t="s">
        <v>1046</v>
      </c>
      <c r="C72" s="1524">
        <f>(C70-C66)/C66</f>
        <v>0.63</v>
      </c>
      <c r="D72" s="1548"/>
      <c r="G72" s="1521" t="s">
        <v>1046</v>
      </c>
      <c r="H72" s="1524">
        <f>(H70-H66)/H66</f>
        <v>0.62999999999999978</v>
      </c>
      <c r="I72" s="1548"/>
    </row>
    <row r="73" spans="2:10">
      <c r="B73" s="1523" t="s">
        <v>1047</v>
      </c>
      <c r="C73" s="1566">
        <f>C72/7</f>
        <v>0.09</v>
      </c>
      <c r="D73" s="1548"/>
      <c r="G73" s="1523" t="s">
        <v>1047</v>
      </c>
      <c r="H73" s="1566">
        <f>H72/7</f>
        <v>8.9999999999999969E-2</v>
      </c>
      <c r="I73" s="1548"/>
    </row>
    <row r="74" spans="2:10" ht="13.5" thickBot="1">
      <c r="B74" s="1578" t="s">
        <v>1082</v>
      </c>
      <c r="C74" s="1581">
        <f>GapCalc!H33</f>
        <v>15925175.000000004</v>
      </c>
      <c r="D74" s="1549"/>
      <c r="F74" s="1559"/>
      <c r="G74" s="1578" t="s">
        <v>1084</v>
      </c>
      <c r="H74" s="1581">
        <f>GapCalc!H32</f>
        <v>2810325</v>
      </c>
      <c r="I74" s="1549"/>
    </row>
    <row r="75" spans="2:10">
      <c r="B75" s="70" t="s">
        <v>1083</v>
      </c>
      <c r="C75" s="1579">
        <f>(C70-C74)/C74</f>
        <v>0.59667478858541578</v>
      </c>
      <c r="G75" s="70" t="s">
        <v>1083</v>
      </c>
      <c r="H75" s="1579">
        <f>(H70-H74)/H74</f>
        <v>0.59667478858541623</v>
      </c>
    </row>
    <row r="76" spans="2:10">
      <c r="B76" s="70" t="s">
        <v>1047</v>
      </c>
      <c r="C76" s="1579">
        <f>C75/7</f>
        <v>8.5239255512202253E-2</v>
      </c>
      <c r="G76" s="70" t="s">
        <v>1047</v>
      </c>
      <c r="H76" s="1579">
        <f>H75/7</f>
        <v>8.5239255512202322E-2</v>
      </c>
    </row>
    <row r="78" spans="2:10" ht="13.5" thickBot="1">
      <c r="B78" s="70" t="s">
        <v>1063</v>
      </c>
    </row>
    <row r="79" spans="2:10" ht="13.5" thickBot="1">
      <c r="B79" s="1518" t="s">
        <v>1042</v>
      </c>
      <c r="C79" s="1519"/>
      <c r="D79" s="1543"/>
      <c r="E79" s="70" t="s">
        <v>1058</v>
      </c>
    </row>
    <row r="80" spans="2:10">
      <c r="B80" s="1520" t="s">
        <v>1056</v>
      </c>
      <c r="C80" s="1565">
        <f>C84/1.8</f>
        <v>10712249.377960339</v>
      </c>
      <c r="D80" s="1544"/>
      <c r="E80" s="1564" t="s">
        <v>288</v>
      </c>
    </row>
    <row r="81" spans="2:10" ht="15">
      <c r="B81" s="1521" t="s">
        <v>1057</v>
      </c>
      <c r="C81" s="1560">
        <f>SUMIFS(E42:AH42, E50:AH50, "&lt;=" &amp; VALUE(RIGHT(E80, LEN(E80)-FIND(" ", E80))))</f>
        <v>7590713.8439590102</v>
      </c>
      <c r="D81" s="1545" t="s">
        <v>68</v>
      </c>
    </row>
    <row r="82" spans="2:10">
      <c r="B82" s="1521" t="s">
        <v>1061</v>
      </c>
      <c r="C82" s="1568">
        <f>C68</f>
        <v>11691335.036369601</v>
      </c>
      <c r="D82" s="1545" t="s">
        <v>68</v>
      </c>
    </row>
    <row r="83" spans="2:10">
      <c r="B83" s="1521" t="s">
        <v>1043</v>
      </c>
      <c r="C83" s="1522"/>
      <c r="D83" s="1546">
        <v>0.9</v>
      </c>
    </row>
    <row r="84" spans="2:10">
      <c r="B84" s="1523" t="s">
        <v>1044</v>
      </c>
      <c r="C84" s="1577">
        <f>C81+C82+C83</f>
        <v>19282048.880328611</v>
      </c>
      <c r="D84" s="1545" t="s">
        <v>68</v>
      </c>
    </row>
    <row r="85" spans="2:10">
      <c r="B85" s="1523" t="s">
        <v>1045</v>
      </c>
      <c r="C85" s="1567">
        <v>1.8</v>
      </c>
      <c r="D85" s="1547"/>
    </row>
    <row r="86" spans="2:10">
      <c r="B86" s="1521" t="s">
        <v>1046</v>
      </c>
      <c r="C86" s="1524">
        <f>(C84-C80)/C80</f>
        <v>0.8</v>
      </c>
      <c r="D86" s="1548"/>
    </row>
    <row r="87" spans="2:10">
      <c r="B87" s="1523" t="s">
        <v>1047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1060</v>
      </c>
      <c r="G91" s="70" t="s">
        <v>1072</v>
      </c>
    </row>
    <row r="92" spans="2:10" ht="13.5" thickBot="1">
      <c r="B92" s="1518" t="s">
        <v>1042</v>
      </c>
      <c r="C92" s="1519"/>
      <c r="D92" s="1543"/>
      <c r="E92" s="70" t="s">
        <v>1058</v>
      </c>
      <c r="G92" s="1518" t="s">
        <v>1042</v>
      </c>
      <c r="H92" s="1519"/>
      <c r="I92" s="1543"/>
      <c r="J92" s="70" t="s">
        <v>1058</v>
      </c>
    </row>
    <row r="93" spans="2:10">
      <c r="B93" s="1520" t="s">
        <v>1056</v>
      </c>
      <c r="C93" s="1565">
        <f>C97/1.63</f>
        <v>22282027.730455119</v>
      </c>
      <c r="D93" s="1544"/>
      <c r="E93" s="1564" t="s">
        <v>288</v>
      </c>
      <c r="G93" s="1520" t="s">
        <v>1075</v>
      </c>
      <c r="H93" s="1565">
        <f>H97/1.63</f>
        <v>3082866.0192146292</v>
      </c>
      <c r="I93" s="1544"/>
      <c r="J93" s="1564" t="s">
        <v>288</v>
      </c>
    </row>
    <row r="94" spans="2:10" ht="15">
      <c r="B94" s="1521" t="s">
        <v>1057</v>
      </c>
      <c r="C94" s="1580">
        <f>SUMIFS(E42:AH42, E50:AH50, "&lt;=" &amp; VALUE(RIGHT(E93, LEN(E93)-FIND(" ", E93))))</f>
        <v>7590713.8439590102</v>
      </c>
      <c r="D94" s="1545" t="s">
        <v>68</v>
      </c>
      <c r="G94" s="1521" t="s">
        <v>1076</v>
      </c>
      <c r="H94" s="1560">
        <f>SUMIFS(E43:AH43, E50:AH50, "&lt;=" &amp; VALUE(RIGHT(J93, LEN(J93)-FIND(" ", J93))))</f>
        <v>1339537.7371692366</v>
      </c>
      <c r="I94" s="1545" t="s">
        <v>68</v>
      </c>
    </row>
    <row r="95" spans="2:10">
      <c r="B95" s="1521" t="s">
        <v>1080</v>
      </c>
      <c r="C95" s="1568">
        <f>IF(GapCalc!D41*C42&lt; 0,0,GapCalc!D41*C42)</f>
        <v>11691335.036369601</v>
      </c>
      <c r="D95" s="1545" t="s">
        <v>68</v>
      </c>
      <c r="G95" s="1521" t="s">
        <v>1081</v>
      </c>
      <c r="H95" s="1568">
        <f>IF(GapCalc!D41*C43&lt; 0,0,GapCalc!D41*C43)</f>
        <v>2063176.771124047</v>
      </c>
      <c r="I95" s="1545" t="s">
        <v>68</v>
      </c>
    </row>
    <row r="96" spans="2:10">
      <c r="B96" s="1521" t="s">
        <v>1061</v>
      </c>
      <c r="C96" s="1568">
        <f>'Debt Calc'!H60</f>
        <v>17037656.320313234</v>
      </c>
      <c r="D96" s="1546">
        <v>0.9</v>
      </c>
      <c r="G96" s="1521" t="s">
        <v>1077</v>
      </c>
      <c r="H96" s="1568">
        <f>'Debt Calc'!E59*C43</f>
        <v>1622357.1030265619</v>
      </c>
      <c r="I96" s="1546">
        <v>0.9</v>
      </c>
    </row>
    <row r="97" spans="2:9">
      <c r="B97" s="1523" t="s">
        <v>1044</v>
      </c>
      <c r="C97" s="1577">
        <f>C94+C95+C96</f>
        <v>36319705.200641841</v>
      </c>
      <c r="D97" s="1545" t="s">
        <v>68</v>
      </c>
      <c r="G97" s="1523" t="s">
        <v>1044</v>
      </c>
      <c r="H97" s="1577">
        <f>H94+H95+H96</f>
        <v>5025071.6113198455</v>
      </c>
      <c r="I97" s="1545" t="s">
        <v>68</v>
      </c>
    </row>
    <row r="98" spans="2:9">
      <c r="B98" s="1523" t="s">
        <v>1045</v>
      </c>
      <c r="C98" s="1571">
        <f>C97/C93</f>
        <v>1.63</v>
      </c>
      <c r="D98" s="1547"/>
      <c r="G98" s="1523" t="s">
        <v>1045</v>
      </c>
      <c r="H98" s="1571">
        <f>H97/H93</f>
        <v>1.63</v>
      </c>
      <c r="I98" s="1547"/>
    </row>
    <row r="99" spans="2:9">
      <c r="B99" s="1521" t="s">
        <v>1046</v>
      </c>
      <c r="C99" s="1524">
        <f>(C97-C93)/C93</f>
        <v>0.62999999999999989</v>
      </c>
      <c r="D99" s="1548"/>
      <c r="G99" s="1521" t="s">
        <v>1046</v>
      </c>
      <c r="H99" s="1524">
        <f>(H97-H93)/H93</f>
        <v>0.63</v>
      </c>
      <c r="I99" s="1548"/>
    </row>
    <row r="100" spans="2:9">
      <c r="B100" s="1523" t="s">
        <v>1047</v>
      </c>
      <c r="C100" s="1566">
        <f>C99/7</f>
        <v>8.9999999999999983E-2</v>
      </c>
      <c r="D100" s="1548"/>
      <c r="G100" s="1523" t="s">
        <v>1047</v>
      </c>
      <c r="H100" s="1566">
        <f>H99/7</f>
        <v>0.09</v>
      </c>
      <c r="I100" s="1548"/>
    </row>
    <row r="101" spans="2:9" ht="13.5" thickBot="1">
      <c r="B101" s="1578" t="s">
        <v>1082</v>
      </c>
      <c r="C101" s="1581">
        <f>GapCalc!H33</f>
        <v>15925175.000000004</v>
      </c>
      <c r="D101" s="1549"/>
      <c r="G101" s="1578" t="s">
        <v>1084</v>
      </c>
      <c r="H101" s="1581">
        <f>GapCalc!H32</f>
        <v>2810325</v>
      </c>
      <c r="I101" s="1549"/>
    </row>
    <row r="102" spans="2:9">
      <c r="B102" s="70" t="s">
        <v>1083</v>
      </c>
      <c r="C102" s="1579">
        <f>(C97-C101)/C101</f>
        <v>1.2806471640432104</v>
      </c>
      <c r="G102" s="70" t="s">
        <v>1083</v>
      </c>
      <c r="H102" s="1579">
        <f>(H97-H101)/H101</f>
        <v>0.78807490639689204</v>
      </c>
    </row>
    <row r="103" spans="2:9">
      <c r="B103" s="70" t="s">
        <v>1047</v>
      </c>
      <c r="C103" s="1579">
        <f>C102/10</f>
        <v>0.12806471640432104</v>
      </c>
      <c r="G103" s="70" t="s">
        <v>1047</v>
      </c>
      <c r="H103" s="1579">
        <f>H102/10</f>
        <v>7.8807490639689198E-2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9"/>
      <c r="R16" s="1759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60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1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7"/>
      <c r="M48" s="856"/>
      <c r="N48" s="1728"/>
      <c r="O48" s="895"/>
      <c r="P48" s="1728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20265.634615384617</v>
      </c>
      <c r="I49" s="884">
        <f>G49*H49</f>
        <v>2897985.7500000005</v>
      </c>
      <c r="J49" s="925">
        <f>IFERROR(I49/C53,0)</f>
        <v>56823.250000000007</v>
      </c>
      <c r="K49" s="855"/>
      <c r="L49" s="1727"/>
      <c r="M49" s="856"/>
      <c r="N49" s="1728"/>
      <c r="O49" s="895"/>
      <c r="P49" s="1728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7"/>
      <c r="M50" s="856"/>
      <c r="N50" s="1728"/>
      <c r="O50" s="895"/>
      <c r="P50" s="1728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20265.634615384617</v>
      </c>
      <c r="I51" s="930">
        <f>SUM(I48:I50)</f>
        <v>2897985.7500000005</v>
      </c>
      <c r="J51" s="925"/>
      <c r="K51" s="855"/>
      <c r="L51" s="1727"/>
      <c r="M51" s="856"/>
      <c r="N51" s="1728"/>
      <c r="O51" s="895"/>
      <c r="P51" s="1728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7"/>
      <c r="M52" s="1717"/>
      <c r="N52" s="1728"/>
      <c r="O52" s="895"/>
      <c r="P52" s="1728"/>
      <c r="Q52" s="855"/>
    </row>
    <row r="53" spans="1:17">
      <c r="A53" s="855"/>
      <c r="B53" s="855" t="s">
        <v>577</v>
      </c>
      <c r="C53" s="931">
        <v>51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2897985.7500000005</v>
      </c>
      <c r="J53" s="884"/>
      <c r="K53" s="855"/>
      <c r="L53" s="1727"/>
      <c r="M53" s="1717"/>
      <c r="N53" s="1728"/>
      <c r="O53" s="895"/>
      <c r="P53" s="1728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7"/>
      <c r="M54" s="1728"/>
      <c r="N54" s="1728"/>
      <c r="O54" s="895"/>
      <c r="P54" s="1728"/>
      <c r="Q54" s="855"/>
    </row>
    <row r="55" spans="1:17">
      <c r="A55" s="938"/>
      <c r="B55" s="855" t="s">
        <v>680</v>
      </c>
      <c r="C55" s="880">
        <f>SUM(C52:C54)</f>
        <v>51</v>
      </c>
      <c r="D55" s="855"/>
      <c r="E55" s="855"/>
      <c r="F55" s="937"/>
      <c r="G55" s="855"/>
      <c r="H55" s="872" t="s">
        <v>685</v>
      </c>
      <c r="I55" s="939">
        <f>SUM(I53:I54)</f>
        <v>2897985.7500000005</v>
      </c>
      <c r="J55" s="855"/>
      <c r="K55" s="855"/>
      <c r="L55" s="1727"/>
      <c r="M55" s="1717"/>
      <c r="N55" s="1728"/>
      <c r="O55" s="895"/>
      <c r="P55" s="1728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7"/>
      <c r="M56" s="1717"/>
      <c r="N56" s="1728"/>
      <c r="O56" s="895"/>
      <c r="P56" s="1728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7"/>
      <c r="M57" s="1717"/>
      <c r="N57" s="1728"/>
      <c r="O57" s="895"/>
      <c r="P57" s="1728"/>
      <c r="Q57" s="855"/>
    </row>
    <row r="58" spans="1:17">
      <c r="A58" s="1735" t="s">
        <v>687</v>
      </c>
      <c r="B58" s="1736"/>
      <c r="C58" s="1736"/>
      <c r="D58" s="1736"/>
      <c r="E58" s="1736"/>
      <c r="F58" s="1733"/>
      <c r="G58" s="1736"/>
      <c r="H58" s="1736"/>
      <c r="I58" s="1736"/>
      <c r="J58" s="1737"/>
      <c r="K58" s="1736"/>
      <c r="L58" s="1727"/>
      <c r="M58" s="856"/>
      <c r="N58" s="1728"/>
      <c r="O58" s="895"/>
      <c r="P58" s="1728"/>
      <c r="Q58" s="855"/>
    </row>
    <row r="59" spans="1:17">
      <c r="A59" s="1736" t="s">
        <v>688</v>
      </c>
      <c r="B59" s="1738"/>
      <c r="C59" s="1739"/>
      <c r="D59" s="1736"/>
      <c r="E59" s="1736"/>
      <c r="F59" s="1738"/>
      <c r="G59" s="1739"/>
      <c r="H59" s="1736"/>
      <c r="I59" s="1737"/>
      <c r="J59" s="1737"/>
      <c r="K59" s="1736"/>
      <c r="L59" s="1727"/>
      <c r="M59" s="856"/>
      <c r="N59" s="1728"/>
      <c r="O59" s="895"/>
      <c r="P59" s="1728"/>
      <c r="Q59" s="920"/>
    </row>
    <row r="60" spans="1:17">
      <c r="A60" s="1736"/>
      <c r="B60" s="1736" t="s">
        <v>689</v>
      </c>
      <c r="C60" s="1730">
        <v>33000</v>
      </c>
      <c r="D60" s="1736"/>
      <c r="E60" s="1736"/>
      <c r="F60" s="1736"/>
      <c r="G60" s="1736"/>
      <c r="H60" s="1730"/>
      <c r="I60" s="1740"/>
      <c r="J60" s="1737"/>
      <c r="K60" s="1736"/>
      <c r="L60" s="1727"/>
      <c r="M60" s="856"/>
      <c r="N60" s="1728"/>
      <c r="O60" s="895"/>
      <c r="P60" s="1728"/>
      <c r="Q60" s="920"/>
    </row>
    <row r="61" spans="1:17">
      <c r="A61" s="1736"/>
      <c r="B61" s="1736" t="s">
        <v>690</v>
      </c>
      <c r="C61" s="1731">
        <v>1</v>
      </c>
      <c r="D61" s="1736"/>
      <c r="E61" s="1736"/>
      <c r="F61" s="1738"/>
      <c r="G61" s="1736"/>
      <c r="H61" s="1732"/>
      <c r="I61" s="1737"/>
      <c r="J61" s="1741"/>
      <c r="K61" s="1736"/>
      <c r="L61" s="1727"/>
      <c r="M61" s="856"/>
      <c r="N61" s="1728"/>
      <c r="O61" s="895"/>
      <c r="P61" s="1728"/>
      <c r="Q61" s="855"/>
    </row>
    <row r="62" spans="1:17">
      <c r="A62" s="1736"/>
      <c r="B62" s="1736" t="s">
        <v>691</v>
      </c>
      <c r="C62" s="1733">
        <f>+C61*C60</f>
        <v>33000</v>
      </c>
      <c r="D62" s="1736"/>
      <c r="E62" s="1736"/>
      <c r="F62" s="1738"/>
      <c r="G62" s="1736"/>
      <c r="H62" s="1733"/>
      <c r="I62" s="1737"/>
      <c r="J62" s="1741"/>
      <c r="K62" s="1736"/>
      <c r="L62" s="874"/>
      <c r="M62" s="940"/>
      <c r="N62" s="1728"/>
      <c r="O62" s="879"/>
      <c r="P62" s="1728"/>
      <c r="Q62" s="855"/>
    </row>
    <row r="63" spans="1:17">
      <c r="A63" s="1736"/>
      <c r="B63" s="1733"/>
      <c r="C63" s="1736"/>
      <c r="D63" s="1736"/>
      <c r="E63" s="1742"/>
      <c r="F63" s="1736"/>
      <c r="G63" s="1736"/>
      <c r="H63" s="1736"/>
      <c r="I63" s="1736"/>
      <c r="J63" s="1736"/>
      <c r="K63" s="1736"/>
      <c r="L63" s="874"/>
      <c r="M63" s="856"/>
      <c r="N63" s="856"/>
      <c r="O63" s="879"/>
      <c r="P63" s="856"/>
      <c r="Q63" s="855"/>
    </row>
    <row r="64" spans="1:17">
      <c r="A64" s="1743" t="s">
        <v>693</v>
      </c>
      <c r="B64" s="1744"/>
      <c r="C64" s="1744"/>
      <c r="D64" s="1744"/>
      <c r="E64" s="1745"/>
      <c r="F64" s="1744"/>
      <c r="G64" s="1744"/>
      <c r="H64" s="1744"/>
      <c r="I64" s="1744"/>
      <c r="J64" s="1736"/>
      <c r="K64" s="1736"/>
      <c r="L64" s="874"/>
      <c r="M64" s="856"/>
      <c r="N64" s="1728"/>
      <c r="O64" s="879"/>
      <c r="P64" s="856"/>
      <c r="Q64" s="1729"/>
    </row>
    <row r="65" spans="1:17">
      <c r="A65" s="1736"/>
      <c r="B65" s="1746" t="s">
        <v>694</v>
      </c>
      <c r="C65" s="1744"/>
      <c r="D65" s="1744"/>
      <c r="E65" s="1736"/>
      <c r="F65" s="1746" t="s">
        <v>695</v>
      </c>
      <c r="G65" s="1744"/>
      <c r="H65" s="1744"/>
      <c r="I65" s="1744"/>
      <c r="J65" s="1736"/>
      <c r="K65" s="1736"/>
      <c r="L65" s="855"/>
      <c r="M65" s="856"/>
      <c r="N65" s="856"/>
      <c r="O65" s="879"/>
      <c r="P65" s="856"/>
      <c r="Q65" s="855"/>
    </row>
    <row r="66" spans="1:17">
      <c r="A66" s="1736"/>
      <c r="B66" s="1738" t="s">
        <v>696</v>
      </c>
      <c r="C66" s="1737">
        <f>2000+1000</f>
        <v>3000</v>
      </c>
      <c r="D66" s="1736"/>
      <c r="E66" s="1736"/>
      <c r="F66" s="1738" t="s">
        <v>697</v>
      </c>
      <c r="G66" s="1736"/>
      <c r="H66" s="1733">
        <v>0</v>
      </c>
      <c r="I66" s="1736">
        <v>3.5E-4</v>
      </c>
      <c r="J66" s="1736"/>
      <c r="K66" s="1736"/>
      <c r="L66" s="855"/>
      <c r="M66" s="856"/>
      <c r="N66" s="856"/>
      <c r="O66" s="879"/>
      <c r="P66" s="856"/>
      <c r="Q66" s="855"/>
    </row>
    <row r="67" spans="1:17">
      <c r="A67" s="1736"/>
      <c r="B67" s="1738" t="s">
        <v>698</v>
      </c>
      <c r="C67" s="1737">
        <v>0</v>
      </c>
      <c r="D67" s="1734">
        <v>0.04</v>
      </c>
      <c r="E67" s="1736"/>
      <c r="F67" s="1738" t="s">
        <v>699</v>
      </c>
      <c r="G67" s="1736"/>
      <c r="H67" s="1733">
        <v>0</v>
      </c>
      <c r="I67" s="1747">
        <v>5.0000000000000001E-3</v>
      </c>
      <c r="J67" s="1733"/>
      <c r="K67" s="1736"/>
      <c r="L67" s="855"/>
      <c r="M67" s="856"/>
      <c r="N67" s="856"/>
      <c r="O67" s="879"/>
      <c r="P67" s="855"/>
      <c r="Q67" s="855"/>
    </row>
    <row r="68" spans="1:17">
      <c r="A68" s="1736"/>
      <c r="B68" s="1738" t="s">
        <v>699</v>
      </c>
      <c r="C68" s="1737">
        <v>0</v>
      </c>
      <c r="D68" s="1734">
        <v>0.04</v>
      </c>
      <c r="E68" s="1736"/>
      <c r="F68" s="1736" t="s">
        <v>60</v>
      </c>
      <c r="G68" s="1736"/>
      <c r="H68" s="1737">
        <f>SUM(H66:H67)</f>
        <v>0</v>
      </c>
      <c r="I68" s="1736"/>
      <c r="J68" s="1736"/>
      <c r="K68" s="1736"/>
      <c r="L68" s="855"/>
      <c r="M68" s="856"/>
      <c r="N68" s="856"/>
      <c r="O68" s="855"/>
      <c r="P68" s="855"/>
      <c r="Q68" s="855"/>
    </row>
    <row r="69" spans="1:17">
      <c r="A69" s="1736"/>
      <c r="B69" s="1738" t="s">
        <v>700</v>
      </c>
      <c r="C69" s="1737">
        <v>5330</v>
      </c>
      <c r="D69" s="1748">
        <v>410</v>
      </c>
      <c r="E69" s="1736"/>
      <c r="F69" s="1736"/>
      <c r="G69" s="1736"/>
      <c r="H69" s="1736"/>
      <c r="I69" s="1736"/>
      <c r="J69" s="1736"/>
      <c r="K69" s="1736"/>
      <c r="L69" s="855"/>
      <c r="M69" s="856"/>
      <c r="N69" s="856"/>
      <c r="O69" s="855"/>
      <c r="P69" s="855"/>
      <c r="Q69" s="855"/>
    </row>
    <row r="70" spans="1:17">
      <c r="A70" s="1736"/>
      <c r="B70" s="1736" t="s">
        <v>60</v>
      </c>
      <c r="C70" s="1737">
        <f>SUM(C66:C69)</f>
        <v>8330</v>
      </c>
      <c r="D70" s="1749"/>
      <c r="E70" s="1736"/>
      <c r="F70" s="1750" t="s">
        <v>701</v>
      </c>
      <c r="G70" s="1751" t="s">
        <v>702</v>
      </c>
      <c r="H70" s="1736"/>
      <c r="I70" s="1736"/>
      <c r="J70" s="1736"/>
      <c r="K70" s="1736"/>
      <c r="L70" s="855"/>
      <c r="M70" s="856"/>
      <c r="N70" s="856"/>
      <c r="O70" s="855"/>
      <c r="P70" s="855"/>
      <c r="Q70" s="855"/>
    </row>
    <row r="71" spans="1:17">
      <c r="A71" s="1736"/>
      <c r="B71" s="1738"/>
      <c r="C71" s="1752"/>
      <c r="D71" s="1749"/>
      <c r="E71" s="1736"/>
      <c r="F71" s="1736"/>
      <c r="G71" s="1736"/>
      <c r="H71" s="1736"/>
      <c r="I71" s="1736"/>
      <c r="J71" s="1736"/>
      <c r="K71" s="1736"/>
      <c r="L71" s="855"/>
      <c r="M71" s="856"/>
      <c r="N71" s="856"/>
      <c r="O71" s="855"/>
      <c r="P71" s="855"/>
      <c r="Q71" s="855"/>
    </row>
    <row r="72" spans="1:17">
      <c r="A72" s="1736"/>
      <c r="B72" s="1746" t="s">
        <v>703</v>
      </c>
      <c r="C72" s="1744"/>
      <c r="D72" s="1749"/>
      <c r="E72" s="1736"/>
      <c r="F72" s="1736"/>
      <c r="G72" s="1736"/>
      <c r="H72" s="1736"/>
      <c r="I72" s="1736"/>
      <c r="J72" s="1736"/>
      <c r="K72" s="1736"/>
      <c r="L72" s="855"/>
      <c r="M72" s="856"/>
      <c r="N72" s="856"/>
      <c r="O72" s="855"/>
      <c r="P72" s="855"/>
      <c r="Q72" s="855"/>
    </row>
    <row r="73" spans="1:17">
      <c r="A73" s="1736"/>
      <c r="B73" s="1738" t="s">
        <v>696</v>
      </c>
      <c r="C73" s="1737">
        <v>1000</v>
      </c>
      <c r="D73" s="1749" t="s">
        <v>704</v>
      </c>
      <c r="E73" s="1736"/>
      <c r="F73" s="1736"/>
      <c r="G73" s="1736"/>
      <c r="H73" s="1736"/>
      <c r="I73" s="1736"/>
      <c r="J73" s="1736"/>
      <c r="K73" s="1736"/>
      <c r="L73" s="855"/>
      <c r="M73" s="856"/>
      <c r="N73" s="856"/>
      <c r="O73" s="855"/>
      <c r="P73" s="855"/>
      <c r="Q73" s="855"/>
    </row>
    <row r="74" spans="1:17">
      <c r="A74" s="1736"/>
      <c r="B74" s="1738" t="s">
        <v>705</v>
      </c>
      <c r="C74" s="1733">
        <v>0</v>
      </c>
      <c r="D74" s="1734">
        <v>0.01</v>
      </c>
      <c r="E74" s="1736"/>
      <c r="F74" s="1736"/>
      <c r="G74" s="1736"/>
      <c r="H74" s="1736"/>
      <c r="I74" s="1736"/>
      <c r="J74" s="1736"/>
      <c r="K74" s="1736"/>
      <c r="L74" s="855"/>
      <c r="M74" s="856"/>
      <c r="N74" s="856"/>
      <c r="O74" s="855"/>
      <c r="P74" s="855"/>
      <c r="Q74" s="855"/>
    </row>
    <row r="75" spans="1:17">
      <c r="A75" s="1736"/>
      <c r="B75" s="1738" t="s">
        <v>699</v>
      </c>
      <c r="C75" s="1733">
        <v>0</v>
      </c>
      <c r="D75" s="1734">
        <v>0.02</v>
      </c>
      <c r="E75" s="1736" t="s">
        <v>706</v>
      </c>
      <c r="F75" s="1736"/>
      <c r="G75" s="1736"/>
      <c r="H75" s="1736"/>
      <c r="I75" s="1736"/>
      <c r="J75" s="1736"/>
      <c r="K75" s="1736"/>
      <c r="L75" s="855"/>
      <c r="M75" s="856"/>
      <c r="N75" s="856"/>
      <c r="O75" s="855"/>
      <c r="P75" s="855"/>
      <c r="Q75" s="855"/>
    </row>
    <row r="76" spans="1:17">
      <c r="A76" s="1736"/>
      <c r="B76" s="1738" t="s">
        <v>700</v>
      </c>
      <c r="C76" s="1737">
        <v>5330</v>
      </c>
      <c r="D76" s="1748">
        <v>410</v>
      </c>
      <c r="E76" s="1736"/>
      <c r="F76" s="1736"/>
      <c r="G76" s="1736"/>
      <c r="H76" s="1736"/>
      <c r="I76" s="1736"/>
      <c r="J76" s="1736"/>
      <c r="K76" s="1736"/>
      <c r="L76" s="855"/>
      <c r="M76" s="856"/>
      <c r="N76" s="856"/>
      <c r="O76" s="855"/>
      <c r="P76" s="855"/>
      <c r="Q76" s="855"/>
    </row>
    <row r="77" spans="1:17">
      <c r="A77" s="1736"/>
      <c r="B77" s="1736" t="s">
        <v>60</v>
      </c>
      <c r="C77" s="1737">
        <f>SUM(C73:C76)</f>
        <v>6330</v>
      </c>
      <c r="D77" s="1736"/>
      <c r="E77" s="1736"/>
      <c r="F77" s="1736"/>
      <c r="G77" s="1736"/>
      <c r="H77" s="1736"/>
      <c r="I77" s="1736"/>
      <c r="J77" s="1736"/>
      <c r="K77" s="1736"/>
      <c r="L77" s="855"/>
      <c r="M77" s="856"/>
      <c r="N77" s="856"/>
      <c r="O77" s="855"/>
      <c r="P77" s="855"/>
      <c r="Q77" s="855"/>
    </row>
    <row r="78" spans="1:17">
      <c r="A78" s="1736"/>
      <c r="B78" s="1736"/>
      <c r="C78" s="1736"/>
      <c r="D78" s="1736"/>
      <c r="E78" s="1736"/>
      <c r="F78" s="1736"/>
      <c r="G78" s="1736"/>
      <c r="H78" s="1736"/>
      <c r="I78" s="1736"/>
      <c r="J78" s="1736"/>
      <c r="K78" s="1736"/>
      <c r="L78" s="855"/>
      <c r="M78" s="856"/>
      <c r="N78" s="856"/>
      <c r="O78" s="855"/>
      <c r="P78" s="855"/>
      <c r="Q78" s="855"/>
    </row>
    <row r="79" spans="1:17">
      <c r="A79" s="1750" t="s">
        <v>701</v>
      </c>
      <c r="B79" s="1753" t="s">
        <v>707</v>
      </c>
      <c r="C79" s="1736"/>
      <c r="D79" s="1736"/>
      <c r="E79" s="1736"/>
      <c r="F79" s="1736"/>
      <c r="G79" s="1736"/>
      <c r="H79" s="1736"/>
      <c r="I79" s="1736"/>
      <c r="J79" s="1736"/>
      <c r="K79" s="1736"/>
      <c r="L79" s="855"/>
      <c r="M79" s="856"/>
      <c r="N79" s="856"/>
      <c r="O79" s="855"/>
      <c r="P79" s="855"/>
      <c r="Q79" s="855"/>
    </row>
    <row r="80" spans="1:17">
      <c r="A80" s="1736"/>
      <c r="B80" s="1738"/>
      <c r="C80" s="1752"/>
      <c r="D80" s="1736"/>
      <c r="E80" s="1736"/>
      <c r="F80" s="1736"/>
      <c r="G80" s="1736"/>
      <c r="H80" s="1736"/>
      <c r="I80" s="1736"/>
      <c r="J80" s="1736"/>
      <c r="K80" s="1736"/>
      <c r="L80" s="855"/>
      <c r="M80" s="856"/>
      <c r="N80" s="856"/>
      <c r="O80" s="855"/>
    </row>
    <row r="81" spans="1:15">
      <c r="A81" s="1735"/>
      <c r="B81" s="1735"/>
      <c r="C81" s="1736"/>
      <c r="D81" s="1736"/>
      <c r="E81" s="1736"/>
      <c r="F81" s="1736"/>
      <c r="G81" s="1736"/>
      <c r="H81" s="1736"/>
      <c r="I81" s="1736"/>
      <c r="J81" s="1736"/>
      <c r="K81" s="1736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8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9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9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9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20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20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20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20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2"/>
      <c r="E92" s="1762"/>
      <c r="F92" s="946"/>
      <c r="G92" s="948"/>
      <c r="H92" s="1720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20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20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20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20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20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20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20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20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1"/>
      <c r="E101" s="855"/>
      <c r="F101" s="946"/>
      <c r="G101" s="948"/>
      <c r="H101" s="1720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1"/>
      <c r="E102" s="945"/>
      <c r="F102" s="946"/>
      <c r="G102" s="948"/>
      <c r="H102" s="1720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1"/>
      <c r="E103" s="855"/>
      <c r="F103" s="946"/>
      <c r="G103" s="948"/>
      <c r="H103" s="1720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1"/>
      <c r="E104" s="855"/>
      <c r="F104" s="946"/>
      <c r="G104" s="948"/>
      <c r="H104" s="1720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1"/>
      <c r="E105" s="855"/>
      <c r="F105" s="946"/>
      <c r="G105" s="948"/>
      <c r="H105" s="1720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1"/>
      <c r="E106" s="855"/>
      <c r="F106" s="946"/>
      <c r="G106" s="948"/>
      <c r="H106" s="1720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1"/>
      <c r="E107" s="855"/>
      <c r="F107" s="946"/>
      <c r="G107" s="948"/>
      <c r="H107" s="1720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1"/>
      <c r="E108" s="855"/>
      <c r="F108" s="946"/>
      <c r="G108" s="948"/>
      <c r="H108" s="1720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1"/>
      <c r="E109" s="855"/>
      <c r="F109" s="946"/>
      <c r="G109" s="948"/>
      <c r="H109" s="1720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1"/>
      <c r="E110" s="855"/>
      <c r="F110" s="946"/>
      <c r="G110" s="948"/>
      <c r="H110" s="1720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1"/>
      <c r="E111" s="855"/>
      <c r="F111" s="946"/>
      <c r="G111" s="948"/>
      <c r="H111" s="1720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1"/>
      <c r="E112" s="855"/>
      <c r="F112" s="946"/>
      <c r="G112" s="948"/>
      <c r="H112" s="1720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1"/>
      <c r="E113" s="855"/>
      <c r="F113" s="946"/>
      <c r="G113" s="948"/>
      <c r="H113" s="1720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1"/>
      <c r="E114" s="855"/>
      <c r="F114" s="946"/>
      <c r="G114" s="948"/>
      <c r="H114" s="1720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1"/>
      <c r="E115" s="855"/>
      <c r="F115" s="946"/>
      <c r="G115" s="948"/>
      <c r="H115" s="1720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1"/>
      <c r="E116" s="855"/>
      <c r="F116" s="946"/>
      <c r="G116" s="948"/>
      <c r="H116" s="1720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1"/>
      <c r="E117" s="855"/>
      <c r="F117" s="946"/>
      <c r="G117" s="948"/>
      <c r="H117" s="1720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1"/>
      <c r="E118" s="855"/>
      <c r="F118" s="946"/>
      <c r="G118" s="948"/>
      <c r="H118" s="1720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1"/>
      <c r="E119" s="876"/>
      <c r="F119" s="946"/>
      <c r="G119" s="948"/>
      <c r="H119" s="1720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7"/>
      <c r="D120" s="946"/>
      <c r="E120" s="855"/>
      <c r="F120" s="946"/>
      <c r="G120" s="948"/>
      <c r="H120" s="1720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7"/>
      <c r="D121" s="946"/>
      <c r="E121" s="855"/>
      <c r="F121" s="946"/>
      <c r="G121" s="948"/>
      <c r="H121" s="1720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2"/>
      <c r="D122" s="946"/>
      <c r="E122" s="855"/>
      <c r="F122" s="946"/>
      <c r="G122" s="948"/>
      <c r="H122" s="1720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3"/>
      <c r="D123" s="946"/>
      <c r="E123" s="855"/>
      <c r="F123" s="946"/>
      <c r="G123" s="948"/>
      <c r="H123" s="1720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2"/>
      <c r="D124" s="946"/>
      <c r="E124" s="855"/>
      <c r="F124" s="946"/>
      <c r="G124" s="948"/>
      <c r="H124" s="1720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2"/>
      <c r="D125" s="946"/>
      <c r="E125" s="855"/>
      <c r="F125" s="946"/>
      <c r="G125" s="948"/>
      <c r="H125" s="1720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20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4"/>
      <c r="D127" s="1025"/>
      <c r="E127" s="855"/>
      <c r="F127" s="946"/>
      <c r="G127" s="948"/>
      <c r="H127" s="1720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20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2"/>
      <c r="D134" s="1722"/>
      <c r="E134" s="1722"/>
      <c r="F134" s="1722"/>
      <c r="G134" s="1722"/>
      <c r="H134" s="1722"/>
      <c r="I134" s="1722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2"/>
      <c r="D135" s="1722"/>
      <c r="E135" s="1722"/>
      <c r="F135" s="1722"/>
      <c r="G135" s="1722"/>
      <c r="H135" s="1722"/>
      <c r="I135" s="1722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2"/>
      <c r="D136" s="1722"/>
      <c r="E136" s="1722"/>
      <c r="F136" s="1722"/>
      <c r="G136" s="1722"/>
      <c r="H136" s="1722"/>
      <c r="I136" s="1722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2"/>
      <c r="D137" s="1722"/>
      <c r="E137" s="1722"/>
      <c r="F137" s="1722"/>
      <c r="G137" s="1722"/>
      <c r="H137" s="1722"/>
      <c r="I137" s="1722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2"/>
      <c r="D138" s="1722"/>
      <c r="E138" s="1722"/>
      <c r="F138" s="1722"/>
      <c r="G138" s="1722"/>
      <c r="H138" s="1722"/>
      <c r="I138" s="1722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2"/>
      <c r="D139" s="1722"/>
      <c r="E139" s="1722"/>
      <c r="F139" s="1722"/>
      <c r="G139" s="1722"/>
      <c r="H139" s="1722"/>
      <c r="I139" s="1722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2"/>
      <c r="D140" s="1722"/>
      <c r="E140" s="1722"/>
      <c r="F140" s="1722"/>
      <c r="G140" s="1722"/>
      <c r="H140" s="1722"/>
      <c r="I140" s="1722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2"/>
      <c r="D141" s="1722"/>
      <c r="E141" s="1722"/>
      <c r="F141" s="1722"/>
      <c r="G141" s="1722"/>
      <c r="H141" s="1722"/>
      <c r="I141" s="1722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2"/>
      <c r="D142" s="1722"/>
      <c r="E142" s="1722"/>
      <c r="F142" s="1722"/>
      <c r="G142" s="1722"/>
      <c r="H142" s="1722"/>
      <c r="I142" s="1722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2"/>
      <c r="D143" s="1722"/>
      <c r="E143" s="1722"/>
      <c r="F143" s="1722"/>
      <c r="G143" s="1722"/>
      <c r="H143" s="1722"/>
      <c r="I143" s="1722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5"/>
      <c r="D144" s="1725"/>
      <c r="E144" s="1725"/>
      <c r="F144" s="1725"/>
      <c r="G144" s="1725"/>
      <c r="H144" s="1725"/>
      <c r="I144" s="1725"/>
      <c r="J144" s="855"/>
      <c r="K144" s="855"/>
      <c r="L144" s="855"/>
      <c r="M144" s="856"/>
      <c r="N144" s="856"/>
      <c r="O144" s="855"/>
    </row>
    <row r="145" spans="1:15">
      <c r="A145" s="1726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2607455.2333970247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48417711.807493649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48417700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22343154.024758488</v>
      </c>
    </row>
    <row r="15" spans="2:36">
      <c r="B15" s="556"/>
      <c r="C15" s="560" t="s">
        <v>634</v>
      </c>
      <c r="H15" s="561">
        <f>12*PMT(Data!C24/12,Data!C29*12,-'Debt Calc'!H14)</f>
        <v>2607454.5975241512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-4771234.4912804998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-4771234.4912804998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48417700</v>
      </c>
      <c r="E21" s="561">
        <f>$H$15</f>
        <v>2607454.5975241512</v>
      </c>
      <c r="F21" s="561">
        <f>E21-G21</f>
        <v>0</v>
      </c>
      <c r="G21" s="561">
        <f>D21-H21</f>
        <v>2607454.5975241512</v>
      </c>
      <c r="H21" s="561">
        <f>D21-E21</f>
        <v>45810245.402475849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45810245.402475849</v>
      </c>
      <c r="E22" s="561">
        <f t="shared" ref="E22:E50" si="1">$H$15</f>
        <v>2607454.5975241512</v>
      </c>
      <c r="F22" s="561">
        <f t="shared" ref="F22:F50" si="2">E22-G22</f>
        <v>0</v>
      </c>
      <c r="G22" s="561">
        <f t="shared" ref="G22:G50" si="3">D22-H22</f>
        <v>2607454.5975241512</v>
      </c>
      <c r="H22" s="561">
        <f t="shared" ref="H22:H39" si="4">D22-E22</f>
        <v>43202790.804951698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43202790.804951698</v>
      </c>
      <c r="E23" s="561">
        <f t="shared" si="1"/>
        <v>2607454.5975241512</v>
      </c>
      <c r="F23" s="561">
        <f t="shared" si="2"/>
        <v>0</v>
      </c>
      <c r="G23" s="561">
        <f t="shared" si="3"/>
        <v>2607454.5975241512</v>
      </c>
      <c r="H23" s="561">
        <f t="shared" si="4"/>
        <v>40595336.207427546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40595336.207427546</v>
      </c>
      <c r="E24" s="561">
        <f t="shared" si="1"/>
        <v>2607454.5975241512</v>
      </c>
      <c r="F24" s="561">
        <f t="shared" si="2"/>
        <v>0</v>
      </c>
      <c r="G24" s="561">
        <f t="shared" si="3"/>
        <v>2607454.5975241512</v>
      </c>
      <c r="H24" s="561">
        <f t="shared" si="4"/>
        <v>37987881.609903395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37987881.609903395</v>
      </c>
      <c r="E25" s="561">
        <f t="shared" si="1"/>
        <v>2607454.5975241512</v>
      </c>
      <c r="F25" s="561">
        <f t="shared" si="2"/>
        <v>0</v>
      </c>
      <c r="G25" s="561">
        <f t="shared" si="3"/>
        <v>2607454.5975241512</v>
      </c>
      <c r="H25" s="561">
        <f t="shared" si="4"/>
        <v>35380427.012379244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35380427.012379244</v>
      </c>
      <c r="E26" s="561">
        <f t="shared" si="1"/>
        <v>2607454.5975241512</v>
      </c>
      <c r="F26" s="561">
        <f t="shared" si="2"/>
        <v>0</v>
      </c>
      <c r="G26" s="561">
        <f t="shared" si="3"/>
        <v>2607454.5975241512</v>
      </c>
      <c r="H26" s="561">
        <f t="shared" si="4"/>
        <v>32772972.414855093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32772972.414855093</v>
      </c>
      <c r="E27" s="561">
        <f t="shared" si="1"/>
        <v>2607454.5975241512</v>
      </c>
      <c r="F27" s="561">
        <f t="shared" si="2"/>
        <v>0</v>
      </c>
      <c r="G27" s="561">
        <f t="shared" si="3"/>
        <v>2607454.5975241512</v>
      </c>
      <c r="H27" s="561">
        <f t="shared" si="4"/>
        <v>30165517.817330942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30165517.817330942</v>
      </c>
      <c r="E28" s="561">
        <f t="shared" si="1"/>
        <v>2607454.5975241512</v>
      </c>
      <c r="F28" s="561">
        <f t="shared" si="2"/>
        <v>0</v>
      </c>
      <c r="G28" s="561">
        <f t="shared" si="3"/>
        <v>2607454.5975241512</v>
      </c>
      <c r="H28" s="561">
        <f t="shared" si="4"/>
        <v>27558063.21980679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27558063.21980679</v>
      </c>
      <c r="E29" s="561">
        <f t="shared" si="1"/>
        <v>2607454.5975241512</v>
      </c>
      <c r="F29" s="561">
        <f t="shared" si="2"/>
        <v>0</v>
      </c>
      <c r="G29" s="561">
        <f t="shared" si="3"/>
        <v>2607454.5975241512</v>
      </c>
      <c r="H29" s="561">
        <f t="shared" si="4"/>
        <v>24950608.622282639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24950608.622282639</v>
      </c>
      <c r="E30" s="561">
        <f t="shared" si="1"/>
        <v>2607454.5975241512</v>
      </c>
      <c r="F30" s="561">
        <f t="shared" si="2"/>
        <v>0</v>
      </c>
      <c r="G30" s="561">
        <f t="shared" si="3"/>
        <v>2607454.5975241512</v>
      </c>
      <c r="H30" s="561">
        <f>D30-E30</f>
        <v>22343154.024758488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22343154.024758488</v>
      </c>
      <c r="E31" s="561">
        <f t="shared" si="1"/>
        <v>2607454.5975241512</v>
      </c>
      <c r="F31" s="561">
        <f t="shared" si="2"/>
        <v>0</v>
      </c>
      <c r="G31" s="561">
        <f t="shared" si="3"/>
        <v>2607454.5975241512</v>
      </c>
      <c r="H31" s="561">
        <f t="shared" si="4"/>
        <v>19735699.427234337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19735699.427234337</v>
      </c>
      <c r="E32" s="561">
        <f t="shared" si="1"/>
        <v>2607454.5975241512</v>
      </c>
      <c r="F32" s="561">
        <f t="shared" si="2"/>
        <v>0</v>
      </c>
      <c r="G32" s="561">
        <f t="shared" si="3"/>
        <v>2607454.5975241512</v>
      </c>
      <c r="H32" s="561">
        <f t="shared" si="4"/>
        <v>17128244.829710186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17128244.829710186</v>
      </c>
      <c r="E33" s="561">
        <f t="shared" si="1"/>
        <v>2607454.5975241512</v>
      </c>
      <c r="F33" s="561">
        <f t="shared" si="2"/>
        <v>0</v>
      </c>
      <c r="G33" s="561">
        <f t="shared" si="3"/>
        <v>2607454.5975241512</v>
      </c>
      <c r="H33" s="561">
        <f t="shared" si="4"/>
        <v>14520790.232186034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14520790.232186034</v>
      </c>
      <c r="E34" s="561">
        <f t="shared" si="1"/>
        <v>2607454.5975241512</v>
      </c>
      <c r="F34" s="561">
        <f t="shared" si="2"/>
        <v>0</v>
      </c>
      <c r="G34" s="561">
        <f t="shared" si="3"/>
        <v>2607454.5975241512</v>
      </c>
      <c r="H34" s="561">
        <f t="shared" si="4"/>
        <v>11913335.634661883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11913335.634661883</v>
      </c>
      <c r="E35" s="561">
        <f t="shared" si="1"/>
        <v>2607454.5975241512</v>
      </c>
      <c r="F35" s="561">
        <f t="shared" si="2"/>
        <v>0</v>
      </c>
      <c r="G35" s="561">
        <f t="shared" si="3"/>
        <v>2607454.5975241512</v>
      </c>
      <c r="H35" s="561">
        <f t="shared" si="4"/>
        <v>9305881.0371377319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9305881.0371377319</v>
      </c>
      <c r="E36" s="561">
        <f t="shared" si="1"/>
        <v>2607454.5975241512</v>
      </c>
      <c r="F36" s="561">
        <f t="shared" si="2"/>
        <v>0</v>
      </c>
      <c r="G36" s="561">
        <f t="shared" si="3"/>
        <v>2607454.5975241512</v>
      </c>
      <c r="H36" s="561">
        <f t="shared" si="4"/>
        <v>6698426.4396135807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6698426.4396135807</v>
      </c>
      <c r="E37" s="561">
        <f t="shared" si="1"/>
        <v>2607454.5975241512</v>
      </c>
      <c r="F37" s="561">
        <f t="shared" si="2"/>
        <v>0</v>
      </c>
      <c r="G37" s="561">
        <f t="shared" si="3"/>
        <v>2607454.5975241512</v>
      </c>
      <c r="H37" s="561">
        <f t="shared" si="4"/>
        <v>4090971.8420894295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4090971.8420894295</v>
      </c>
      <c r="E38" s="561">
        <f t="shared" si="1"/>
        <v>2607454.5975241512</v>
      </c>
      <c r="F38" s="561">
        <f t="shared" si="2"/>
        <v>0</v>
      </c>
      <c r="G38" s="561">
        <f t="shared" si="3"/>
        <v>2607454.5975241512</v>
      </c>
      <c r="H38" s="561">
        <f>D38-E38</f>
        <v>1483517.2445652783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1483517.2445652783</v>
      </c>
      <c r="E39" s="561">
        <f t="shared" si="1"/>
        <v>2607454.5975241512</v>
      </c>
      <c r="F39" s="561">
        <f t="shared" si="2"/>
        <v>0</v>
      </c>
      <c r="G39" s="561">
        <f t="shared" si="3"/>
        <v>2607454.5975241512</v>
      </c>
      <c r="H39" s="561">
        <f t="shared" si="4"/>
        <v>-1123937.3529588729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-1123937.3529588729</v>
      </c>
      <c r="E40" s="561">
        <f t="shared" si="1"/>
        <v>2607454.5975241512</v>
      </c>
      <c r="F40" s="561">
        <f t="shared" si="2"/>
        <v>3731391.9504830241</v>
      </c>
      <c r="G40" s="561">
        <f t="shared" si="3"/>
        <v>-1123937.3529588729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2607454.5975241512</v>
      </c>
      <c r="F41" s="561">
        <f t="shared" si="2"/>
        <v>2607454.5975241512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2607454.5975241512</v>
      </c>
      <c r="F42" s="561">
        <f t="shared" si="2"/>
        <v>2607454.5975241512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2607454.5975241512</v>
      </c>
      <c r="F43" s="561">
        <f t="shared" si="2"/>
        <v>2607454.5975241512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2607454.5975241512</v>
      </c>
      <c r="F44" s="561">
        <f t="shared" si="2"/>
        <v>2607454.5975241512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2607454.5975241512</v>
      </c>
      <c r="F45" s="561">
        <f t="shared" si="2"/>
        <v>2607454.5975241512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2607454.5975241512</v>
      </c>
      <c r="F46" s="561">
        <f t="shared" si="2"/>
        <v>2607454.5975241512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2607454.5975241512</v>
      </c>
      <c r="F47" s="561">
        <f t="shared" si="2"/>
        <v>2607454.5975241512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2607454.5975241512</v>
      </c>
      <c r="F48" s="561">
        <f t="shared" si="2"/>
        <v>2607454.5975241512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2607454.5975241512</v>
      </c>
      <c r="F49" s="561">
        <f t="shared" si="2"/>
        <v>2607454.5975241512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2607454.5975241512</v>
      </c>
      <c r="F50" s="561">
        <f t="shared" si="2"/>
        <v>2607454.5975241512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7" t="s">
        <v>1079</v>
      </c>
      <c r="E54" s="1658"/>
      <c r="F54" s="561"/>
      <c r="G54" s="1659" t="s">
        <v>1090</v>
      </c>
      <c r="H54" s="1660"/>
    </row>
    <row r="55" spans="2:28">
      <c r="D55" s="1656" t="s">
        <v>1066</v>
      </c>
      <c r="E55" s="1665">
        <f>'Cash Flow'!K15/0.05</f>
        <v>96043002.438319489</v>
      </c>
      <c r="F55" s="561"/>
      <c r="G55" s="1664" t="s">
        <v>1066</v>
      </c>
      <c r="H55" s="1668">
        <f>'Cash Flow'!N15/0.05</f>
        <v>103427808.92267834</v>
      </c>
    </row>
    <row r="56" spans="2:28">
      <c r="D56" s="1654" t="s">
        <v>1067</v>
      </c>
      <c r="E56" s="1666">
        <f>'Cash Flow'!K21/1.2</f>
        <v>3018517.5163690588</v>
      </c>
      <c r="F56" s="561"/>
      <c r="G56" s="1662" t="s">
        <v>1067</v>
      </c>
      <c r="H56" s="1669">
        <f>'Cash Flow'!N21/1.2</f>
        <v>3245922.9314806177</v>
      </c>
    </row>
    <row r="57" spans="2:28">
      <c r="D57" s="1654" t="s">
        <v>1068</v>
      </c>
      <c r="E57" s="1666">
        <f>E55*0.6</f>
        <v>57625801.462991692</v>
      </c>
      <c r="F57" s="561"/>
      <c r="G57" s="1662" t="s">
        <v>1068</v>
      </c>
      <c r="H57" s="1669">
        <f>H55*0.6</f>
        <v>62056685.353606999</v>
      </c>
    </row>
    <row r="58" spans="2:28">
      <c r="D58" s="1654" t="s">
        <v>1069</v>
      </c>
      <c r="E58" s="1666">
        <f>-PV(6.5%,34,E56)</f>
        <v>40981231.837508023</v>
      </c>
      <c r="F58" s="561"/>
      <c r="G58" s="1662" t="s">
        <v>1069</v>
      </c>
      <c r="H58" s="1669">
        <f>-PV(6.5%,30,H56)</f>
        <v>42387455.578068174</v>
      </c>
    </row>
    <row r="59" spans="2:28">
      <c r="D59" s="1653" t="s">
        <v>1070</v>
      </c>
      <c r="E59" s="1666">
        <f>E58-H27</f>
        <v>10815714.020177081</v>
      </c>
      <c r="F59" s="561"/>
      <c r="G59" s="1661" t="s">
        <v>1070</v>
      </c>
      <c r="H59" s="1669">
        <f>H58-H30</f>
        <v>20044301.553309686</v>
      </c>
    </row>
    <row r="60" spans="2:28" ht="13.5" thickBot="1">
      <c r="D60" s="1655" t="s">
        <v>1071</v>
      </c>
      <c r="E60" s="1667">
        <f>E59*GapCalc!I33</f>
        <v>9193356.9171505179</v>
      </c>
      <c r="F60" s="561"/>
      <c r="G60" s="1663" t="s">
        <v>1071</v>
      </c>
      <c r="H60" s="1670">
        <f>H59*GapCalc!I33</f>
        <v>17037656.320313234</v>
      </c>
    </row>
    <row r="61" spans="2:28">
      <c r="E61" s="561"/>
    </row>
    <row r="62" spans="2:28">
      <c r="C62" s="1646"/>
      <c r="E62" s="561"/>
    </row>
    <row r="64" spans="2:28">
      <c r="C64" s="1647"/>
    </row>
    <row r="67" spans="3:8">
      <c r="H67" s="1648"/>
    </row>
    <row r="68" spans="3:8">
      <c r="H68" s="1649"/>
    </row>
    <row r="70" spans="3:8">
      <c r="H70" s="564"/>
    </row>
    <row r="72" spans="3:8">
      <c r="D72" s="1650"/>
      <c r="E72" s="1650"/>
      <c r="F72" s="1650"/>
      <c r="G72" s="1650"/>
      <c r="H72" s="1650"/>
    </row>
    <row r="73" spans="3:8">
      <c r="C73" s="569"/>
      <c r="D73" s="1650"/>
      <c r="E73" s="1650"/>
      <c r="F73" s="1650"/>
      <c r="G73" s="1650"/>
      <c r="H73" s="1650"/>
    </row>
    <row r="74" spans="3:8">
      <c r="C74" s="569"/>
      <c r="D74" s="564"/>
      <c r="E74" s="564"/>
      <c r="F74" s="1651"/>
      <c r="G74" s="564"/>
      <c r="H74" s="564"/>
    </row>
    <row r="75" spans="3:8">
      <c r="C75" s="569"/>
      <c r="D75" s="564"/>
      <c r="E75" s="564"/>
      <c r="F75" s="1651"/>
      <c r="G75" s="564"/>
      <c r="H75" s="564"/>
    </row>
    <row r="76" spans="3:8">
      <c r="C76" s="569"/>
      <c r="D76" s="564"/>
      <c r="E76" s="564"/>
      <c r="F76" s="1651"/>
      <c r="G76" s="564"/>
      <c r="H76" s="564"/>
    </row>
    <row r="77" spans="3:8">
      <c r="C77" s="569"/>
      <c r="D77" s="564"/>
      <c r="E77" s="564"/>
      <c r="F77" s="1651"/>
      <c r="G77" s="564"/>
      <c r="H77" s="564"/>
    </row>
    <row r="78" spans="3:8">
      <c r="C78" s="569"/>
      <c r="D78" s="564"/>
      <c r="E78" s="564"/>
      <c r="F78" s="1651"/>
      <c r="G78" s="564"/>
      <c r="H78" s="564"/>
    </row>
    <row r="79" spans="3:8">
      <c r="C79" s="569"/>
      <c r="D79" s="564"/>
      <c r="E79" s="564"/>
      <c r="F79" s="1651"/>
      <c r="G79" s="564"/>
      <c r="H79" s="564"/>
    </row>
    <row r="80" spans="3:8">
      <c r="C80" s="569"/>
      <c r="D80" s="564"/>
      <c r="E80" s="564"/>
      <c r="F80" s="1651"/>
      <c r="G80" s="564"/>
      <c r="H80" s="564"/>
    </row>
    <row r="81" spans="3:8">
      <c r="C81" s="569"/>
      <c r="D81" s="564"/>
      <c r="E81" s="564"/>
      <c r="F81" s="1651"/>
      <c r="G81" s="564"/>
      <c r="H81" s="564"/>
    </row>
    <row r="82" spans="3:8">
      <c r="C82" s="569"/>
      <c r="D82" s="564"/>
      <c r="E82" s="564"/>
      <c r="F82" s="1651"/>
      <c r="G82" s="564"/>
      <c r="H82" s="564"/>
    </row>
    <row r="83" spans="3:8">
      <c r="C83" s="569"/>
      <c r="D83" s="564"/>
      <c r="E83" s="564"/>
      <c r="F83" s="1651"/>
      <c r="G83" s="564"/>
      <c r="H83" s="564"/>
    </row>
    <row r="84" spans="3:8">
      <c r="C84" s="569"/>
      <c r="D84" s="564"/>
      <c r="E84" s="564"/>
      <c r="F84" s="1651"/>
      <c r="G84" s="564"/>
      <c r="H84" s="564"/>
    </row>
    <row r="85" spans="3:8">
      <c r="C85" s="569"/>
      <c r="D85" s="564"/>
      <c r="E85" s="564"/>
      <c r="F85" s="1651"/>
      <c r="G85" s="564"/>
      <c r="H85" s="564"/>
    </row>
    <row r="86" spans="3:8">
      <c r="C86" s="569"/>
      <c r="D86" s="564"/>
      <c r="E86" s="564"/>
      <c r="F86" s="1651"/>
      <c r="G86" s="564"/>
      <c r="H86" s="564"/>
    </row>
    <row r="87" spans="3:8">
      <c r="C87" s="569"/>
      <c r="D87" s="564"/>
      <c r="E87" s="564"/>
      <c r="F87" s="1651"/>
      <c r="G87" s="564"/>
      <c r="H87" s="564"/>
    </row>
    <row r="88" spans="3:8">
      <c r="C88" s="569"/>
      <c r="D88" s="564"/>
      <c r="E88" s="564"/>
      <c r="F88" s="1651"/>
      <c r="G88" s="564"/>
      <c r="H88" s="564"/>
    </row>
    <row r="89" spans="3:8">
      <c r="C89" s="569"/>
      <c r="D89" s="564"/>
      <c r="E89" s="564"/>
      <c r="F89" s="1651"/>
      <c r="G89" s="564"/>
      <c r="H89" s="564"/>
    </row>
    <row r="90" spans="3:8">
      <c r="C90" s="569"/>
      <c r="D90" s="564"/>
      <c r="E90" s="564"/>
      <c r="F90" s="1651"/>
      <c r="G90" s="564"/>
      <c r="H90" s="564"/>
    </row>
    <row r="91" spans="3:8">
      <c r="C91" s="569"/>
      <c r="D91" s="564"/>
      <c r="E91" s="564"/>
      <c r="F91" s="1651"/>
      <c r="G91" s="564"/>
      <c r="H91" s="564"/>
    </row>
    <row r="92" spans="3:8">
      <c r="C92" s="569"/>
      <c r="D92" s="564"/>
      <c r="E92" s="564"/>
      <c r="F92" s="1651"/>
      <c r="G92" s="564"/>
      <c r="H92" s="564"/>
    </row>
    <row r="93" spans="3:8">
      <c r="C93" s="569"/>
      <c r="D93" s="564"/>
      <c r="E93" s="564"/>
      <c r="F93" s="1651"/>
      <c r="G93" s="564"/>
      <c r="H93" s="564"/>
    </row>
    <row r="94" spans="3:8">
      <c r="C94" s="569"/>
      <c r="D94" s="564"/>
      <c r="E94" s="564"/>
      <c r="F94" s="1651"/>
      <c r="G94" s="564"/>
      <c r="H94" s="564"/>
    </row>
    <row r="95" spans="3:8">
      <c r="C95" s="569"/>
      <c r="D95" s="564"/>
      <c r="E95" s="564"/>
      <c r="F95" s="1651"/>
      <c r="G95" s="564"/>
      <c r="H95" s="564"/>
    </row>
    <row r="96" spans="3:8">
      <c r="C96" s="569"/>
      <c r="D96" s="564"/>
      <c r="E96" s="564"/>
      <c r="F96" s="1651"/>
      <c r="G96" s="564"/>
      <c r="H96" s="564"/>
    </row>
    <row r="97" spans="3:8">
      <c r="C97" s="569"/>
      <c r="D97" s="564"/>
      <c r="E97" s="564"/>
      <c r="F97" s="1651"/>
      <c r="G97" s="564"/>
      <c r="H97" s="564"/>
    </row>
    <row r="98" spans="3:8">
      <c r="C98" s="569"/>
      <c r="D98" s="564"/>
      <c r="E98" s="564"/>
      <c r="F98" s="1651"/>
      <c r="G98" s="564"/>
      <c r="H98" s="564"/>
    </row>
    <row r="99" spans="3:8">
      <c r="C99" s="569"/>
      <c r="D99" s="564"/>
      <c r="E99" s="564"/>
      <c r="F99" s="1651"/>
      <c r="G99" s="564"/>
      <c r="H99" s="564"/>
    </row>
    <row r="100" spans="3:8">
      <c r="C100" s="569"/>
      <c r="D100" s="564"/>
      <c r="E100" s="564"/>
      <c r="F100" s="1651"/>
      <c r="G100" s="564"/>
      <c r="H100" s="564"/>
    </row>
    <row r="101" spans="3:8">
      <c r="C101" s="569"/>
      <c r="D101" s="564"/>
      <c r="E101" s="564"/>
      <c r="F101" s="1651"/>
      <c r="G101" s="564"/>
      <c r="H101" s="564"/>
    </row>
    <row r="102" spans="3:8">
      <c r="C102" s="569"/>
      <c r="D102" s="564"/>
      <c r="E102" s="564"/>
      <c r="F102" s="1651"/>
      <c r="G102" s="564"/>
      <c r="H102" s="564"/>
    </row>
    <row r="103" spans="3:8">
      <c r="C103" s="569"/>
      <c r="D103" s="564"/>
      <c r="E103" s="564"/>
      <c r="F103" s="1651"/>
      <c r="G103" s="564"/>
      <c r="H103" s="564"/>
    </row>
    <row r="104" spans="3:8">
      <c r="C104" s="569"/>
      <c r="D104" s="564"/>
      <c r="E104" s="564"/>
      <c r="F104" s="1651"/>
      <c r="G104" s="564"/>
      <c r="H104" s="564"/>
    </row>
    <row r="105" spans="3:8">
      <c r="C105" s="569"/>
      <c r="D105" s="564"/>
      <c r="E105" s="564"/>
      <c r="F105" s="1651"/>
      <c r="G105" s="564"/>
      <c r="H105" s="564"/>
    </row>
    <row r="106" spans="3:8">
      <c r="C106" s="569"/>
      <c r="D106" s="564"/>
      <c r="E106" s="564"/>
      <c r="F106" s="1651"/>
      <c r="G106" s="564"/>
      <c r="H106" s="564"/>
    </row>
    <row r="107" spans="3:8">
      <c r="C107" s="569"/>
      <c r="D107" s="564"/>
      <c r="E107" s="564"/>
      <c r="F107" s="1651"/>
      <c r="G107" s="564"/>
      <c r="H107" s="564"/>
    </row>
    <row r="108" spans="3:8">
      <c r="C108" s="569"/>
      <c r="D108" s="564"/>
      <c r="E108" s="564"/>
      <c r="F108" s="1651"/>
      <c r="G108" s="564"/>
      <c r="H108" s="564"/>
    </row>
    <row r="109" spans="3:8">
      <c r="C109" s="569"/>
      <c r="D109" s="564"/>
      <c r="E109" s="564"/>
      <c r="F109" s="1651"/>
      <c r="G109" s="564"/>
      <c r="H109" s="564"/>
    </row>
    <row r="110" spans="3:8">
      <c r="C110" s="569"/>
      <c r="D110" s="564"/>
      <c r="E110" s="564"/>
      <c r="F110" s="1651"/>
      <c r="G110" s="564"/>
      <c r="H110" s="564"/>
    </row>
    <row r="111" spans="3:8">
      <c r="C111" s="569"/>
      <c r="D111" s="564"/>
      <c r="E111" s="564"/>
      <c r="F111" s="1651"/>
      <c r="G111" s="564"/>
      <c r="H111" s="564"/>
    </row>
    <row r="112" spans="3:8">
      <c r="C112" s="569"/>
      <c r="D112" s="564"/>
      <c r="E112" s="564"/>
      <c r="F112" s="1651"/>
      <c r="G112" s="564"/>
      <c r="H112" s="564"/>
    </row>
    <row r="113" spans="3:8">
      <c r="C113" s="569"/>
      <c r="D113" s="564"/>
      <c r="E113" s="564"/>
      <c r="F113" s="1651"/>
      <c r="G113" s="564"/>
      <c r="H113" s="564"/>
    </row>
    <row r="114" spans="3:8">
      <c r="C114" s="569"/>
      <c r="D114" s="564"/>
      <c r="E114" s="564"/>
      <c r="F114" s="1651"/>
      <c r="G114" s="564"/>
      <c r="H114" s="564"/>
    </row>
    <row r="115" spans="3:8">
      <c r="C115" s="569"/>
      <c r="D115" s="564"/>
      <c r="E115" s="564"/>
      <c r="F115" s="1651"/>
      <c r="G115" s="564"/>
      <c r="H115" s="564"/>
    </row>
    <row r="116" spans="3:8">
      <c r="C116" s="569"/>
      <c r="D116" s="564"/>
      <c r="E116" s="564"/>
      <c r="F116" s="1651"/>
      <c r="G116" s="564"/>
      <c r="H116" s="564"/>
    </row>
    <row r="117" spans="3:8">
      <c r="C117" s="569"/>
      <c r="D117" s="564"/>
      <c r="E117" s="564"/>
      <c r="F117" s="1651"/>
      <c r="G117" s="564"/>
      <c r="H117" s="564"/>
    </row>
    <row r="118" spans="3:8">
      <c r="C118" s="569"/>
      <c r="D118" s="564"/>
      <c r="E118" s="564"/>
      <c r="F118" s="1651"/>
      <c r="G118" s="564"/>
      <c r="H118" s="564"/>
    </row>
    <row r="119" spans="3:8">
      <c r="C119" s="569"/>
      <c r="D119" s="564"/>
      <c r="E119" s="564"/>
      <c r="F119" s="1651"/>
      <c r="G119" s="564"/>
      <c r="H119" s="564"/>
    </row>
    <row r="120" spans="3:8">
      <c r="C120" s="569"/>
      <c r="D120" s="564"/>
      <c r="E120" s="564"/>
      <c r="F120" s="1651"/>
      <c r="G120" s="564"/>
      <c r="H120" s="564"/>
    </row>
    <row r="121" spans="3:8">
      <c r="C121" s="569"/>
      <c r="D121" s="564"/>
      <c r="E121" s="564"/>
      <c r="F121" s="1651"/>
      <c r="G121" s="564"/>
      <c r="H121" s="564"/>
    </row>
    <row r="122" spans="3:8">
      <c r="C122" s="569"/>
      <c r="D122" s="564"/>
      <c r="E122" s="564"/>
      <c r="F122" s="1651"/>
      <c r="G122" s="564"/>
      <c r="H122" s="564"/>
    </row>
    <row r="123" spans="3:8">
      <c r="C123" s="569"/>
      <c r="D123" s="564"/>
      <c r="E123" s="564"/>
      <c r="F123" s="1651"/>
      <c r="G123" s="564"/>
      <c r="H123" s="564"/>
    </row>
    <row r="124" spans="3:8">
      <c r="C124" s="569"/>
      <c r="D124" s="564"/>
      <c r="E124" s="564"/>
      <c r="F124" s="1651"/>
      <c r="G124" s="564"/>
      <c r="H124" s="564"/>
    </row>
    <row r="125" spans="3:8">
      <c r="C125" s="569"/>
      <c r="D125" s="564"/>
      <c r="E125" s="564"/>
      <c r="F125" s="1651"/>
      <c r="G125" s="564"/>
      <c r="H125" s="564"/>
    </row>
    <row r="126" spans="3:8">
      <c r="C126" s="569"/>
      <c r="D126" s="564"/>
      <c r="E126" s="564"/>
      <c r="F126" s="1651"/>
      <c r="G126" s="564"/>
      <c r="H126" s="564"/>
    </row>
    <row r="127" spans="3:8">
      <c r="C127" s="569"/>
      <c r="D127" s="564"/>
      <c r="E127" s="564"/>
      <c r="F127" s="1651"/>
      <c r="G127" s="564"/>
      <c r="H127" s="564"/>
    </row>
    <row r="128" spans="3:8">
      <c r="C128" s="569"/>
      <c r="D128" s="564"/>
      <c r="E128" s="564"/>
      <c r="F128" s="1651"/>
      <c r="G128" s="564"/>
      <c r="H128" s="564"/>
    </row>
    <row r="129" spans="3:8">
      <c r="C129" s="569"/>
      <c r="D129" s="564"/>
      <c r="E129" s="564"/>
      <c r="F129" s="1651"/>
      <c r="G129" s="564"/>
      <c r="H129" s="564"/>
    </row>
    <row r="130" spans="3:8">
      <c r="C130" s="569"/>
      <c r="D130" s="564"/>
      <c r="E130" s="564"/>
      <c r="F130" s="1651"/>
      <c r="G130" s="564"/>
      <c r="H130" s="564"/>
    </row>
    <row r="131" spans="3:8">
      <c r="C131" s="569"/>
      <c r="D131" s="564"/>
      <c r="E131" s="564"/>
      <c r="F131" s="1651"/>
      <c r="G131" s="564"/>
      <c r="H131" s="564"/>
    </row>
    <row r="132" spans="3:8">
      <c r="C132" s="569"/>
      <c r="D132" s="564"/>
      <c r="E132" s="564"/>
      <c r="F132" s="1651"/>
      <c r="G132" s="564"/>
      <c r="H132" s="564"/>
    </row>
    <row r="133" spans="3:8">
      <c r="C133" s="569"/>
      <c r="D133" s="564"/>
      <c r="E133" s="564"/>
      <c r="F133" s="1651"/>
      <c r="G133" s="564"/>
      <c r="H133" s="564"/>
    </row>
    <row r="134" spans="3:8">
      <c r="C134" s="569"/>
      <c r="D134" s="564"/>
      <c r="E134" s="564"/>
      <c r="F134" s="1651"/>
      <c r="G134" s="564"/>
      <c r="H134" s="564"/>
    </row>
    <row r="135" spans="3:8">
      <c r="C135" s="569"/>
      <c r="D135" s="564"/>
      <c r="E135" s="564"/>
      <c r="F135" s="1651"/>
      <c r="G135" s="564"/>
      <c r="H135" s="564"/>
    </row>
    <row r="136" spans="3:8">
      <c r="C136" s="569"/>
      <c r="D136" s="564"/>
      <c r="E136" s="564"/>
      <c r="F136" s="1651"/>
      <c r="G136" s="564"/>
      <c r="H136" s="564"/>
    </row>
    <row r="137" spans="3:8">
      <c r="C137" s="569"/>
      <c r="D137" s="564"/>
      <c r="E137" s="564"/>
      <c r="F137" s="1651"/>
      <c r="G137" s="564"/>
      <c r="H137" s="564"/>
    </row>
    <row r="138" spans="3:8">
      <c r="C138" s="569"/>
      <c r="D138" s="564"/>
      <c r="E138" s="564"/>
      <c r="F138" s="1651"/>
      <c r="G138" s="564"/>
      <c r="H138" s="564"/>
    </row>
    <row r="139" spans="3:8">
      <c r="C139" s="569"/>
      <c r="D139" s="564"/>
      <c r="E139" s="564"/>
      <c r="F139" s="1651"/>
      <c r="G139" s="564"/>
      <c r="H139" s="564"/>
    </row>
    <row r="140" spans="3:8">
      <c r="C140" s="1652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6565000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32486385.75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78740.478699999992</v>
      </c>
      <c r="C7" s="1417">
        <f>C4*E4</f>
        <v>389641.060957785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63148.304700000001</v>
      </c>
      <c r="C8" s="1417">
        <f>C7*D7</f>
        <v>312484.41522357019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375632.71992357017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39370.239350000003</v>
      </c>
    </row>
    <row r="14" spans="1:5">
      <c r="A14" t="s">
        <v>992</v>
      </c>
      <c r="B14">
        <v>24</v>
      </c>
      <c r="C14" s="1425">
        <f>C3*(E3/12)*B14</f>
        <v>157480.95740000001</v>
      </c>
    </row>
    <row r="15" spans="1:5">
      <c r="A15" s="40" t="s">
        <v>994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375632.71992357017</v>
      </c>
      <c r="Y56" s="1309">
        <f>X56/'Rental Income'!D15</f>
        <v>3719.1358408274273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759619.22659023688</v>
      </c>
      <c r="Y70" s="1307">
        <f>X70/D10</f>
        <v>7520.9824414874938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1520.9824414874938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187222.5339119393</v>
      </c>
      <c r="C9" s="446">
        <f>'Dev Summary_5-20'!B10</f>
        <v>50000</v>
      </c>
      <c r="D9" s="446">
        <f t="shared" si="0"/>
        <v>137222.5339119393</v>
      </c>
      <c r="E9" s="477">
        <f t="shared" si="1"/>
        <v>0.73293813006762498</v>
      </c>
      <c r="F9" s="477"/>
      <c r="G9" s="473" t="e">
        <f t="shared" si="2"/>
        <v>#REF!</v>
      </c>
      <c r="I9" s="53">
        <f t="shared" si="3"/>
        <v>1702.0230355630845</v>
      </c>
      <c r="J9" s="53">
        <f t="shared" si="4"/>
        <v>1.8982695980040081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48417711.807493649</v>
      </c>
      <c r="C21" s="48">
        <v>18731659</v>
      </c>
      <c r="D21" s="48">
        <f>B21-C21</f>
        <v>29686052.807493649</v>
      </c>
      <c r="E21" s="55">
        <f>D21/B21</f>
        <v>0.61312382802235432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13754511.807493649</v>
      </c>
      <c r="C28" s="50"/>
      <c r="D28" s="50">
        <f t="shared" si="5"/>
        <v>13754511.807493649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1089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44833780.406250007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40850.402365625006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36765.362129062509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342228.23114322918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44833780.406250007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10311.769493437501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430155.76513135422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35867024.32500001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50176.426718750008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35867024.32500001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57263.926718750008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3" t="s">
        <v>456</v>
      </c>
      <c r="B5" s="1764"/>
      <c r="C5" s="1764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5"/>
      <c r="B6" s="1766"/>
      <c r="C6" s="1766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3" t="s">
        <v>470</v>
      </c>
      <c r="B5" s="1764"/>
      <c r="C5" s="1764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5"/>
      <c r="B6" s="1766"/>
      <c r="C6" s="1766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388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187222.5339119393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34663200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-12847017.510000002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3"/>
      <c r="B5" s="1764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5"/>
      <c r="B6" s="1767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3"/>
      <c r="B39" s="1764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5"/>
      <c r="B40" s="1767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3"/>
      <c r="B72" s="1764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5"/>
      <c r="B73" s="1766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8" t="s">
        <v>590</v>
      </c>
      <c r="D74" s="1769"/>
      <c r="E74" s="1769"/>
      <c r="F74" s="1769"/>
      <c r="G74" s="1769"/>
      <c r="H74" s="1769"/>
      <c r="I74" s="1770"/>
      <c r="J74" s="1771" t="s">
        <v>583</v>
      </c>
      <c r="K74" s="1772"/>
      <c r="L74" s="1772"/>
      <c r="M74" s="1772"/>
      <c r="N74" s="1772"/>
      <c r="O74" s="1773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8"/>
      <c r="D78" s="1769"/>
      <c r="E78" s="1769"/>
      <c r="F78" s="1769"/>
      <c r="G78" s="1769"/>
      <c r="H78" s="1769"/>
      <c r="I78" s="1770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8"/>
      <c r="D85" s="1769"/>
      <c r="E85" s="1769"/>
      <c r="F85" s="1769"/>
      <c r="G85" s="1769"/>
      <c r="H85" s="1769"/>
      <c r="I85" s="1770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8"/>
      <c r="D91" s="1769"/>
      <c r="E91" s="1769"/>
      <c r="F91" s="1769"/>
      <c r="G91" s="1769"/>
      <c r="H91" s="1769"/>
      <c r="I91" s="1770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6">
        <f>'PreDev Flow of Funds'!D47</f>
        <v>14824249.954999998</v>
      </c>
      <c r="D114" s="1775"/>
    </row>
    <row r="115" spans="2:19">
      <c r="B115" s="397" t="s">
        <v>601</v>
      </c>
      <c r="C115" s="1777">
        <f>M102</f>
        <v>1323400.22</v>
      </c>
      <c r="D115" s="1775"/>
    </row>
    <row r="116" spans="2:19">
      <c r="B116" s="397" t="s">
        <v>583</v>
      </c>
      <c r="C116" s="1777">
        <f>'Development Budget'!G37-Predevelopment!D27-Predevelopment!D28-Predevelopment!D29-Timeline!M102-Predevelopment!D17</f>
        <v>-10423169.6175</v>
      </c>
      <c r="D116" s="1775"/>
    </row>
    <row r="117" spans="2:19" ht="16.5" thickBot="1">
      <c r="B117" s="398" t="s">
        <v>602</v>
      </c>
      <c r="C117" s="1778">
        <f>C118-C114-C116-C115</f>
        <v>60632806.442500003</v>
      </c>
      <c r="D117" s="1779"/>
    </row>
    <row r="118" spans="2:19" ht="16.5" thickTop="1">
      <c r="B118" s="368" t="s">
        <v>586</v>
      </c>
      <c r="C118" s="1774">
        <v>66357287</v>
      </c>
      <c r="D118" s="1775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1087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1088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1088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1088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1088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1088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1088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1088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1088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1088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1088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1088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1088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1088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1088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1088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1088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1088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1088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1088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1088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1088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1088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2024-05-10T00:24:46Z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