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\Policy Hypotheticals\Low Cost Financing\Lowered TDC\"/>
    </mc:Choice>
  </mc:AlternateContent>
  <xr:revisionPtr revIDLastSave="0" documentId="13_ncr:1_{0DB7F97D-11E9-4DDC-B119-B671822C55A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" i="1" l="1"/>
  <c r="N46" i="10"/>
  <c r="M34" i="10"/>
  <c r="M116" i="1"/>
  <c r="M117" i="1"/>
  <c r="M163" i="1"/>
  <c r="E35" i="1"/>
  <c r="D37" i="2" l="1"/>
  <c r="D40" i="28" s="1"/>
  <c r="I59" i="2" l="1"/>
  <c r="D50" i="10"/>
  <c r="L50" i="10" s="1"/>
  <c r="L51" i="10"/>
  <c r="L52" i="10"/>
  <c r="L53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M52" i="10" l="1"/>
  <c r="N52" i="10" s="1"/>
  <c r="M50" i="10"/>
  <c r="N50" i="10" s="1"/>
  <c r="M51" i="10"/>
  <c r="N51" i="10" s="1"/>
  <c r="L42" i="10"/>
  <c r="M42" i="10" s="1"/>
  <c r="L43" i="10"/>
  <c r="M43" i="10" s="1"/>
  <c r="L41" i="10"/>
  <c r="M41" i="10" s="1"/>
  <c r="I45" i="10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9" i="5"/>
  <c r="H100" i="5" s="1"/>
  <c r="AG44" i="5"/>
  <c r="AH44" i="5"/>
  <c r="K101" i="11"/>
  <c r="J105" i="11"/>
  <c r="J112" i="11" s="1"/>
  <c r="I88" i="15"/>
  <c r="I95" i="15"/>
  <c r="H98" i="5" l="1"/>
  <c r="I47" i="2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<sst xmlns="http://schemas.openxmlformats.org/spreadsheetml/2006/main" count="2004" uniqueCount="1108">
  <si>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</si>
  <si>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</si>
  <si>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</si>
  <si>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</si>
  <si>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</si>
  <si>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</si>
  <si>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</si>
  <si>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</si>
  <si>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</si>
  <si>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</si>
  <si>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</si>
  <si>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</si>
  <si>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</si>
  <si>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</si>
  <si>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</si>
  <si>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</si>
  <si>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</si>
  <si>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</si>
  <si>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</si>
  <si>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</si>
  <si>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</si>
  <si>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</si>
  <si>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</si>
  <si>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</si>
  <si>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</si>
  <si>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</si>
  <si>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</si>
  <si>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</si>
  <si>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</si>
  <si>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</si>
  <si>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</si>
  <si>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</si>
  <si>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</si>
  <si>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</si>
  <si>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</si>
  <si>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</si>
  <si>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</si>
  <si>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</si>
  <si>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</si>
  <si>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</si>
  <si>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</si>
  <si>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</si>
  <si>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</si>
  <si>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</si>
  <si>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</si>
  <si>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</si>
  <si>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</si>
  <si>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</si>
  <si>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</si>
  <si>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</si>
  <si>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</si>
  <si>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</si>
  <si>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</si>
  <si>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</si>
  <si>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</si>
  <si>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</si>
  <si>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</si>
  <si>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</si>
  <si>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</si>
  <si>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</si>
  <si>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</si>
  <si>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</si>
  <si>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</si>
  <si>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</si>
  <si>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</si>
  <si>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</si>
  <si>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</si>
  <si>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</si>
  <si>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</si>
  <si>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</si>
  <si>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</si>
  <si>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</si>
  <si>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</si>
  <si>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</si>
  <si>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</si>
  <si>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</si>
  <si>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</si>
  <si>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</si>
  <si>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</si>
  <si>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</si>
  <si>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</si>
  <si>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</si>
  <si>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</si>
  <si>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</si>
  <si>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</si>
  <si>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</si>
  <si>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</si>
  <si>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</si>
  <si>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</si>
  <si>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</si>
  <si>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</si>
  <si>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</si>
  <si>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</si>
  <si>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</si>
  <si>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</si>
  <si>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</si>
  <si>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</si>
  <si>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</si>
  <si>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</si>
  <si>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</si>
  <si>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</si>
  <si>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</si>
  <si>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</si>
  <si>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</si>
  <si>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</si>
  <si>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</si>
  <si>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</si>
  <si>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</si>
  <si>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</si>
  <si>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</si>
  <si>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</si>
  <si>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</si>
  <si>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</si>
  <si>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</si>
  <si>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</si>
  <si>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</si>
  <si>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</si>
  <si>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</si>
  <si>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</si>
  <si>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</si>
  <si>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</si>
  <si>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</si>
  <si>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</si>
  <si>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</si>
  <si>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</si>
  <si>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</si>
  <si>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</si>
  <si>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</si>
  <si>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</si>
  <si>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</si>
  <si>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</si>
  <si>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</si>
  <si>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</si>
  <si>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</si>
  <si>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</si>
  <si>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</si>
  <si>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</si>
  <si>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</si>
  <si>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</si>
  <si>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</si>
  <si>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</si>
  <si>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</si>
  <si>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</si>
  <si>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</si>
  <si>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</si>
  <si>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</si>
  <si>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</si>
  <si>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</si>
  <si>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</si>
  <si>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</si>
  <si>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</si>
  <si>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</si>
  <si>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</si>
  <si>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</si>
  <si>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</si>
  <si>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</si>
  <si>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</si>
  <si>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</si>
  <si>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</si>
  <si>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</si>
  <si>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</si>
  <si>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</si>
  <si>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</si>
  <si>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</si>
  <si>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</si>
  <si>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</si>
  <si>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</si>
  <si>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</si>
  <si>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</si>
  <si>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</si>
  <si>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</si>
  <si>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</si>
  <si>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</si>
  <si>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</si>
  <si>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</si>
  <si>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</si>
  <si>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</si>
  <si>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</si>
  <si>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</si>
  <si>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</si>
  <si>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</si>
  <si>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</si>
  <si>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</si>
  <si>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</si>
  <si>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</si>
  <si>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</si>
  <si>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</si>
  <si>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</si>
  <si>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</si>
  <si>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</si>
  <si>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</si>
  <si>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</si>
  <si>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</si>
  <si>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</si>
  <si>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</si>
  <si>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</si>
  <si>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</si>
  <si>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</si>
  <si>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</si>
  <si>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</si>
  <si>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</si>
  <si>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</si>
  <si>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</si>
  <si>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</si>
  <si>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</si>
  <si>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</si>
  <si>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</si>
  <si>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</si>
  <si>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</si>
  <si>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</si>
  <si>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</si>
  <si>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</si>
  <si>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</si>
  <si>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</si>
  <si>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</si>
  <si>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</si>
  <si>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</si>
  <si>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</si>
  <si>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</si>
  <si>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</si>
  <si>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</si>
  <si>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</si>
  <si>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</si>
  <si>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</si>
  <si>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</si>
  <si>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</si>
  <si>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</si>
  <si>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</si>
  <si>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</si>
  <si>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</si>
  <si>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</si>
  <si>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</si>
  <si>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</si>
  <si>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</si>
  <si>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</si>
  <si>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</si>
  <si>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</si>
  <si>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</si>
  <si>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</si>
  <si>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</si>
  <si>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</si>
  <si>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</si>
  <si>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</si>
  <si>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</si>
  <si>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</si>
  <si>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</si>
  <si>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</si>
  <si>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</si>
  <si>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</si>
  <si>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</si>
  <si>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</si>
  <si>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</si>
  <si>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</si>
  <si>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</si>
  <si>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</si>
  <si>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</si>
  <si>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</si>
  <si>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</si>
  <si>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</si>
  <si>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</si>
  <si>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</si>
  <si>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</si>
  <si>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</si>
  <si>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</si>
  <si>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</si>
  <si>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</si>
  <si>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</si>
  <si>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</si>
  <si>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</si>
  <si>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</si>
  <si>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</si>
  <si>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</si>
  <si>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</si>
  <si>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</si>
  <si>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</si>
  <si>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</si>
  <si>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</si>
  <si>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</si>
  <si>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</si>
  <si>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</si>
  <si>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</si>
  <si>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</si>
  <si>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</si>
  <si>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</si>
  <si>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</si>
  <si>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</si>
  <si>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</si>
  <si>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</si>
  <si>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</si>
  <si>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</si>
  <si>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</si>
  <si>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</si>
  <si>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</si>
  <si>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</si>
  <si>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</si>
  <si>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</si>
  <si>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</si>
  <si>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</si>
  <si>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</si>
  <si>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</si>
  <si>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</si>
  <si>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</si>
  <si>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</si>
  <si>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</si>
  <si>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</si>
  <si>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</si>
  <si>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</si>
  <si>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</si>
  <si>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</si>
  <si>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</si>
  <si>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</si>
  <si>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</si>
  <si>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</si>
  <si>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</si>
  <si>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</si>
  <si>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</si>
  <si>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</si>
  <si>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</si>
  <si>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</si>
  <si>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</si>
  <si>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</si>
  <si>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</si>
  <si>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</si>
  <si>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</si>
  <si>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</si>
  <si>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</si>
  <si>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</si>
  <si>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</si>
  <si>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</si>
  <si>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</si>
  <si>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</si>
  <si>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</si>
  <si>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</si>
  <si>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</si>
  <si>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</si>
  <si>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</si>
  <si>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</si>
  <si>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</si>
  <si>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</si>
  <si>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</si>
  <si>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</si>
  <si>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</si>
  <si>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</si>
  <si>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</si>
  <si>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</si>
  <si>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</si>
  <si>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</si>
  <si>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</si>
  <si>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</si>
  <si>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</si>
  <si>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</si>
  <si>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</si>
  <si>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</si>
  <si>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</si>
  <si>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</si>
  <si>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</si>
  <si>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</si>
  <si>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</si>
  <si>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</si>
  <si>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</si>
  <si>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</si>
  <si>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</si>
  <si>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</si>
  <si>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</si>
  <si>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</si>
  <si>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</si>
  <si>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</si>
  <si>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</si>
  <si>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</si>
  <si>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</si>
  <si>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</si>
  <si>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</si>
  <si>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</si>
  <si>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</si>
  <si>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</si>
  <si>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</si>
  <si>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</si>
  <si>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</si>
  <si>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</si>
  <si>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</si>
  <si>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</si>
  <si>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</si>
  <si>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</si>
  <si>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</si>
  <si>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</si>
  <si>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</si>
  <si>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</si>
  <si>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</si>
  <si>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</si>
  <si>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</si>
  <si>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</si>
  <si>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</si>
  <si>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</si>
  <si>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</si>
  <si>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</si>
  <si>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</si>
  <si>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</si>
  <si>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</si>
  <si>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</si>
  <si>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</si>
  <si>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</si>
  <si>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</si>
  <si>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</si>
  <si>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</si>
  <si>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</si>
  <si>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</si>
  <si>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</si>
  <si>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</si>
  <si>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</si>
  <si>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</si>
  <si>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</si>
  <si>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</si>
  <si>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</si>
  <si>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</si>
  <si>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</si>
  <si>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</si>
  <si>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</si>
  <si>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</si>
  <si>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</si>
  <si>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</si>
  <si>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</si>
  <si>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</si>
  <si>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</si>
  <si>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</si>
  <si>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</si>
  <si>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</si>
  <si>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</si>
  <si>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</si>
  <si>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</si>
  <si>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</si>
  <si>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</si>
  <si>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</si>
  <si>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</si>
  <si>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</si>
  <si>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</si>
  <si>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</si>
  <si>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</si>
  <si>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</si>
  <si>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</si>
  <si>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</si>
  <si>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</si>
  <si>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</si>
  <si>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</si>
  <si>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</si>
  <si>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</si>
  <si>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</si>
  <si>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</si>
  <si>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</si>
  <si>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</si>
  <si>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</si>
  <si>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</si>
  <si>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</si>
  <si>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</si>
  <si>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</si>
  <si>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</si>
  <si>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</si>
  <si>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</si>
  <si>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</si>
  <si>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</si>
  <si>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</si>
  <si>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</si>
  <si>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</si>
  <si>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</si>
  <si>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</si>
  <si>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</si>
  <si>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</si>
  <si>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</si>
  <si>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</si>
  <si>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</si>
  <si>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</si>
  <si>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</si>
  <si>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</si>
  <si>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</si>
  <si>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</si>
  <si>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</si>
  <si>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</si>
  <si>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</si>
  <si>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</si>
  <si>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</si>
  <si>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</si>
  <si>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</si>
  <si>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</si>
  <si>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</si>
  <si>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</si>
  <si>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</si>
  <si>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</si>
  <si>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</si>
  <si>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</si>
  <si>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</si>
  <si>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</si>
  <si>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</si>
  <si>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</si>
  <si>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</si>
  <si>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</si>
  <si>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</si>
  <si>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</si>
  <si>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</si>
  <si>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</si>
  <si>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</si>
  <si>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</si>
  <si>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</si>
  <si>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</si>
  <si>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</si>
  <si>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</si>
  <si>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</si>
  <si>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</si>
  <si>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</si>
  <si>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</si>
  <si>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</si>
  <si>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</si>
  <si>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</si>
  <si>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</si>
  <si>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</si>
  <si>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</si>
  <si>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</si>
  <si>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</si>
  <si>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</si>
  <si>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</si>
  <si>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</si>
  <si>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</si>
  <si>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</si>
  <si>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</si>
  <si>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</si>
  <si>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</si>
  <si>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</si>
  <si>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</si>
  <si>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</si>
  <si>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</si>
  <si>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</si>
  <si>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</si>
  <si>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</si>
  <si>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</si>
  <si>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</si>
  <si>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</si>
  <si>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</si>
  <si>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</si>
  <si>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</si>
  <si>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</si>
  <si>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</si>
  <si>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</si>
  <si>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</si>
  <si>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</si>
  <si>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</si>
  <si>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</si>
  <si>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</si>
  <si>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</si>
  <si>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</si>
  <si>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</si>
  <si>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</si>
  <si>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</si>
  <si>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</si>
  <si>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</si>
  <si>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</si>
  <si>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</si>
  <si>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</si>
  <si>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</si>
  <si>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</si>
  <si>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</si>
  <si>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</si>
  <si>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</si>
  <si>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</si>
  <si>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</si>
  <si>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</si>
  <si>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</si>
  <si>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</si>
  <si>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</si>
  <si>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</si>
  <si>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</si>
  <si>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</si>
  <si>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</si>
  <si>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</si>
  <si>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</si>
  <si>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</si>
  <si>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</si>
  <si>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</si>
  <si>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</si>
  <si>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</si>
  <si>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</si>
  <si>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</si>
  <si>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</si>
  <si>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</si>
  <si>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</si>
  <si>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</si>
  <si>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</si>
  <si>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</si>
  <si>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</si>
  <si>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</si>
  <si>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</si>
  <si>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</si>
  <si>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</si>
  <si>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</si>
  <si>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</si>
  <si>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</si>
  <si>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</si>
  <si>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</si>
  <si>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</si>
  <si>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</si>
  <si>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</si>
  <si>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</si>
  <si>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</si>
  <si>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</si>
  <si>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</si>
  <si>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</si>
  <si>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</si>
  <si>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</si>
  <si>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</si>
  <si>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</si>
  <si>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</si>
  <si>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</si>
  <si>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</si>
  <si>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</si>
  <si>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</si>
  <si>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</si>
  <si>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</si>
  <si>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</si>
  <si>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</si>
  <si>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</si>
  <si>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</si>
  <si>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</si>
  <si>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</si>
  <si>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</si>
  <si>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</si>
  <si>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</si>
  <si>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</si>
  <si>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</si>
  <si>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</si>
  <si>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</si>
  <si>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</si>
  <si>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</si>
  <si>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</si>
  <si>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</si>
  <si>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</si>
  <si>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</si>
  <si>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</si>
  <si>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</si>
  <si>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</si>
  <si>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</si>
  <si>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</si>
  <si>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</si>
  <si>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</si>
  <si>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</si>
  <si>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</si>
  <si>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</si>
  <si>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</si>
  <si>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</si>
  <si>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</si>
  <si>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</si>
  <si>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</si>
  <si>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</si>
  <si>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</si>
  <si>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</si>
  <si>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</si>
  <si>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</si>
  <si>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</si>
  <si>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</si>
  <si>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</si>
  <si>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</si>
  <si>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</si>
  <si>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</si>
  <si>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</si>
  <si>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</si>
  <si>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</si>
  <si>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</si>
  <si>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</si>
  <si>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</si>
  <si>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</si>
  <si>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</si>
  <si>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</si>
  <si>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</si>
  <si>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</si>
  <si>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</si>
  <si>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</si>
  <si>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</si>
  <si>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</si>
  <si>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</si>
  <si>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</si>
  <si>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</si>
  <si>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</si>
  <si>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</si>
  <si>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</si>
  <si>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</si>
  <si>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</si>
  <si>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</si>
  <si>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</si>
  <si>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</si>
  <si>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</si>
  <si>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</si>
  <si>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</si>
  <si>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</si>
  <si>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</si>
  <si>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</si>
  <si>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</si>
  <si>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</si>
  <si>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</si>
  <si>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</si>
  <si>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</si>
  <si>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</si>
  <si>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</si>
  <si>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</si>
  <si>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</si>
  <si>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</si>
  <si>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</si>
  <si>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</si>
  <si>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</si>
  <si>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</si>
  <si>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</si>
  <si>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</si>
  <si>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</si>
  <si>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</si>
  <si>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</si>
  <si>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</si>
  <si>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</si>
  <si>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</si>
  <si>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</si>
  <si>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</si>
  <si>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</si>
  <si>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</si>
  <si>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</si>
  <si>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</si>
  <si>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</si>
  <si>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</si>
  <si>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</si>
  <si>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</si>
  <si>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</si>
  <si>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</si>
  <si>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</si>
  <si>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</si>
  <si>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</si>
  <si>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</si>
  <si>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</si>
  <si>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</si>
  <si>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</si>
  <si>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</si>
  <si>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</si>
  <si>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</si>
  <si>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</si>
  <si>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</si>
  <si>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</si>
  <si>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</si>
  <si>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</si>
  <si>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</si>
  <si>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</si>
  <si>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</si>
  <si>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</si>
  <si>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</si>
  <si>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</si>
  <si>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</si>
  <si>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</si>
  <si>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</si>
  <si>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</si>
  <si>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</si>
  <si>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</si>
  <si>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</si>
  <si>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</si>
  <si>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</si>
  <si>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</si>
  <si>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</si>
  <si>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</si>
  <si>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</si>
  <si>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</si>
  <si>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</si>
  <si>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</si>
  <si>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</si>
  <si>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</si>
  <si>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</si>
  <si>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</si>
  <si>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</si>
  <si>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</si>
  <si>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</si>
  <si>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</si>
  <si>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</si>
  <si>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</si>
  <si>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</si>
  <si>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</si>
  <si>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</si>
  <si>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</si>
  <si>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</si>
  <si>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</si>
  <si>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</si>
  <si>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</si>
  <si>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</si>
  <si>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</si>
  <si>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</si>
  <si>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</si>
  <si>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</si>
  <si>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</si>
  <si>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</si>
  <si>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</si>
  <si>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</si>
  <si>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</si>
  <si>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</si>
  <si>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</si>
  <si>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</si>
  <si>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</si>
  <si>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</si>
  <si>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</si>
  <si>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</si>
  <si>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</si>
  <si>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</si>
  <si>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</si>
  <si>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</si>
  <si>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</si>
  <si>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</si>
  <si>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</si>
  <si>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</si>
  <si>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</si>
  <si>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</si>
  <si>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</si>
  <si>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</si>
  <si>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</si>
  <si>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</si>
  <si>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</si>
  <si>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</si>
  <si>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</si>
  <si>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</si>
  <si>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</si>
  <si>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</si>
  <si>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</si>
  <si>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</si>
  <si>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</si>
  <si>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</si>
  <si>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</si>
  <si>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</si>
  <si>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</si>
  <si>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</si>
  <si>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</si>
  <si>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</si>
  <si>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</si>
  <si>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</si>
  <si>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</si>
  <si>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</si>
  <si>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</si>
  <si>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</si>
  <si>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</si>
  <si>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</si>
  <si>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</si>
  <si>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</si>
  <si>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</si>
  <si>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</si>
  <si>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</si>
  <si>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</si>
  <si>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</si>
  <si>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</si>
  <si>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</si>
  <si>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</si>
  <si>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</si>
  <si>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</si>
  <si>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</si>
  <si>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</si>
  <si>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</si>
  <si>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</si>
  <si>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</si>
  <si>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</si>
  <si>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</si>
  <si>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</si>
  <si>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</si>
  <si>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</si>
  <si>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</si>
  <si>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</si>
  <si>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</si>
  <si>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</si>
  <si>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</si>
  <si>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</si>
  <si>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</si>
  <si>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</si>
  <si>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</si>
  <si>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</si>
  <si>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</si>
  <si>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</si>
  <si>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</si>
  <si>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</si>
  <si>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</si>
  <si>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</si>
  <si>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</si>
  <si>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</si>
  <si>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</si>
  <si>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</si>
  <si>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</si>
  <si>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</si>
  <si>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</si>
  <si>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</si>
  <si>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</si>
  <si>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</si>
  <si>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</si>
  <si>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</si>
  <si>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</si>
  <si>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</si>
  <si>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</si>
  <si>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</si>
  <si>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</si>
  <si>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</si>
  <si>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</si>
  <si>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</si>
  <si>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</si>
  <si>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</si>
  <si>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</si>
  <si>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</si>
  <si>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</si>
  <si>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</si>
  <si>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</si>
  <si>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</si>
  <si>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</si>
  <si>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</si>
  <si>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</si>
  <si>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</si>
  <si>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</si>
  <si>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</si>
  <si>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</si>
  <si>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</si>
  <si>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</si>
  <si>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</si>
  <si>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</si>
  <si>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</si>
  <si>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</si>
  <si>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</si>
  <si>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</si>
  <si>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</si>
  <si>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</si>
  <si>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</si>
  <si>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</si>
  <si>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</si>
  <si>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</si>
  <si>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</si>
  <si>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</si>
  <si>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</si>
  <si>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</si>
  <si>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</si>
  <si>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</si>
  <si>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</si>
  <si>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</si>
  <si>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</si>
  <si>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</si>
  <si>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</si>
  <si>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</si>
  <si>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</si>
  <si>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</si>
  <si>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</si>
  <si>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</si>
  <si>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</si>
  <si>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</si>
  <si>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</si>
  <si>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</si>
  <si>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</si>
  <si>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</si>
  <si>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</si>
  <si>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</si>
  <si>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</si>
  <si>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</si>
  <si>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</si>
  <si>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</si>
  <si>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</si>
  <si>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</si>
  <si>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</si>
  <si>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</si>
  <si>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</si>
  <si>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</si>
  <si>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</si>
  <si>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</si>
  <si>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</si>
  <si>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</si>
  <si>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</si>
  <si>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</si>
  <si>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</si>
  <si>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</si>
  <si>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</si>
  <si>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</si>
  <si>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</si>
  <si>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</si>
  <si>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</si>
  <si>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</si>
  <si>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</si>
  <si>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</si>
  <si>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</si>
  <si>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</si>
  <si>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</si>
  <si>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</si>
  <si>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</si>
  <si>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</si>
  <si>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</si>
  <si>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</si>
  <si>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</si>
  <si>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</si>
  <si>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</si>
  <si>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</si>
  <si>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</si>
  <si>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</si>
  <si>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</si>
  <si>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</si>
  <si>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</si>
  <si>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</si>
  <si>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</si>
  <si>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</si>
  <si>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</si>
  <si>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</si>
  <si>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</si>
  <si>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</si>
  <si>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</si>
  <si>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</si>
  <si>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</si>
  <si>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</si>
  <si>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</si>
  <si>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</si>
  <si>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</si>
  <si>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</si>
  <si>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</si>
  <si>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</si>
  <si>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</si>
  <si>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</si>
  <si>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</si>
  <si>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</si>
  <si>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</si>
  <si>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</si>
  <si>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</si>
  <si>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</si>
  <si>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</si>
  <si>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</si>
  <si>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</si>
  <si>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</si>
  <si>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</si>
  <si>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</si>
  <si>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</si>
  <si>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</si>
  <si>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</si>
  <si>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</si>
  <si>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</si>
  <si>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</si>
  <si>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</si>
  <si>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</si>
  <si>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</si>
  <si>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</si>
  <si>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</si>
  <si>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</si>
  <si>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</si>
  <si>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</si>
  <si>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</si>
  <si>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</si>
  <si>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</si>
  <si>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</si>
  <si>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</si>
  <si>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Abode std.</t>
  </si>
  <si>
    <t xml:space="preserve">squeeze 2s down to 1s 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</si>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</sst>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5" fontId="55" fillId="17" borderId="0" xfId="0" applyNumberFormat="1" applyFont="1" applyFill="1" applyProtection="1">
      <protection locked="0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38" fontId="140" fillId="11" borderId="0" xfId="6" applyNumberFormat="1" applyFont="1" applyFill="1" applyBorder="1" applyAlignment="1" applyProtection="1">
      <alignment vertical="center"/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F4" sqref="F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1093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1097</v>
      </c>
      <c r="B14" s="1691"/>
      <c r="C14" s="1691"/>
      <c r="D14" s="1715" t="s">
        <v>1106</v>
      </c>
      <c r="E14" s="700"/>
    </row>
    <row r="15" spans="1:5">
      <c r="A15" s="1581" t="s">
        <v>1094</v>
      </c>
      <c r="B15" s="1678"/>
      <c r="C15" s="1685"/>
      <c r="D15" s="1679" cm="1">
        <f t="array" aca="1" ref="D15" ca="1">IF(D14="Year 7 Takeout", INDIRECT("GapCalc!K46"), INDIRECT("GapCalc!K58"))</f>
        <v>8.837399010835123E-2</v>
      </c>
      <c r="E15" s="700"/>
    </row>
    <row r="16" spans="1:5">
      <c r="A16" s="1681" t="s">
        <v>1095</v>
      </c>
      <c r="B16" s="702"/>
      <c r="D16" s="1680" cm="1">
        <f t="array" aca="1" ref="D16" ca="1">IF(D14="Year 7 Takeout", INDIRECT("GapCalc!K51"), INDIRECT("GapCalc!K63"))</f>
        <v>8.837399010835123E-2</v>
      </c>
      <c r="E16" s="700"/>
    </row>
    <row r="17" spans="1:6">
      <c r="A17" s="1686"/>
      <c r="B17" s="702"/>
      <c r="D17" s="1682"/>
      <c r="E17" s="1754" t="s">
        <v>962</v>
      </c>
    </row>
    <row r="18" spans="1:6">
      <c r="A18" s="1683" t="s">
        <v>1096</v>
      </c>
      <c r="B18" s="47"/>
      <c r="C18" s="47"/>
      <c r="D18" s="1684" cm="1">
        <f t="array" aca="1" ref="D18" ca="1">IF(D14="Year 7 Takeout", INDIRECT("GapCalc!I55"), INDIRECT("GapCalc!I67"))</f>
        <v>-130827.45906435372</v>
      </c>
      <c r="E18" s="1755">
        <f ca="1">-D18/D28</f>
        <v>2.4440025978769609E-3</v>
      </c>
      <c r="F18" s="1308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29" t="s">
        <v>383</v>
      </c>
    </row>
    <row r="21" spans="1:6">
      <c r="A21" s="64"/>
      <c r="B21" s="63" t="s">
        <v>15</v>
      </c>
      <c r="C21" s="63"/>
      <c r="D21" s="1530">
        <f>'Development Budget'!G28</f>
        <v>6740000</v>
      </c>
      <c r="E21" s="1530">
        <f>D21/$D$10</f>
        <v>66732.67326732674</v>
      </c>
    </row>
    <row r="22" spans="1:6">
      <c r="A22" s="64"/>
      <c r="B22" s="4" t="s">
        <v>16</v>
      </c>
      <c r="C22" s="4"/>
      <c r="D22" s="1530">
        <f>'Development Budget'!G44</f>
        <v>37135500</v>
      </c>
      <c r="E22" s="1530">
        <f t="shared" ref="E22:E28" si="0">D22/$D$10</f>
        <v>367678.21782178216</v>
      </c>
      <c r="F22" s="1306"/>
    </row>
    <row r="23" spans="1:6">
      <c r="A23" s="64"/>
      <c r="B23" s="4" t="s">
        <v>17</v>
      </c>
      <c r="C23" s="4"/>
      <c r="D23" s="1530">
        <f>SUM('Development Budget'!G80,'Development Budget'!G59)</f>
        <v>1437720</v>
      </c>
      <c r="E23" s="1530">
        <f t="shared" si="0"/>
        <v>14234.851485148514</v>
      </c>
    </row>
    <row r="24" spans="1:6">
      <c r="A24" s="64"/>
      <c r="B24" s="4" t="s">
        <v>18</v>
      </c>
      <c r="C24" s="4"/>
      <c r="D24" s="1530">
        <f>'Development Budget'!G97</f>
        <v>1903349</v>
      </c>
      <c r="E24" s="1530">
        <f t="shared" si="0"/>
        <v>18845.039603960395</v>
      </c>
    </row>
    <row r="25" spans="1:6">
      <c r="A25" s="64"/>
      <c r="B25" s="4" t="s">
        <v>19</v>
      </c>
      <c r="C25" s="4"/>
      <c r="D25" s="1530">
        <f>'Development Budget'!G148+'Development Budget'!G170+'Development Budget'!G176</f>
        <v>2926091.4143887712</v>
      </c>
      <c r="E25" s="1530">
        <f t="shared" si="0"/>
        <v>28971.2021226611</v>
      </c>
    </row>
    <row r="26" spans="1:6">
      <c r="A26" s="64"/>
      <c r="B26" s="4" t="s">
        <v>20</v>
      </c>
      <c r="C26" s="4"/>
      <c r="D26" s="1530">
        <f>'Development Budget'!G181</f>
        <v>2782184.8458820791</v>
      </c>
      <c r="E26" s="1530">
        <f t="shared" si="0"/>
        <v>27546.384612693852</v>
      </c>
    </row>
    <row r="27" spans="1:6" ht="16.5" thickBot="1">
      <c r="A27" s="146"/>
      <c r="B27" s="67" t="s">
        <v>21</v>
      </c>
      <c r="C27" s="67"/>
      <c r="D27" s="1531">
        <f>'Development Budget'!G250-SUM(D21:D26)</f>
        <v>605154.73972915113</v>
      </c>
      <c r="E27" s="1531">
        <f t="shared" si="0"/>
        <v>5991.6310864272391</v>
      </c>
    </row>
    <row r="28" spans="1:6" ht="16.5" thickTop="1">
      <c r="A28" s="4"/>
      <c r="B28" s="4"/>
      <c r="C28" s="150" t="s">
        <v>14</v>
      </c>
      <c r="D28" s="1532">
        <f>SUM(D21:D27)</f>
        <v>53530000</v>
      </c>
      <c r="E28" s="1530">
        <f t="shared" si="0"/>
        <v>530000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29" t="s">
        <v>383</v>
      </c>
    </row>
    <row r="31" spans="1:6">
      <c r="A31" s="4"/>
      <c r="B31" s="4" t="s">
        <v>23</v>
      </c>
      <c r="C31" s="4"/>
      <c r="D31" s="61"/>
      <c r="E31" s="1530">
        <f t="shared" ref="E31:E32" si="1">D31/$D$10</f>
        <v>0</v>
      </c>
    </row>
    <row r="32" spans="1:6">
      <c r="A32" s="4"/>
      <c r="B32" s="4" t="s">
        <v>24</v>
      </c>
      <c r="C32" s="4"/>
      <c r="D32" s="1585">
        <f>Data!C20</f>
        <v>34794500</v>
      </c>
      <c r="E32" s="1585">
        <f t="shared" si="1"/>
        <v>344500</v>
      </c>
    </row>
    <row r="33" spans="1:5">
      <c r="A33" s="64"/>
      <c r="B33" s="4" t="s">
        <v>1054</v>
      </c>
      <c r="C33" s="4"/>
      <c r="D33" s="1586">
        <f>GapCalc!D29</f>
        <v>2810325.0000000005</v>
      </c>
      <c r="E33" s="1585">
        <f>D33/$D$10</f>
        <v>27825.000000000004</v>
      </c>
    </row>
    <row r="34" spans="1:5">
      <c r="A34" s="65"/>
      <c r="B34" s="4" t="s">
        <v>26</v>
      </c>
      <c r="C34" s="4"/>
      <c r="D34" s="1586">
        <f>GapCalc!D30</f>
        <v>15925175.000000002</v>
      </c>
      <c r="E34" s="1585">
        <f>D34/$D$10</f>
        <v>157675.00000000003</v>
      </c>
    </row>
    <row r="35" spans="1:5" ht="16.5" thickBot="1">
      <c r="A35" s="66"/>
      <c r="B35" s="67" t="s">
        <v>27</v>
      </c>
      <c r="C35" s="67"/>
      <c r="D35" s="1587">
        <v>0</v>
      </c>
      <c r="E35" s="1587">
        <f>D35/$D$10</f>
        <v>0</v>
      </c>
    </row>
    <row r="36" spans="1:5" ht="16.5" thickTop="1">
      <c r="A36" s="4"/>
      <c r="B36" s="690"/>
      <c r="C36" s="150" t="s">
        <v>28</v>
      </c>
      <c r="D36" s="1588">
        <f>SUM(D31:D35)</f>
        <v>53530000</v>
      </c>
      <c r="E36" s="1585">
        <f>D36/$D$10</f>
        <v>530000</v>
      </c>
    </row>
    <row r="37" spans="1:5">
      <c r="A37" s="60"/>
      <c r="B37" s="4"/>
      <c r="C37" s="4"/>
      <c r="D37" s="1585"/>
      <c r="E37" s="1593"/>
    </row>
    <row r="38" spans="1:5" ht="18.75">
      <c r="A38" s="152" t="s">
        <v>29</v>
      </c>
      <c r="B38" s="148"/>
      <c r="C38" s="148"/>
      <c r="D38" s="1589"/>
      <c r="E38" s="1594" t="s">
        <v>383</v>
      </c>
    </row>
    <row r="39" spans="1:5">
      <c r="A39" s="60"/>
      <c r="B39" s="4" t="s">
        <v>1050</v>
      </c>
      <c r="C39" s="4"/>
      <c r="D39" s="1585">
        <f>Data!G30</f>
        <v>0</v>
      </c>
      <c r="E39" s="1585">
        <f>D39/$D$10</f>
        <v>0</v>
      </c>
    </row>
    <row r="40" spans="1:5">
      <c r="A40" s="60"/>
      <c r="B40" s="4" t="s">
        <v>996</v>
      </c>
      <c r="C40" s="4"/>
      <c r="D40" s="1585">
        <f>GapCalc!D37</f>
        <v>48849061.373267718</v>
      </c>
      <c r="E40" s="1585">
        <f t="shared" ref="E40" si="2">D40/$D$10</f>
        <v>483654.07300265069</v>
      </c>
    </row>
    <row r="41" spans="1:5">
      <c r="A41" s="60"/>
      <c r="B41" s="4" t="s">
        <v>1054</v>
      </c>
      <c r="C41" s="4"/>
      <c r="D41" s="1590">
        <f>GapCalc!D29+GapCalc!D38</f>
        <v>2810325.0000000005</v>
      </c>
      <c r="E41" s="1585">
        <f>D41/$D$10</f>
        <v>27825.000000000004</v>
      </c>
    </row>
    <row r="42" spans="1:5">
      <c r="A42" s="60"/>
      <c r="B42" s="1556" t="s">
        <v>26</v>
      </c>
      <c r="C42" s="4"/>
      <c r="D42" s="1591">
        <f>GapCalc!D30+GapCalc!D39</f>
        <v>15925175.000000002</v>
      </c>
      <c r="E42" s="1585">
        <f>D42/$D$10</f>
        <v>157675.00000000003</v>
      </c>
    </row>
    <row r="43" spans="1:5">
      <c r="A43" s="60"/>
      <c r="B43" s="1714" t="s">
        <v>1105</v>
      </c>
      <c r="C43" s="4"/>
      <c r="D43" s="1591">
        <f>IF(D32-D40&gt;0,0,D32-D40)</f>
        <v>-14054561.373267718</v>
      </c>
      <c r="E43" s="1585">
        <f>D43/$D$10</f>
        <v>-139154.07300265066</v>
      </c>
    </row>
    <row r="44" spans="1:5">
      <c r="A44" s="60"/>
      <c r="B44" s="4" t="s">
        <v>27</v>
      </c>
      <c r="C44" s="4"/>
      <c r="D44" s="1591">
        <v>0</v>
      </c>
      <c r="E44" s="1585">
        <v>0</v>
      </c>
    </row>
    <row r="45" spans="1:5" ht="16.5" thickBot="1">
      <c r="A45" s="66"/>
      <c r="B45" s="731"/>
      <c r="C45" s="1675" t="s">
        <v>33</v>
      </c>
      <c r="D45" s="1676">
        <f>SUM(D39:D44)</f>
        <v>53530000.000000007</v>
      </c>
      <c r="E45" s="1587">
        <f>D45/$D$10</f>
        <v>530000.00000000012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30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29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0">
        <f>'Development Budget'!G28</f>
        <v>6740000</v>
      </c>
      <c r="E17" s="1530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0">
        <f>'Development Budget'!G44</f>
        <v>37135500</v>
      </c>
      <c r="E18" s="1530">
        <f t="shared" ref="E18:E24" si="0">D18/$D$11</f>
        <v>367678.21782178216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0">
        <f>SUM('Development Budget'!G80,'Development Budget'!G59)</f>
        <v>1437720</v>
      </c>
      <c r="E19" s="1530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0">
        <f>'Development Budget'!G97</f>
        <v>1903349</v>
      </c>
      <c r="E20" s="1530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0">
        <f>'Development Budget'!G148+'Development Budget'!G170+'Development Budget'!G176</f>
        <v>2926091.4143887712</v>
      </c>
      <c r="E21" s="1530">
        <f t="shared" si="0"/>
        <v>28971.2021226611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0">
        <f>'Development Budget'!G181</f>
        <v>2782184.8458820791</v>
      </c>
      <c r="E22" s="1530">
        <f t="shared" si="0"/>
        <v>27546.384612693852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1">
        <f>'Development Budget'!G250-SUM(D17:D22)</f>
        <v>605154.73972915113</v>
      </c>
      <c r="E23" s="1531">
        <f t="shared" si="0"/>
        <v>5991.6310864272391</v>
      </c>
      <c r="F23" s="62"/>
      <c r="G23" s="144"/>
      <c r="H23" s="145"/>
    </row>
    <row r="24" spans="1:10" s="4" customFormat="1" ht="16.5" thickTop="1">
      <c r="C24" s="150" t="s">
        <v>14</v>
      </c>
      <c r="D24" s="1532">
        <f>SUM(D17:D23)</f>
        <v>53530000</v>
      </c>
      <c r="E24" s="1530">
        <f t="shared" si="0"/>
        <v>530000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29" t="s">
        <v>383</v>
      </c>
      <c r="G26" s="1514" t="s">
        <v>1053</v>
      </c>
      <c r="H26" s="1436">
        <f>SUM(D29:D30)/H34</f>
        <v>1</v>
      </c>
    </row>
    <row r="27" spans="1:10" ht="15.75">
      <c r="A27" s="4"/>
      <c r="B27" s="4" t="s">
        <v>23</v>
      </c>
      <c r="C27" s="4"/>
      <c r="D27" s="61"/>
      <c r="E27" s="1530">
        <f t="shared" ref="E27:E28" si="1">D27/$D$11</f>
        <v>0</v>
      </c>
      <c r="F27" s="62"/>
      <c r="G27" s="1420" t="s">
        <v>982</v>
      </c>
      <c r="H27" s="1421"/>
      <c r="I27" s="695"/>
    </row>
    <row r="28" spans="1:10" ht="15.75">
      <c r="A28" s="4"/>
      <c r="B28" s="4" t="s">
        <v>24</v>
      </c>
      <c r="C28" s="4"/>
      <c r="D28" s="1585">
        <f>Data!C20</f>
        <v>34794500</v>
      </c>
      <c r="E28" s="1585">
        <f t="shared" si="1"/>
        <v>344500</v>
      </c>
      <c r="F28" s="62"/>
      <c r="G28" s="1418" t="s">
        <v>609</v>
      </c>
      <c r="H28" s="1607">
        <f>H32/D11</f>
        <v>27825.000000000004</v>
      </c>
      <c r="I28" s="703"/>
    </row>
    <row r="29" spans="1:10" ht="15.75">
      <c r="A29" s="64"/>
      <c r="B29" s="4" t="s">
        <v>1054</v>
      </c>
      <c r="C29" s="4"/>
      <c r="D29" s="1586">
        <v>2810325.0000000005</v>
      </c>
      <c r="E29" s="1585">
        <f>D29/$D$11</f>
        <v>27825.000000000004</v>
      </c>
      <c r="F29" s="520"/>
      <c r="G29" s="1419" t="s">
        <v>972</v>
      </c>
      <c r="H29" s="1608">
        <f>H33/D11</f>
        <v>157675.00000000003</v>
      </c>
      <c r="I29" s="703"/>
    </row>
    <row r="30" spans="1:10" ht="16.5" thickBot="1">
      <c r="A30" s="65"/>
      <c r="B30" s="4" t="s">
        <v>26</v>
      </c>
      <c r="C30" s="4"/>
      <c r="D30" s="1586">
        <v>15925175.000000002</v>
      </c>
      <c r="E30" s="1585">
        <f>D30/$D$11</f>
        <v>157675.00000000003</v>
      </c>
      <c r="F30" s="62"/>
      <c r="G30" s="4"/>
      <c r="H30" s="1590"/>
      <c r="I30" s="695"/>
      <c r="J30" s="690"/>
    </row>
    <row r="31" spans="1:10" ht="16.5" thickBot="1">
      <c r="A31" s="60"/>
      <c r="B31" s="4" t="s">
        <v>27</v>
      </c>
      <c r="C31" s="4"/>
      <c r="D31" s="1585">
        <v>0</v>
      </c>
      <c r="E31" s="1585">
        <f>D31/$D$11</f>
        <v>0</v>
      </c>
      <c r="F31" s="62"/>
      <c r="G31" s="1437" t="s">
        <v>1001</v>
      </c>
      <c r="H31" s="1609"/>
      <c r="I31" s="1438"/>
      <c r="J31" s="690"/>
    </row>
    <row r="32" spans="1:10" ht="16.5" thickBot="1">
      <c r="A32" s="1432"/>
      <c r="B32" s="67" t="s">
        <v>998</v>
      </c>
      <c r="C32" s="67"/>
      <c r="D32" s="1587">
        <f>SUM(D28:D31)-D24</f>
        <v>0</v>
      </c>
      <c r="E32" s="1587">
        <f>D32/$D$11</f>
        <v>0</v>
      </c>
      <c r="F32" s="62"/>
      <c r="G32" s="1338" t="s">
        <v>609</v>
      </c>
      <c r="H32" s="1610">
        <f>D29+D38</f>
        <v>2810325.0000000005</v>
      </c>
      <c r="I32" s="1345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8">
        <f>SUM(D27:D31)</f>
        <v>53530000</v>
      </c>
      <c r="E33" s="1585">
        <f>D33/$D$11</f>
        <v>530000</v>
      </c>
      <c r="F33" s="62"/>
      <c r="G33" s="1440" t="s">
        <v>972</v>
      </c>
      <c r="H33" s="1610">
        <f>D30+D39</f>
        <v>15925175.000000002</v>
      </c>
      <c r="I33" s="1345">
        <f>H33/H34</f>
        <v>0.85</v>
      </c>
      <c r="J33" s="690"/>
    </row>
    <row r="34" spans="1:12" ht="17.25" thickTop="1" thickBot="1">
      <c r="A34" s="60"/>
      <c r="B34" s="4"/>
      <c r="C34" s="4"/>
      <c r="D34" s="1585"/>
      <c r="E34" s="1593"/>
      <c r="F34" s="62"/>
      <c r="G34" s="1439" t="s">
        <v>37</v>
      </c>
      <c r="H34" s="1611">
        <f>SUM(H32:H33)</f>
        <v>18735500.000000004</v>
      </c>
      <c r="I34" s="1345"/>
      <c r="J34" s="690"/>
    </row>
    <row r="35" spans="1:12" ht="18.75">
      <c r="A35" s="152" t="s">
        <v>29</v>
      </c>
      <c r="B35" s="148"/>
      <c r="C35" s="148"/>
      <c r="D35" s="1589"/>
      <c r="E35" s="1594" t="s">
        <v>383</v>
      </c>
      <c r="F35" s="68"/>
      <c r="G35" s="1338"/>
      <c r="H35" s="1602"/>
      <c r="I35" s="1340" t="s">
        <v>962</v>
      </c>
      <c r="J35" s="690"/>
    </row>
    <row r="36" spans="1:12" ht="16.5" thickBot="1">
      <c r="A36" s="60"/>
      <c r="B36" s="4" t="s">
        <v>1050</v>
      </c>
      <c r="C36" s="4"/>
      <c r="D36" s="1585">
        <f>Data!G30</f>
        <v>0</v>
      </c>
      <c r="E36" s="1585">
        <f>D36/$D$11</f>
        <v>0</v>
      </c>
      <c r="F36" s="62"/>
      <c r="G36" s="1339"/>
      <c r="H36" s="1612"/>
      <c r="I36" s="1341">
        <f>H34/D24</f>
        <v>0.35000000000000009</v>
      </c>
      <c r="J36" s="704"/>
    </row>
    <row r="37" spans="1:12" ht="16.5" thickBot="1">
      <c r="A37" s="60"/>
      <c r="B37" s="4" t="s">
        <v>996</v>
      </c>
      <c r="C37" s="4"/>
      <c r="D37" s="1585">
        <f>Data!C30</f>
        <v>48849061.373267718</v>
      </c>
      <c r="E37" s="1585">
        <f t="shared" ref="E37" si="2">D37/$D$11</f>
        <v>483654.07300265069</v>
      </c>
      <c r="F37" s="62"/>
      <c r="G37" s="335"/>
      <c r="H37" s="1613"/>
      <c r="I37" s="703"/>
      <c r="J37" s="704"/>
    </row>
    <row r="38" spans="1:12" ht="16.5" thickBot="1">
      <c r="A38" s="60"/>
      <c r="B38" s="4" t="s">
        <v>1054</v>
      </c>
      <c r="C38" s="4"/>
      <c r="D38" s="1590">
        <v>0</v>
      </c>
      <c r="E38" s="1585">
        <f>D38/$D$11</f>
        <v>0</v>
      </c>
      <c r="F38" s="62"/>
      <c r="G38" s="1433" t="s">
        <v>999</v>
      </c>
      <c r="H38" s="1614" t="s">
        <v>983</v>
      </c>
      <c r="I38" s="1441" t="s">
        <v>1003</v>
      </c>
      <c r="J38" s="690"/>
    </row>
    <row r="39" spans="1:12" ht="15.75">
      <c r="A39" s="60"/>
      <c r="B39" s="1556" t="s">
        <v>26</v>
      </c>
      <c r="C39" s="4"/>
      <c r="D39" s="1591">
        <v>0</v>
      </c>
      <c r="E39" s="1585">
        <f>D39/$D$11</f>
        <v>0</v>
      </c>
      <c r="F39" s="62"/>
      <c r="G39" s="1434" t="s">
        <v>609</v>
      </c>
      <c r="H39" s="1615">
        <f>-D32*0.15</f>
        <v>0</v>
      </c>
      <c r="I39" s="1595">
        <f>D29+H39</f>
        <v>2810325.0000000005</v>
      </c>
      <c r="J39" s="690"/>
    </row>
    <row r="40" spans="1:12" ht="16.5" thickBot="1">
      <c r="A40" s="60"/>
      <c r="B40" s="4" t="s">
        <v>27</v>
      </c>
      <c r="C40" s="4"/>
      <c r="D40" s="1591">
        <v>0</v>
      </c>
      <c r="E40" s="1585">
        <v>0</v>
      </c>
      <c r="F40" s="62"/>
      <c r="G40" s="1435" t="s">
        <v>972</v>
      </c>
      <c r="H40" s="1616">
        <f>-D32*0.85</f>
        <v>0</v>
      </c>
      <c r="I40" s="1596">
        <f>D30+H40</f>
        <v>15925175.000000002</v>
      </c>
      <c r="J40" s="690"/>
    </row>
    <row r="41" spans="1:12" ht="16.5" thickBot="1">
      <c r="A41" s="66"/>
      <c r="B41" s="67" t="s">
        <v>998</v>
      </c>
      <c r="C41" s="67"/>
      <c r="D41" s="1592">
        <f>SUM(D36:D39)-D28</f>
        <v>14054561.373267718</v>
      </c>
      <c r="E41" s="1587">
        <f>D41/$D$11</f>
        <v>139154.07300265066</v>
      </c>
      <c r="F41" s="62"/>
      <c r="H41" s="1615"/>
      <c r="I41" s="1597"/>
      <c r="J41" s="690"/>
    </row>
    <row r="42" spans="1:12" ht="17.25" thickTop="1" thickBot="1">
      <c r="A42" s="60"/>
      <c r="B42" s="690"/>
      <c r="C42" s="150" t="s">
        <v>33</v>
      </c>
      <c r="D42" s="1588">
        <f>SUM(D36:D39)</f>
        <v>48849061.373267718</v>
      </c>
      <c r="E42" s="1585">
        <f>D42/$D$11</f>
        <v>483654.07300265069</v>
      </c>
      <c r="G42" s="1433" t="s">
        <v>1000</v>
      </c>
      <c r="H42" s="1614" t="s">
        <v>983</v>
      </c>
      <c r="I42" s="1598" t="s">
        <v>1003</v>
      </c>
      <c r="J42" s="690"/>
    </row>
    <row r="43" spans="1:12" ht="15.75">
      <c r="A43" s="65"/>
      <c r="B43" s="60"/>
      <c r="C43" s="60"/>
      <c r="D43" s="61"/>
      <c r="E43" s="61"/>
      <c r="G43" s="1434" t="s">
        <v>609</v>
      </c>
      <c r="H43" s="1615">
        <f>-D41*0.15</f>
        <v>-2108184.2059901576</v>
      </c>
      <c r="I43" s="1595">
        <f>D38+H43</f>
        <v>-2108184.2059901576</v>
      </c>
      <c r="J43" s="690"/>
    </row>
    <row r="44" spans="1:12" ht="16.5" thickBot="1">
      <c r="A44" s="60"/>
      <c r="B44" s="60"/>
      <c r="C44" s="60"/>
      <c r="D44" s="159"/>
      <c r="E44" s="159"/>
      <c r="G44" s="1435" t="s">
        <v>972</v>
      </c>
      <c r="H44" s="1615">
        <f>-D41*0.85</f>
        <v>-11946377.16727756</v>
      </c>
      <c r="I44" s="1595">
        <f>D39+H44</f>
        <v>-11946377.16727756</v>
      </c>
      <c r="J44" s="690"/>
    </row>
    <row r="45" spans="1:12" ht="15.75">
      <c r="A45" s="60"/>
      <c r="D45" s="159"/>
      <c r="E45" s="159"/>
      <c r="G45" s="4"/>
      <c r="H45" s="1705" t="s">
        <v>1098</v>
      </c>
      <c r="I45" s="1709"/>
      <c r="J45" s="1707"/>
      <c r="K45" s="1706"/>
      <c r="L45" s="1695"/>
    </row>
    <row r="46" spans="1:12" ht="15.75">
      <c r="A46" s="60"/>
      <c r="D46" s="1443"/>
      <c r="E46" s="1443"/>
      <c r="G46" s="690"/>
      <c r="H46" s="1571" t="s">
        <v>1064</v>
      </c>
      <c r="I46" s="1599">
        <f>'Cash Flow'!C66</f>
        <v>15813971.659795301</v>
      </c>
      <c r="J46" s="1581" t="s">
        <v>1086</v>
      </c>
      <c r="K46" s="1582">
        <f>'Cash Flow'!C76</f>
        <v>8.837399010835123E-2</v>
      </c>
      <c r="L46" s="1696"/>
    </row>
    <row r="47" spans="1:12" ht="16.5" thickBot="1">
      <c r="A47" s="696"/>
      <c r="C47" s="1442"/>
      <c r="D47" s="690"/>
      <c r="E47" s="690"/>
      <c r="G47" s="690"/>
      <c r="H47" s="1572" t="s">
        <v>1065</v>
      </c>
      <c r="I47" s="1600">
        <f>'Cash Flow'!C80</f>
        <v>10883535.263663154</v>
      </c>
      <c r="J47" s="1583" t="s">
        <v>1101</v>
      </c>
      <c r="K47" s="1606">
        <f>'Cash Flow'!C70</f>
        <v>25776773.805466339</v>
      </c>
      <c r="L47" s="1696"/>
    </row>
    <row r="48" spans="1:12" ht="15.75" thickTop="1">
      <c r="A48" s="6"/>
      <c r="B48" s="696"/>
      <c r="C48" s="696"/>
      <c r="D48" s="690"/>
      <c r="E48" s="690"/>
      <c r="H48" s="1569" t="s">
        <v>1062</v>
      </c>
      <c r="I48" s="1601">
        <f>I46-H33</f>
        <v>-111203.34020470083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2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3" t="s">
        <v>1073</v>
      </c>
      <c r="I51" s="1603">
        <f>'Cash Flow'!H66</f>
        <v>2790700.8811403476</v>
      </c>
      <c r="J51" s="1584" t="s">
        <v>1086</v>
      </c>
      <c r="K51" s="1617">
        <f>'Cash Flow'!H76</f>
        <v>8.837399010835123E-2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5" t="s">
        <v>1074</v>
      </c>
      <c r="I52" s="1604">
        <f>H32</f>
        <v>2810325.0000000005</v>
      </c>
      <c r="J52" s="1583" t="s">
        <v>1100</v>
      </c>
      <c r="K52" s="1606">
        <f>'Cash Flow'!H70</f>
        <v>4548842.4362587659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4" t="s">
        <v>1062</v>
      </c>
      <c r="I53" s="1605">
        <f>I51-I52</f>
        <v>-19624.118859652895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1078</v>
      </c>
      <c r="I55" s="1711">
        <f>I48+I53</f>
        <v>-130827.45906435372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1099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1" t="s">
        <v>1064</v>
      </c>
      <c r="I58" s="1599">
        <f>'Cash Flow'!C93</f>
        <v>22544288.794520896</v>
      </c>
      <c r="J58" s="1581" t="s">
        <v>1086</v>
      </c>
      <c r="K58" s="1582">
        <f>'Cash Flow'!C103</f>
        <v>0.13074905446922283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2" t="s">
        <v>1065</v>
      </c>
      <c r="I59" s="1600">
        <f>'Cash Flow'!C92</f>
        <v>0</v>
      </c>
      <c r="J59" s="1583" t="s">
        <v>1100</v>
      </c>
      <c r="K59" s="1606">
        <f>'Cash Flow'!C97</f>
        <v>36747190.735069059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69" t="s">
        <v>1062</v>
      </c>
      <c r="I60" s="1601">
        <f>I58-H33</f>
        <v>6619113.7945208941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2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3" t="s">
        <v>1073</v>
      </c>
      <c r="I63" s="1603">
        <f>'Cash Flow'!H93</f>
        <v>3122785.9035860645</v>
      </c>
      <c r="J63" s="1584" t="s">
        <v>1086</v>
      </c>
      <c r="K63" s="1617">
        <f>'Cash Flow'!H103</f>
        <v>8.1122860268662306E-2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5" t="s">
        <v>1074</v>
      </c>
      <c r="I64" s="1604">
        <f>H32</f>
        <v>2810325.0000000005</v>
      </c>
      <c r="J64" s="1583" t="s">
        <v>1100</v>
      </c>
      <c r="K64" s="1606">
        <f>'Cash Flow'!H97</f>
        <v>5090141.022845285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4" t="s">
        <v>1062</v>
      </c>
      <c r="I65" s="1605">
        <f>I63-I64</f>
        <v>312460.903586064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1078</v>
      </c>
      <c r="I67" s="1701">
        <f>I60+I65</f>
        <v>6931574.6981069576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40" zoomScale="130" zoomScaleNormal="130" workbookViewId="0">
      <selection activeCell="E118" sqref="E118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1085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1107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422">
        <f>N17+N16</f>
        <v>101</v>
      </c>
      <c r="O18" s="1423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 t="s">
        <v>1039</v>
      </c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 t="s">
        <v>44</v>
      </c>
      <c r="Q24" s="201" t="s">
        <v>45</v>
      </c>
      <c r="R24" s="521" t="s">
        <v>46</v>
      </c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 t="s">
        <v>52</v>
      </c>
      <c r="Q25" s="201"/>
      <c r="R25" s="521">
        <v>0.17</v>
      </c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 t="s">
        <v>53</v>
      </c>
      <c r="Q26" s="201">
        <v>72</v>
      </c>
      <c r="R26" s="521">
        <v>0.16</v>
      </c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 t="s">
        <v>55</v>
      </c>
      <c r="Q27" s="201">
        <v>74</v>
      </c>
      <c r="R27" s="521">
        <v>0.4</v>
      </c>
      <c r="S27" s="201" t="s">
        <v>1040</v>
      </c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 t="s">
        <v>56</v>
      </c>
      <c r="Q28" s="201">
        <v>20</v>
      </c>
      <c r="R28" s="521">
        <v>0.25</v>
      </c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M34" s="201">
        <f>100*0.2</f>
        <v>20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635">
        <f>E41/$E$46</f>
        <v>0.5</v>
      </c>
      <c r="M41" s="1635">
        <f>$M$34*L41</f>
        <v>10</v>
      </c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635">
        <f t="shared" ref="L42:L43" si="1">E42/$E$46</f>
        <v>0.25</v>
      </c>
      <c r="M42" s="1635">
        <f t="shared" ref="M42:M43" si="2">$M$34*L42</f>
        <v>5</v>
      </c>
      <c r="O42" s="1630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635">
        <f t="shared" si="1"/>
        <v>0.25</v>
      </c>
      <c r="M43" s="1635">
        <f t="shared" si="2"/>
        <v>5</v>
      </c>
      <c r="O43" s="1631"/>
      <c r="P43" s="1632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5"/>
      <c r="O44" s="1634"/>
      <c r="P44" s="1632"/>
      <c r="Q44" s="1633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1"/>
      <c r="P45" s="1632"/>
      <c r="Q45" s="1633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N46" s="201">
        <f>100-20</f>
        <v>80</v>
      </c>
      <c r="O46" s="1631"/>
      <c r="P46" s="1632"/>
      <c r="Q46" s="1633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1"/>
      <c r="P47" s="1632"/>
      <c r="Q47" s="1633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644">
        <v>2400</v>
      </c>
      <c r="J50" s="284">
        <f>D50*E50</f>
        <v>4800</v>
      </c>
      <c r="K50" s="292">
        <f>E50*I50</f>
        <v>28800</v>
      </c>
      <c r="L50" s="1692">
        <f>I50/D50</f>
        <v>6</v>
      </c>
      <c r="M50" s="1635">
        <f>E50/$E$55</f>
        <v>0.15</v>
      </c>
      <c r="N50" s="1635">
        <f>$N$46*M50</f>
        <v>12</v>
      </c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8040</v>
      </c>
      <c r="K51" s="292">
        <f>E51*I51</f>
        <v>37440</v>
      </c>
      <c r="L51" s="1692">
        <f t="shared" ref="L51:L53" si="3">I51/D51</f>
        <v>4.6567164179104479</v>
      </c>
      <c r="M51" s="1635">
        <f>E51/$E$55</f>
        <v>0.15</v>
      </c>
      <c r="N51" s="1635">
        <f t="shared" ref="N51:N52" si="4">$N$46*M51</f>
        <v>12</v>
      </c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644">
        <v>4540</v>
      </c>
      <c r="J52" s="284">
        <f>D52*E52</f>
        <v>56000</v>
      </c>
      <c r="K52" s="292">
        <f>E52*I52</f>
        <v>254240</v>
      </c>
      <c r="L52" s="1692">
        <f t="shared" si="3"/>
        <v>4.54</v>
      </c>
      <c r="M52" s="1635">
        <f t="shared" ref="M52" si="5">E52/$E$55</f>
        <v>0.7</v>
      </c>
      <c r="N52" s="1635">
        <f t="shared" si="4"/>
        <v>56</v>
      </c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644">
        <f>ROUND(G53-H53,0)</f>
        <v>4327</v>
      </c>
      <c r="J53" s="284">
        <f>D53*E53</f>
        <v>0</v>
      </c>
      <c r="K53" s="292">
        <f>E53*I53</f>
        <v>0</v>
      </c>
      <c r="L53" s="1692">
        <f t="shared" si="3"/>
        <v>3.5467213114754097</v>
      </c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8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8"/>
      <c r="L127" s="203"/>
    </row>
    <row r="128" spans="2:12" outlineLevel="1">
      <c r="C128" s="1619"/>
      <c r="D128" s="309"/>
      <c r="E128" s="245"/>
      <c r="F128" s="203"/>
      <c r="G128" s="1620"/>
      <c r="H128" s="1621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2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3"/>
      <c r="D134" s="203"/>
      <c r="E134" s="1620"/>
      <c r="F134" s="203"/>
      <c r="G134" s="203"/>
      <c r="H134" s="1621"/>
      <c r="I134" s="203"/>
      <c r="J134" s="284"/>
      <c r="K134" s="285"/>
      <c r="L134" s="203"/>
    </row>
    <row r="135" spans="3:12" outlineLevel="1">
      <c r="C135" s="1619"/>
      <c r="D135" s="309"/>
      <c r="E135" s="245"/>
      <c r="F135" s="203"/>
      <c r="G135" s="1620"/>
      <c r="H135" s="1621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2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3"/>
      <c r="D141" s="203"/>
      <c r="E141" s="1620"/>
      <c r="F141" s="203"/>
      <c r="G141" s="203"/>
      <c r="H141" s="1621"/>
      <c r="I141" s="203"/>
      <c r="J141" s="284"/>
      <c r="K141" s="285"/>
    </row>
    <row r="142" spans="3:12" outlineLevel="1">
      <c r="C142" s="1619"/>
      <c r="D142" s="309"/>
      <c r="E142" s="245"/>
      <c r="F142" s="203"/>
      <c r="G142" s="1620"/>
      <c r="H142" s="1621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2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3"/>
      <c r="D148" s="203"/>
      <c r="E148" s="1620"/>
      <c r="F148" s="203"/>
      <c r="G148" s="203"/>
      <c r="H148" s="1621"/>
      <c r="I148" s="203"/>
      <c r="J148" s="284"/>
      <c r="K148" s="285"/>
    </row>
    <row r="149" spans="3:13" outlineLevel="1">
      <c r="C149" s="1619"/>
      <c r="D149" s="309"/>
      <c r="E149" s="245"/>
      <c r="F149" s="203"/>
      <c r="G149" s="1620"/>
      <c r="H149" s="1621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2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3"/>
      <c r="D155" s="203"/>
      <c r="E155" s="1620"/>
      <c r="F155" s="203"/>
      <c r="G155" s="203"/>
      <c r="H155" s="1621"/>
      <c r="I155" s="203"/>
      <c r="J155" s="284"/>
      <c r="K155" s="285"/>
    </row>
    <row r="156" spans="3:13" outlineLevel="1">
      <c r="C156" s="1619"/>
      <c r="D156" s="309"/>
      <c r="E156" s="245"/>
      <c r="F156" s="203"/>
      <c r="G156" s="1620"/>
      <c r="H156" s="1621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2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3"/>
      <c r="D162" s="203"/>
      <c r="E162" s="1620"/>
      <c r="F162" s="203"/>
      <c r="G162" s="203"/>
      <c r="H162" s="1621"/>
      <c r="I162" s="203"/>
      <c r="J162" s="284"/>
      <c r="K162" s="285"/>
    </row>
    <row r="163" spans="3:17" outlineLevel="1">
      <c r="C163" s="1619"/>
      <c r="D163" s="309"/>
      <c r="E163" s="245"/>
      <c r="F163" s="203"/>
      <c r="G163" s="1620"/>
      <c r="H163" s="1621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2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3"/>
      <c r="D169" s="203"/>
      <c r="E169" s="1620"/>
      <c r="F169" s="203"/>
      <c r="G169" s="203"/>
      <c r="H169" s="1621"/>
      <c r="I169" s="203"/>
      <c r="J169" s="284"/>
      <c r="K169" s="285"/>
    </row>
    <row r="170" spans="3:17" outlineLevel="1">
      <c r="C170" s="1619"/>
      <c r="D170" s="309"/>
      <c r="E170" s="245"/>
      <c r="F170" s="203"/>
      <c r="G170" s="1620"/>
      <c r="H170" s="1621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2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3"/>
      <c r="D176" s="203"/>
      <c r="E176" s="1620"/>
      <c r="F176" s="203"/>
      <c r="G176" s="203"/>
      <c r="H176" s="1621"/>
      <c r="I176" s="203"/>
      <c r="J176" s="284"/>
      <c r="K176" s="285"/>
      <c r="O176" s="298"/>
      <c r="Q176" s="298"/>
    </row>
    <row r="177" spans="3:15" outlineLevel="1">
      <c r="C177" s="1619"/>
      <c r="D177" s="309"/>
      <c r="E177" s="245"/>
      <c r="F177" s="203"/>
      <c r="G177" s="1620"/>
      <c r="H177" s="1621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2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3"/>
      <c r="D183" s="203"/>
      <c r="E183" s="1620"/>
      <c r="F183" s="203"/>
      <c r="G183" s="203"/>
      <c r="H183" s="1621"/>
      <c r="I183" s="203"/>
      <c r="J183" s="284"/>
      <c r="K183" s="285"/>
      <c r="O183" s="1624"/>
    </row>
    <row r="184" spans="3:15" outlineLevel="1">
      <c r="C184" s="1619"/>
      <c r="D184" s="309"/>
      <c r="E184" s="245"/>
      <c r="F184" s="203"/>
      <c r="G184" s="1620"/>
      <c r="H184" s="1621"/>
      <c r="I184" s="203"/>
      <c r="J184" s="284"/>
      <c r="K184" s="285"/>
      <c r="O184" s="1624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4"/>
    </row>
    <row r="186" spans="3:15" outlineLevel="1">
      <c r="D186" s="244"/>
      <c r="E186" s="1622"/>
      <c r="F186" s="238"/>
      <c r="G186" s="238"/>
      <c r="H186" s="238"/>
      <c r="I186" s="237"/>
      <c r="J186" s="222"/>
      <c r="K186" s="222"/>
      <c r="O186" s="1624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4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4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4"/>
    </row>
    <row r="190" spans="3:15" outlineLevel="1">
      <c r="C190" s="1623"/>
      <c r="D190" s="203"/>
      <c r="E190" s="1620"/>
      <c r="F190" s="203"/>
      <c r="G190" s="203"/>
      <c r="H190" s="1621"/>
      <c r="I190" s="203"/>
      <c r="J190" s="284"/>
      <c r="K190" s="285"/>
      <c r="O190" s="1624"/>
    </row>
    <row r="191" spans="3:15" outlineLevel="1">
      <c r="C191" s="1619"/>
      <c r="D191" s="309"/>
      <c r="E191" s="245"/>
      <c r="F191" s="203"/>
      <c r="G191" s="1620"/>
      <c r="H191" s="1621"/>
      <c r="I191" s="203"/>
      <c r="J191" s="284"/>
      <c r="K191" s="285"/>
      <c r="O191" s="1624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4"/>
    </row>
    <row r="193" spans="3:15" outlineLevel="1">
      <c r="D193" s="244"/>
      <c r="E193" s="1622"/>
      <c r="F193" s="238"/>
      <c r="G193" s="238"/>
      <c r="H193" s="238"/>
      <c r="I193" s="237"/>
      <c r="J193" s="222"/>
      <c r="K193" s="222"/>
      <c r="O193" s="1624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4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4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4"/>
    </row>
    <row r="197" spans="3:15" outlineLevel="1">
      <c r="C197" s="1623"/>
      <c r="D197" s="203"/>
      <c r="E197" s="1620"/>
      <c r="F197" s="203"/>
      <c r="G197" s="203"/>
      <c r="H197" s="1621"/>
      <c r="I197" s="203"/>
      <c r="J197" s="284"/>
      <c r="K197" s="285"/>
      <c r="O197" s="1624"/>
    </row>
    <row r="198" spans="3:15" outlineLevel="1">
      <c r="C198" s="1619"/>
      <c r="D198" s="309"/>
      <c r="E198" s="245"/>
      <c r="F198" s="203"/>
      <c r="G198" s="1620"/>
      <c r="H198" s="1621"/>
      <c r="I198" s="203"/>
      <c r="J198" s="284"/>
      <c r="K198" s="285"/>
      <c r="O198" s="1624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4"/>
    </row>
    <row r="200" spans="3:15" outlineLevel="1">
      <c r="D200" s="244"/>
      <c r="E200" s="1622"/>
      <c r="F200" s="238"/>
      <c r="G200" s="238"/>
      <c r="H200" s="238"/>
      <c r="I200" s="237"/>
      <c r="J200" s="222"/>
      <c r="K200" s="222"/>
      <c r="O200" s="1624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4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4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4"/>
    </row>
    <row r="204" spans="3:15" outlineLevel="1">
      <c r="C204" s="1623"/>
      <c r="D204" s="203"/>
      <c r="E204" s="1620"/>
      <c r="F204" s="203"/>
      <c r="G204" s="203"/>
      <c r="H204" s="1621"/>
      <c r="I204" s="203"/>
      <c r="J204" s="284"/>
      <c r="K204" s="285"/>
      <c r="O204" s="1624"/>
    </row>
    <row r="205" spans="3:15" outlineLevel="1">
      <c r="O205" s="1624"/>
    </row>
    <row r="206" spans="3:15" outlineLevel="1">
      <c r="C206" s="288"/>
      <c r="D206" s="288"/>
      <c r="E206" s="288"/>
      <c r="J206" s="1625"/>
      <c r="O206" s="1624"/>
    </row>
    <row r="207" spans="3:15" outlineLevel="1">
      <c r="O207" s="1624"/>
    </row>
    <row r="208" spans="3:15" outlineLevel="1"/>
    <row r="209" spans="3:11" ht="16.5" outlineLevel="1">
      <c r="C209" s="1618"/>
    </row>
    <row r="210" spans="3:11" outlineLevel="1">
      <c r="C210" s="1619"/>
      <c r="D210" s="309"/>
      <c r="E210" s="245"/>
      <c r="F210" s="203"/>
      <c r="G210" s="1620"/>
      <c r="H210" s="1621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2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3"/>
      <c r="D216" s="203"/>
      <c r="E216" s="1620"/>
      <c r="F216" s="203"/>
      <c r="G216" s="203"/>
      <c r="H216" s="1621"/>
      <c r="I216" s="203"/>
      <c r="J216" s="284"/>
      <c r="K216" s="285"/>
    </row>
    <row r="217" spans="3:11" outlineLevel="1">
      <c r="C217" s="1619"/>
      <c r="D217" s="309"/>
      <c r="E217" s="245"/>
      <c r="F217" s="203"/>
      <c r="G217" s="1620"/>
      <c r="H217" s="1621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6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1"/>
      <c r="I223" s="203"/>
      <c r="J223" s="284"/>
      <c r="K223" s="285"/>
    </row>
    <row r="224" spans="3:11" outlineLevel="1">
      <c r="C224" s="1619"/>
      <c r="D224" s="309"/>
      <c r="E224" s="245"/>
      <c r="F224" s="203"/>
      <c r="G224" s="1620"/>
      <c r="H224" s="1621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7"/>
      <c r="F226" s="238"/>
      <c r="G226" s="238"/>
      <c r="H226" s="1626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8"/>
      <c r="D230" s="203"/>
      <c r="E230" s="1620"/>
      <c r="F230" s="203"/>
      <c r="G230" s="203"/>
      <c r="H230" s="1621"/>
      <c r="I230" s="203"/>
      <c r="J230" s="284"/>
      <c r="K230" s="285"/>
    </row>
    <row r="231" spans="3:11" outlineLevel="1">
      <c r="C231" s="1619"/>
      <c r="D231" s="309"/>
      <c r="E231" s="245"/>
      <c r="F231" s="203"/>
      <c r="G231" s="1620"/>
      <c r="H231" s="1621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6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1"/>
      <c r="I237" s="203"/>
      <c r="J237" s="284"/>
      <c r="K237" s="285"/>
    </row>
    <row r="238" spans="3:11" outlineLevel="1">
      <c r="C238" s="1619"/>
      <c r="D238" s="309"/>
      <c r="E238" s="245"/>
      <c r="F238" s="203"/>
      <c r="G238" s="1620"/>
      <c r="H238" s="1621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7"/>
      <c r="F240" s="238"/>
      <c r="G240" s="238"/>
      <c r="H240" s="1626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8"/>
      <c r="D244" s="203"/>
      <c r="E244" s="1620"/>
      <c r="F244" s="203"/>
      <c r="G244" s="203"/>
      <c r="H244" s="1621"/>
      <c r="I244" s="203"/>
      <c r="J244" s="284"/>
      <c r="K244" s="285"/>
    </row>
    <row r="245" spans="3:11" outlineLevel="1">
      <c r="C245" s="1619"/>
      <c r="D245" s="1620"/>
      <c r="E245" s="203"/>
      <c r="F245" s="203"/>
      <c r="G245" s="1620"/>
      <c r="H245" s="1621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2"/>
      <c r="F247" s="238"/>
      <c r="G247" s="238"/>
      <c r="H247" s="1626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8"/>
      <c r="D251" s="203"/>
      <c r="E251" s="1620"/>
      <c r="F251" s="203"/>
      <c r="G251" s="203"/>
      <c r="H251" s="1621"/>
      <c r="I251" s="203"/>
      <c r="J251" s="284"/>
      <c r="K251" s="285"/>
    </row>
    <row r="252" spans="3:11" outlineLevel="1">
      <c r="C252" s="1619"/>
      <c r="D252" s="1620"/>
      <c r="E252" s="203"/>
      <c r="F252" s="203"/>
      <c r="G252" s="1620"/>
      <c r="H252" s="1621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6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8"/>
      <c r="D258" s="203"/>
      <c r="E258" s="1620"/>
      <c r="F258" s="203"/>
      <c r="G258" s="203"/>
      <c r="H258" s="1621"/>
      <c r="I258" s="203"/>
      <c r="J258" s="284"/>
      <c r="K258" s="285"/>
    </row>
    <row r="259" spans="3:11" outlineLevel="1">
      <c r="C259" s="1619"/>
      <c r="D259" s="1620"/>
      <c r="E259" s="203"/>
      <c r="F259" s="203"/>
      <c r="G259" s="1620"/>
      <c r="H259" s="1621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6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8"/>
      <c r="D265" s="203"/>
      <c r="E265" s="1620"/>
      <c r="F265" s="203"/>
      <c r="G265" s="203"/>
      <c r="H265" s="1621"/>
      <c r="I265" s="203"/>
      <c r="J265" s="284"/>
      <c r="K265" s="285"/>
    </row>
    <row r="266" spans="3:11" outlineLevel="1"/>
    <row r="267" spans="3:11" outlineLevel="1">
      <c r="C267" s="288"/>
      <c r="D267" s="288"/>
      <c r="E267" s="1629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abSelected="1" topLeftCell="A237" zoomScaleNormal="100" workbookViewId="0">
      <selection activeCell="I250" sqref="I250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5" t="s">
        <v>989</v>
      </c>
      <c r="J4" s="717">
        <f>GapCalc!D41</f>
        <v>14054561.373267718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85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6565000</v>
      </c>
      <c r="F18" s="845"/>
      <c r="G18" s="1391">
        <f>E18</f>
        <v>6565000</v>
      </c>
      <c r="H18" s="950"/>
      <c r="I18" s="950">
        <f>G18/$F$9</f>
        <v>65000</v>
      </c>
      <c r="J18" s="1015"/>
      <c r="K18" s="1016"/>
      <c r="L18" s="1016"/>
      <c r="M18" s="1430">
        <f>F9*N17</f>
        <v>6565000</v>
      </c>
      <c r="N18" s="1674">
        <v>6565000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6565000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5"/>
      <c r="B28" s="1326"/>
      <c r="C28" s="1327" t="s">
        <v>771</v>
      </c>
      <c r="D28" s="1328"/>
      <c r="E28" s="1329"/>
      <c r="F28" s="1330"/>
      <c r="G28" s="1331">
        <f>SUM(G18:G27)</f>
        <v>6740000</v>
      </c>
      <c r="H28" s="1332"/>
      <c r="I28" s="1324">
        <f t="shared" si="0"/>
        <v>66732.67326732674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6740000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5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29588400</v>
      </c>
      <c r="H32" s="1039"/>
      <c r="I32" s="950">
        <f t="shared" si="0"/>
        <v>292954.45544554456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32547240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29588400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5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2958840</v>
      </c>
      <c r="G36" s="854">
        <f>F36</f>
        <v>2958840</v>
      </c>
      <c r="H36" s="950"/>
      <c r="I36" s="950">
        <f t="shared" si="0"/>
        <v>29295.445544554455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2071188.0000000002</v>
      </c>
      <c r="H37" s="1072"/>
      <c r="I37" s="950">
        <f t="shared" si="0"/>
        <v>20506.811881188121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2071188.0000000002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1479420</v>
      </c>
      <c r="H38" s="1072"/>
      <c r="I38" s="950">
        <f t="shared" si="0"/>
        <v>14647.722772277228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1479420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443826</v>
      </c>
      <c r="H40" s="1072"/>
      <c r="I40" s="950">
        <f t="shared" si="0"/>
        <v>4394.3168316831679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443826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443826</v>
      </c>
      <c r="H41" s="1072"/>
      <c r="I41" s="950">
        <f t="shared" si="0"/>
        <v>4394.3168316831679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443826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6"/>
      <c r="B44" s="1317"/>
      <c r="C44" s="1318" t="s">
        <v>718</v>
      </c>
      <c r="D44" s="1319"/>
      <c r="E44" s="1320"/>
      <c r="F44" s="1321"/>
      <c r="G44" s="1322">
        <f>SUM(G30:G43)+G23+G24</f>
        <v>37135500</v>
      </c>
      <c r="H44" s="1323"/>
      <c r="I44" s="1324">
        <f t="shared" si="0"/>
        <v>367678.21782178216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37135500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6"/>
      <c r="B46" s="1333"/>
      <c r="C46" s="1318" t="s">
        <v>720</v>
      </c>
      <c r="D46" s="1334"/>
      <c r="E46" s="1335"/>
      <c r="F46" s="1336"/>
      <c r="G46" s="1331">
        <f>SUM(G44:G45)</f>
        <v>37135500</v>
      </c>
      <c r="H46" s="1332"/>
      <c r="I46" s="1324">
        <f t="shared" si="0"/>
        <v>367678.21782178216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37135500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3713550</v>
      </c>
      <c r="H47" s="1039"/>
      <c r="I47" s="950">
        <f t="shared" si="0"/>
        <v>36767.821782178216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3713550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1092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1153881.25</v>
      </c>
      <c r="H59" s="1128"/>
      <c r="I59" s="950">
        <f t="shared" si="0"/>
        <v>11424.566831683169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92838.75</v>
      </c>
      <c r="H67" s="1039"/>
      <c r="I67" s="950">
        <f t="shared" si="0"/>
        <v>919.19554455445541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92838.75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283838.75</v>
      </c>
      <c r="H80" s="1101"/>
      <c r="I80" s="950">
        <f t="shared" si="0"/>
        <v>2810.2846534653463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283838.75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1803349</v>
      </c>
      <c r="H90" s="1111"/>
      <c r="I90" s="950">
        <f t="shared" si="3"/>
        <v>17854.940594059404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1803349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990.09900990099015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1190487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1190487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1903349</v>
      </c>
      <c r="H97" s="1101"/>
      <c r="I97" s="950">
        <f t="shared" si="3"/>
        <v>18845.039603960395</v>
      </c>
      <c r="J97" s="1102"/>
      <c r="K97" s="1166">
        <f>I97/I250</f>
        <v>3.555667849803848E-2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1903349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187321.16073915965</v>
      </c>
      <c r="H102" s="1111"/>
      <c r="I102" s="950">
        <f t="shared" si="3"/>
        <v>1854.6649578134618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187321.16073915965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172321.16073915965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3446343.9945228505</v>
      </c>
      <c r="N103" s="1172">
        <v>3446423.2147831926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187321.16073915965</v>
      </c>
      <c r="H114" s="1101"/>
      <c r="I114" s="950">
        <f t="shared" si="3"/>
        <v>1854.6649578134618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187321.16073915965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1600600.6709233173</v>
      </c>
      <c r="H116" s="1177"/>
      <c r="I116" s="950">
        <f t="shared" si="3"/>
        <v>15847.53139528037</v>
      </c>
      <c r="J116" s="1178"/>
      <c r="K116" s="1179" t="s">
        <v>823</v>
      </c>
      <c r="L116" s="1073"/>
      <c r="M116" s="1180">
        <f>0.5*Data!C20*Data!C17/12*Data!C19</f>
        <v>1391780</v>
      </c>
      <c r="N116" s="1181">
        <v>1600600.6709233173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1600600.6709233173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400150.16773082933</v>
      </c>
      <c r="H117" s="1094"/>
      <c r="I117" s="950">
        <f t="shared" si="3"/>
        <v>3961.8828488200925</v>
      </c>
      <c r="J117" s="1015"/>
      <c r="K117" s="1184" t="s">
        <v>825</v>
      </c>
      <c r="L117" s="1185"/>
      <c r="M117" s="1186">
        <f>0.01*Data!C20</f>
        <v>347945</v>
      </c>
      <c r="N117" s="1172">
        <v>400150.16773082933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400150.16773082933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196851.19675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196851.19675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533066.853825</v>
      </c>
      <c r="H121" s="1117"/>
      <c r="I121" s="950">
        <f t="shared" si="3"/>
        <v>5277.8896418316835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533066.853825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533066.853825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70022.525159624405</v>
      </c>
      <c r="H125" s="1111"/>
      <c r="I125" s="950">
        <f t="shared" si="3"/>
        <v>693.29232831311288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70022.525159624405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60022.525159624405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52191.75</v>
      </c>
      <c r="N126" s="1172">
        <v>60022.525159624405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2816091.4143887712</v>
      </c>
      <c r="H148" s="1128"/>
      <c r="I148" s="950">
        <f t="shared" si="6"/>
        <v>27882.09321177001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2816091.4143887712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6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7"/>
      <c r="N150" s="1343">
        <v>0</v>
      </c>
      <c r="O150" s="868"/>
      <c r="P150" s="868"/>
      <c r="Q150" s="1426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488490.61373267719</v>
      </c>
      <c r="H151" s="1093"/>
      <c r="I151" s="950">
        <f t="shared" ref="I151:I158" si="7">G151/$F$9</f>
        <v>4836.5407300265069</v>
      </c>
      <c r="J151" s="1094"/>
      <c r="K151" s="1244" t="s">
        <v>863</v>
      </c>
      <c r="L151" s="1245"/>
      <c r="M151" s="1557">
        <f>Data!C31*Data!C30</f>
        <v>488490.61373267719</v>
      </c>
      <c r="N151" s="1344">
        <v>488490.61373267719</v>
      </c>
      <c r="O151" s="868"/>
      <c r="P151" s="868"/>
      <c r="Q151" s="1426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6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6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6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6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6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6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6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5" t="s">
        <v>1037</v>
      </c>
      <c r="N159" s="855"/>
      <c r="O159" s="868"/>
      <c r="P159" s="868"/>
      <c r="Q159" s="1426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2">
        <f>37500+(Data!C38*0.0005)</f>
        <v>37500</v>
      </c>
      <c r="N161" s="1343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2">
        <f>Data!C38*Data!C39</f>
        <v>0</v>
      </c>
      <c r="N162" s="1344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7">
        <f>0.015*Data!C38*2</f>
        <v>0</v>
      </c>
      <c r="N163" s="1343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5" t="s">
        <v>1059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1091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3131505</v>
      </c>
      <c r="N167" s="1343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2">
        <f>Data!C44*Data!C45</f>
        <v>1</v>
      </c>
      <c r="N168" s="1344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2782184.8458820791</v>
      </c>
      <c r="H178" s="1093"/>
      <c r="I178" s="950">
        <f t="shared" si="6"/>
        <v>27546.384612693852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2782184.8458820791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2782184.8458820791</v>
      </c>
      <c r="H181" s="1128"/>
      <c r="I181" s="950">
        <f t="shared" si="6"/>
        <v>27546.384612693852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2782184.8458820791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427326.7585505005</v>
      </c>
      <c r="H233" s="1111"/>
      <c r="I233" s="950">
        <f t="shared" si="8"/>
        <v>4230.9580054505004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427326.7585505005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866076.7585505005</v>
      </c>
      <c r="H234" s="1282"/>
      <c r="I234" s="950">
        <f t="shared" si="8"/>
        <v>8575.0174113910944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866076.7585505005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I250*F9</f>
        <v>53530000</v>
      </c>
      <c r="H250" s="1298"/>
      <c r="I250" s="1779">
        <v>530000</v>
      </c>
      <c r="J250" s="1299"/>
      <c r="K250" s="1300"/>
      <c r="L250" s="1287"/>
      <c r="M250" s="1301"/>
      <c r="N250" s="1302"/>
      <c r="O250" s="1303"/>
      <c r="P250" s="1302"/>
      <c r="Q250" s="1302"/>
      <c r="R250" s="1302"/>
      <c r="S250" s="1302"/>
      <c r="T250" s="1303"/>
      <c r="U250" s="1302"/>
      <c r="V250" s="1302"/>
      <c r="W250" s="1303"/>
      <c r="X250" s="1304" t="e">
        <f>SUM(X249,X242,X234,X189,X181,X176,X170,X148,X114,X97,X80,X65,X59,X52,X47,X30:X43,#REF!,X28)</f>
        <v>#REF!</v>
      </c>
      <c r="Y250" s="1305"/>
      <c r="Z250" s="1304" t="e">
        <f>SUM(Z249,Z242,Z234,Z189,Z181,Z176,Z170,Z148,Z114,Z97,Z80,Z65,Z59,Z52,Z47,Z30:Z43,#REF!,Z28)</f>
        <v>#REF!</v>
      </c>
      <c r="AA250" s="1303"/>
      <c r="AB250" s="1304" t="e">
        <v>#REF!</v>
      </c>
    </row>
    <row r="253" spans="2:28">
      <c r="G253" s="1526" t="s">
        <v>1048</v>
      </c>
    </row>
    <row r="254" spans="2:28">
      <c r="G254" s="1527">
        <f>G250/'Construction Calculation'!C14</f>
        <v>542.74648172932632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6" t="s">
        <v>10</v>
      </c>
      <c r="C4" s="1347">
        <f>'Rental Income'!D15</f>
        <v>101</v>
      </c>
      <c r="D4" s="507" t="s">
        <v>262</v>
      </c>
      <c r="E4" s="507"/>
      <c r="F4" s="507"/>
      <c r="G4" s="508"/>
    </row>
    <row r="5" spans="1:15">
      <c r="B5" s="1348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349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349" t="s">
        <v>13</v>
      </c>
      <c r="C7" s="700">
        <f>'Construction Calculation'!C18</f>
        <v>0</v>
      </c>
      <c r="D7" t="s">
        <v>428</v>
      </c>
      <c r="G7" s="1350"/>
    </row>
    <row r="8" spans="1:15">
      <c r="B8" s="1349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349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351">
        <v>22630</v>
      </c>
      <c r="D10" s="512" t="s">
        <v>428</v>
      </c>
      <c r="E10" s="512"/>
      <c r="F10" s="512"/>
      <c r="G10" s="1352"/>
    </row>
    <row r="11" spans="1:15" ht="16.5" thickBot="1"/>
    <row r="12" spans="1:15">
      <c r="A12" s="1355" t="s">
        <v>432</v>
      </c>
      <c r="B12" s="1356"/>
      <c r="C12" s="1356"/>
      <c r="D12" s="1357"/>
      <c r="E12" s="58"/>
    </row>
    <row r="13" spans="1:15">
      <c r="A13" s="1358"/>
      <c r="B13" t="s">
        <v>433</v>
      </c>
      <c r="D13" s="1428"/>
      <c r="F13" s="48"/>
      <c r="H13" s="147"/>
      <c r="I13" s="147"/>
      <c r="J13" s="147"/>
      <c r="L13" s="54"/>
      <c r="N13" s="48"/>
    </row>
    <row r="14" spans="1:15">
      <c r="A14" s="1358"/>
      <c r="B14" t="s">
        <v>434</v>
      </c>
      <c r="C14" s="318">
        <v>5.2999999999999999E-2</v>
      </c>
      <c r="D14" s="1428"/>
      <c r="F14" s="51"/>
      <c r="H14" s="147"/>
      <c r="I14" s="147"/>
      <c r="L14" s="54"/>
      <c r="N14" s="48"/>
      <c r="O14" s="53">
        <f>N14/2</f>
        <v>0</v>
      </c>
    </row>
    <row r="15" spans="1:15">
      <c r="A15" s="1358"/>
      <c r="B15" t="s">
        <v>435</v>
      </c>
      <c r="C15" s="318">
        <v>1.7500000000000002E-2</v>
      </c>
      <c r="D15" s="1428"/>
      <c r="F15" s="53"/>
      <c r="N15" s="147"/>
    </row>
    <row r="16" spans="1:15" ht="16.5" thickBot="1">
      <c r="A16" s="1358"/>
      <c r="B16" t="s">
        <v>436</v>
      </c>
      <c r="C16" s="319">
        <v>0</v>
      </c>
      <c r="D16" s="1428"/>
      <c r="F16" s="56"/>
    </row>
    <row r="17" spans="1:13" ht="16.5" thickTop="1">
      <c r="A17" s="1358"/>
      <c r="C17" s="1353">
        <v>0.04</v>
      </c>
      <c r="D17" s="1359"/>
      <c r="F17" s="48"/>
    </row>
    <row r="18" spans="1:13">
      <c r="A18" s="1358"/>
      <c r="B18" t="s">
        <v>444</v>
      </c>
      <c r="C18" s="55">
        <v>0.65</v>
      </c>
      <c r="D18" s="1359"/>
      <c r="M18" s="48"/>
    </row>
    <row r="19" spans="1:13">
      <c r="A19" s="1358"/>
      <c r="B19" t="s">
        <v>1103</v>
      </c>
      <c r="C19">
        <v>24</v>
      </c>
      <c r="D19" s="1359"/>
      <c r="K19" s="147"/>
      <c r="L19" s="147"/>
      <c r="M19" s="53"/>
    </row>
    <row r="20" spans="1:13">
      <c r="A20" s="1358"/>
      <c r="B20" t="s">
        <v>438</v>
      </c>
      <c r="C20" s="1354">
        <v>34794500</v>
      </c>
      <c r="D20" s="1374">
        <f>MIN(D22,GapCalc!D24)</f>
        <v>34794500</v>
      </c>
    </row>
    <row r="21" spans="1:13" ht="16.5" thickBot="1">
      <c r="A21" s="1358"/>
      <c r="B21" t="s">
        <v>110</v>
      </c>
      <c r="C21" s="482">
        <v>0.01</v>
      </c>
      <c r="D21" s="1359"/>
    </row>
    <row r="22" spans="1:13" ht="16.5" thickBot="1">
      <c r="A22" s="1358"/>
      <c r="C22" s="516" t="s">
        <v>1041</v>
      </c>
      <c r="D22" s="1390">
        <f>C18*'Development Budget'!G250</f>
        <v>34794500</v>
      </c>
      <c r="G22" s="147"/>
    </row>
    <row r="23" spans="1:13">
      <c r="A23" s="1429" t="s">
        <v>439</v>
      </c>
      <c r="B23" s="1369"/>
      <c r="C23" s="1369" t="s">
        <v>68</v>
      </c>
      <c r="D23" s="1369"/>
      <c r="E23" s="1389" t="s">
        <v>965</v>
      </c>
      <c r="F23" s="1381" t="s">
        <v>433</v>
      </c>
      <c r="G23" s="1533">
        <v>0.09</v>
      </c>
      <c r="H23" s="1382"/>
    </row>
    <row r="24" spans="1:13">
      <c r="A24" s="1370"/>
      <c r="B24" t="s">
        <v>433</v>
      </c>
      <c r="C24" s="1360">
        <v>0.04</v>
      </c>
      <c r="D24" s="1424">
        <f>PMT(C24/12,C25*12,C30)*12</f>
        <v>-2630684.8458821122</v>
      </c>
      <c r="E24" s="1383"/>
      <c r="G24" s="1376"/>
      <c r="H24" s="1384"/>
      <c r="K24" s="1424"/>
    </row>
    <row r="25" spans="1:13">
      <c r="A25" s="1370"/>
      <c r="B25" t="s">
        <v>1104</v>
      </c>
      <c r="C25">
        <v>34</v>
      </c>
      <c r="E25" s="1383"/>
      <c r="G25" s="1376"/>
      <c r="H25" s="1384"/>
    </row>
    <row r="26" spans="1:13" ht="16.5" thickBot="1">
      <c r="A26" s="1370"/>
      <c r="B26" t="s">
        <v>440</v>
      </c>
      <c r="C26">
        <v>1.2</v>
      </c>
      <c r="E26" s="1383"/>
      <c r="G26" s="1377"/>
      <c r="H26" s="1384"/>
    </row>
    <row r="27" spans="1:13" ht="16.5" thickTop="1">
      <c r="A27" s="1370"/>
      <c r="B27" t="s">
        <v>441</v>
      </c>
      <c r="C27" s="51">
        <f>'Cash Flow'!E21/Data!C26</f>
        <v>2630684.8458820791</v>
      </c>
      <c r="D27" s="40" t="s">
        <v>444</v>
      </c>
      <c r="E27" s="1383"/>
      <c r="G27" s="1378"/>
      <c r="H27" s="1384"/>
    </row>
    <row r="28" spans="1:13">
      <c r="A28" s="1370"/>
      <c r="B28" t="s">
        <v>442</v>
      </c>
      <c r="C28" s="482">
        <v>0.6</v>
      </c>
      <c r="D28" s="1516">
        <f>'Cash Flow'!E15/0.05*C28</f>
        <v>49690548</v>
      </c>
      <c r="E28" s="1383"/>
      <c r="F28" t="s">
        <v>1049</v>
      </c>
      <c r="G28" s="1379"/>
      <c r="H28" s="55">
        <v>1</v>
      </c>
    </row>
    <row r="29" spans="1:13">
      <c r="A29" s="1370"/>
      <c r="B29" t="s">
        <v>443</v>
      </c>
      <c r="C29">
        <v>34</v>
      </c>
      <c r="E29" s="1383"/>
      <c r="F29" t="s">
        <v>437</v>
      </c>
      <c r="G29" s="1379">
        <v>15</v>
      </c>
      <c r="H29" s="1384"/>
    </row>
    <row r="30" spans="1:13">
      <c r="A30" s="1370"/>
      <c r="B30" t="s">
        <v>438</v>
      </c>
      <c r="C30" s="1431">
        <v>48849061.373267718</v>
      </c>
      <c r="D30" s="1375">
        <f>-PV($C$24/12,$C$29*12,C27/12)</f>
        <v>48849061.373267718</v>
      </c>
      <c r="E30" s="1383"/>
      <c r="F30" t="s">
        <v>438</v>
      </c>
      <c r="G30" s="1380"/>
      <c r="H30" s="1375">
        <f>PV(G23,G29,-'Cash Flow'!E41*H28,)</f>
        <v>4241026.1799589153</v>
      </c>
    </row>
    <row r="31" spans="1:13" ht="16.5" thickBot="1">
      <c r="A31" s="1371"/>
      <c r="B31" s="1372" t="s">
        <v>110</v>
      </c>
      <c r="C31" s="1373">
        <v>0.01</v>
      </c>
      <c r="D31" s="1372"/>
      <c r="E31" s="1385"/>
      <c r="F31" s="1386" t="s">
        <v>110</v>
      </c>
      <c r="G31" s="1387">
        <v>0.01</v>
      </c>
      <c r="H31" s="1388"/>
    </row>
    <row r="32" spans="1:13">
      <c r="A32" s="1368" t="s">
        <v>1036</v>
      </c>
      <c r="E32" s="1362"/>
      <c r="G32" s="53"/>
    </row>
    <row r="33" spans="1:10">
      <c r="A33" s="1361"/>
      <c r="B33" t="s">
        <v>433</v>
      </c>
      <c r="C33" s="1360">
        <v>4.4999999999999998E-2</v>
      </c>
      <c r="E33" s="1362"/>
      <c r="I33" s="54"/>
    </row>
    <row r="34" spans="1:10">
      <c r="A34" s="1361"/>
      <c r="B34" t="s">
        <v>1104</v>
      </c>
      <c r="C34">
        <v>30</v>
      </c>
      <c r="E34" s="1363">
        <f>Data!M19</f>
        <v>0</v>
      </c>
      <c r="I34" s="318"/>
    </row>
    <row r="35" spans="1:10">
      <c r="A35" s="1361"/>
      <c r="B35" t="s">
        <v>440</v>
      </c>
      <c r="C35">
        <v>1.2</v>
      </c>
      <c r="E35" s="1362"/>
      <c r="I35" s="54"/>
    </row>
    <row r="36" spans="1:10">
      <c r="A36" s="1361"/>
      <c r="B36" t="s">
        <v>441</v>
      </c>
      <c r="C36" s="51">
        <f>'Cash Flow'!E21/Data!C35</f>
        <v>2630684.8458820791</v>
      </c>
      <c r="E36" s="1364">
        <f>-PV($C$33,$C$34,E34)</f>
        <v>0</v>
      </c>
      <c r="I36" s="1353"/>
    </row>
    <row r="37" spans="1:10" ht="16.5" thickBot="1">
      <c r="A37" s="1361"/>
      <c r="B37" t="s">
        <v>442</v>
      </c>
      <c r="C37" s="482">
        <v>0.8</v>
      </c>
      <c r="E37" s="1362"/>
    </row>
    <row r="38" spans="1:10" ht="16.5" thickBot="1">
      <c r="A38" s="1361"/>
      <c r="B38" t="s">
        <v>438</v>
      </c>
      <c r="C38" s="1431">
        <v>0</v>
      </c>
      <c r="D38" s="516" t="s">
        <v>1041</v>
      </c>
      <c r="E38" s="1390">
        <f>C37*GapCalc!D24</f>
        <v>42824000</v>
      </c>
    </row>
    <row r="39" spans="1:10">
      <c r="A39" s="1361"/>
      <c r="B39" t="s">
        <v>110</v>
      </c>
      <c r="C39" s="54">
        <f>C21</f>
        <v>0.01</v>
      </c>
      <c r="D39" t="s">
        <v>1055</v>
      </c>
      <c r="E39" s="1375">
        <f>PV($C$33/12,$C$34*12,-C36/12)</f>
        <v>43266250.847527571</v>
      </c>
      <c r="I39" s="48"/>
    </row>
    <row r="40" spans="1:10" ht="16.5" thickBot="1">
      <c r="A40" s="1365"/>
      <c r="B40" s="1366"/>
      <c r="C40" s="1366"/>
      <c r="D40" s="1366"/>
      <c r="E40" s="1367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4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7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713" t="s">
        <v>1102</v>
      </c>
      <c r="D19" s="88">
        <v>1.2500000000000001E-2</v>
      </c>
      <c r="E19" s="95">
        <f>IF(C19="Abatement", 0, -'Tax Calc'!B10)</f>
        <v>-347757.18494150497</v>
      </c>
      <c r="F19" s="89">
        <f>E19*(1+$D$19)</f>
        <v>-352104.14975327376</v>
      </c>
      <c r="G19" s="89">
        <f t="shared" ref="G19:AH19" si="6">F19*(1+$D$19)</f>
        <v>-356505.45162518969</v>
      </c>
      <c r="H19" s="89">
        <f t="shared" si="6"/>
        <v>-360961.76977050456</v>
      </c>
      <c r="I19" s="89">
        <f t="shared" si="6"/>
        <v>-365473.79189263587</v>
      </c>
      <c r="J19" s="89">
        <f t="shared" si="6"/>
        <v>-370042.21429129381</v>
      </c>
      <c r="K19" s="89">
        <f t="shared" si="6"/>
        <v>-374667.74196993496</v>
      </c>
      <c r="L19" s="89">
        <f t="shared" si="6"/>
        <v>-379351.08874455915</v>
      </c>
      <c r="M19" s="89">
        <f t="shared" si="6"/>
        <v>-384092.9773538661</v>
      </c>
      <c r="N19" s="89">
        <f t="shared" si="6"/>
        <v>-388894.13957078941</v>
      </c>
      <c r="O19" s="89">
        <f t="shared" si="6"/>
        <v>-393755.31631542428</v>
      </c>
      <c r="P19" s="89">
        <f t="shared" si="6"/>
        <v>-398677.25776936708</v>
      </c>
      <c r="Q19" s="89">
        <f t="shared" si="6"/>
        <v>-403660.72349148412</v>
      </c>
      <c r="R19" s="89">
        <f t="shared" si="6"/>
        <v>-408706.48253512767</v>
      </c>
      <c r="S19" s="90">
        <f t="shared" si="6"/>
        <v>-413815.31356681674</v>
      </c>
      <c r="T19" s="89">
        <f t="shared" si="6"/>
        <v>-418988.00498640194</v>
      </c>
      <c r="U19" s="89">
        <f t="shared" si="6"/>
        <v>-424225.35504873196</v>
      </c>
      <c r="V19" s="89">
        <f t="shared" si="6"/>
        <v>-429528.17198684107</v>
      </c>
      <c r="W19" s="89">
        <f t="shared" si="6"/>
        <v>-434897.27413667657</v>
      </c>
      <c r="X19" s="89">
        <f t="shared" si="6"/>
        <v>-440333.49006338499</v>
      </c>
      <c r="Y19" s="89">
        <f t="shared" si="6"/>
        <v>-445837.6586891773</v>
      </c>
      <c r="Z19" s="89">
        <f t="shared" si="6"/>
        <v>-451410.629422792</v>
      </c>
      <c r="AA19" s="89">
        <f t="shared" si="6"/>
        <v>-457053.26229057688</v>
      </c>
      <c r="AB19" s="89">
        <f t="shared" si="6"/>
        <v>-462766.4280692091</v>
      </c>
      <c r="AC19" s="89">
        <f t="shared" si="6"/>
        <v>-468551.00842007418</v>
      </c>
      <c r="AD19" s="89">
        <f t="shared" si="6"/>
        <v>-474407.89602532511</v>
      </c>
      <c r="AE19" s="89">
        <f t="shared" si="6"/>
        <v>-480337.99472564168</v>
      </c>
      <c r="AF19" s="89">
        <f t="shared" si="6"/>
        <v>-486342.21965971217</v>
      </c>
      <c r="AG19" s="89">
        <f t="shared" si="6"/>
        <v>-492421.49740545853</v>
      </c>
      <c r="AH19" s="89">
        <f t="shared" si="6"/>
        <v>-498576.76612302673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3156821.8150584949</v>
      </c>
      <c r="F21" s="95">
        <f t="shared" si="8"/>
        <v>3234786.8252467257</v>
      </c>
      <c r="G21" s="95">
        <f t="shared" si="8"/>
        <v>3314543.1977498098</v>
      </c>
      <c r="H21" s="95">
        <f t="shared" si="8"/>
        <v>3396128.9723388697</v>
      </c>
      <c r="I21" s="95">
        <f t="shared" si="8"/>
        <v>3479582.8884469718</v>
      </c>
      <c r="J21" s="95">
        <f t="shared" si="8"/>
        <v>3564944.3936730167</v>
      </c>
      <c r="K21" s="95">
        <f t="shared" si="8"/>
        <v>3652253.6521812635</v>
      </c>
      <c r="L21" s="95">
        <f t="shared" si="8"/>
        <v>3741551.5529827704</v>
      </c>
      <c r="M21" s="95">
        <f t="shared" si="8"/>
        <v>3832879.7180842813</v>
      </c>
      <c r="N21" s="95">
        <f t="shared" si="8"/>
        <v>3926280.510489312</v>
      </c>
      <c r="O21" s="95">
        <f t="shared" si="8"/>
        <v>4021797.0420354414</v>
      </c>
      <c r="P21" s="95">
        <f t="shared" si="8"/>
        <v>4119473.1810509055</v>
      </c>
      <c r="Q21" s="95">
        <f t="shared" si="8"/>
        <v>4219353.5598128038</v>
      </c>
      <c r="R21" s="95">
        <f t="shared" si="8"/>
        <v>4321483.5817882475</v>
      </c>
      <c r="S21" s="96">
        <f t="shared" si="8"/>
        <v>4425909.4286389016</v>
      </c>
      <c r="T21" s="95">
        <f t="shared" si="8"/>
        <v>4532678.0669683162</v>
      </c>
      <c r="U21" s="95">
        <f t="shared" si="8"/>
        <v>4641837.2547904942</v>
      </c>
      <c r="V21" s="95">
        <f t="shared" si="8"/>
        <v>4753435.5476970049</v>
      </c>
      <c r="W21" s="95">
        <f t="shared" si="8"/>
        <v>4867522.3046988575</v>
      </c>
      <c r="X21" s="95">
        <f t="shared" si="8"/>
        <v>4984147.6937182145</v>
      </c>
      <c r="Y21" s="95">
        <f t="shared" si="8"/>
        <v>5103362.6967037702</v>
      </c>
      <c r="Z21" s="95">
        <f t="shared" si="8"/>
        <v>5225219.1143423757</v>
      </c>
      <c r="AA21" s="95">
        <f t="shared" si="8"/>
        <v>5349769.5703381756</v>
      </c>
      <c r="AB21" s="95">
        <f t="shared" si="8"/>
        <v>5477067.5152291497</v>
      </c>
      <c r="AC21" s="95">
        <f t="shared" si="8"/>
        <v>5607167.2297095153</v>
      </c>
      <c r="AD21" s="95">
        <f t="shared" si="8"/>
        <v>5740123.8274249835</v>
      </c>
      <c r="AE21" s="95">
        <f t="shared" si="8"/>
        <v>5875993.2572062649</v>
      </c>
      <c r="AF21" s="95">
        <f t="shared" si="8"/>
        <v>6014832.3047046717</v>
      </c>
      <c r="AG21" s="95">
        <f t="shared" si="8"/>
        <v>6156698.5933919111</v>
      </c>
      <c r="AH21" s="95">
        <f t="shared" si="8"/>
        <v>6301650.5848844871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-2630684.8458820791</v>
      </c>
      <c r="F22" s="95">
        <f t="shared" ref="F22:AH22" si="9">$E$22</f>
        <v>-2630684.8458820791</v>
      </c>
      <c r="G22" s="95">
        <f t="shared" si="9"/>
        <v>-2630684.8458820791</v>
      </c>
      <c r="H22" s="95">
        <f t="shared" si="9"/>
        <v>-2630684.8458820791</v>
      </c>
      <c r="I22" s="95">
        <f t="shared" si="9"/>
        <v>-2630684.8458820791</v>
      </c>
      <c r="J22" s="95">
        <f t="shared" si="9"/>
        <v>-2630684.8458820791</v>
      </c>
      <c r="K22" s="95">
        <f t="shared" si="9"/>
        <v>-2630684.8458820791</v>
      </c>
      <c r="L22" s="95">
        <f t="shared" si="9"/>
        <v>-2630684.8458820791</v>
      </c>
      <c r="M22" s="95">
        <f t="shared" si="9"/>
        <v>-2630684.8458820791</v>
      </c>
      <c r="N22" s="95">
        <f t="shared" si="9"/>
        <v>-2630684.8458820791</v>
      </c>
      <c r="O22" s="95">
        <f t="shared" si="9"/>
        <v>-2630684.8458820791</v>
      </c>
      <c r="P22" s="95">
        <f t="shared" si="9"/>
        <v>-2630684.8458820791</v>
      </c>
      <c r="Q22" s="95">
        <f t="shared" si="9"/>
        <v>-2630684.8458820791</v>
      </c>
      <c r="R22" s="95">
        <f t="shared" si="9"/>
        <v>-2630684.8458820791</v>
      </c>
      <c r="S22" s="96">
        <f t="shared" si="9"/>
        <v>-2630684.8458820791</v>
      </c>
      <c r="T22" s="95">
        <f t="shared" si="9"/>
        <v>-2630684.8458820791</v>
      </c>
      <c r="U22" s="95">
        <f t="shared" si="9"/>
        <v>-2630684.8458820791</v>
      </c>
      <c r="V22" s="95">
        <f t="shared" si="9"/>
        <v>-2630684.8458820791</v>
      </c>
      <c r="W22" s="95">
        <f t="shared" si="9"/>
        <v>-2630684.8458820791</v>
      </c>
      <c r="X22" s="95">
        <f t="shared" si="9"/>
        <v>-2630684.8458820791</v>
      </c>
      <c r="Y22" s="95">
        <f t="shared" si="9"/>
        <v>-2630684.8458820791</v>
      </c>
      <c r="Z22" s="95">
        <f t="shared" si="9"/>
        <v>-2630684.8458820791</v>
      </c>
      <c r="AA22" s="95">
        <f t="shared" si="9"/>
        <v>-2630684.8458820791</v>
      </c>
      <c r="AB22" s="95">
        <f t="shared" si="9"/>
        <v>-2630684.8458820791</v>
      </c>
      <c r="AC22" s="95">
        <f t="shared" si="9"/>
        <v>-2630684.8458820791</v>
      </c>
      <c r="AD22" s="95">
        <f t="shared" si="9"/>
        <v>-2630684.8458820791</v>
      </c>
      <c r="AE22" s="95">
        <f t="shared" si="9"/>
        <v>-2630684.8458820791</v>
      </c>
      <c r="AF22" s="95">
        <f t="shared" si="9"/>
        <v>-2630684.8458820791</v>
      </c>
      <c r="AG22" s="95">
        <f t="shared" si="9"/>
        <v>-2630684.8458820791</v>
      </c>
      <c r="AH22" s="95">
        <f t="shared" si="9"/>
        <v>-2630684.8458820791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526136.96917641582</v>
      </c>
      <c r="F25" s="119">
        <f t="shared" ref="F25:AH25" si="11">+F21+F22+F23</f>
        <v>604101.9793646466</v>
      </c>
      <c r="G25" s="119">
        <f t="shared" si="11"/>
        <v>683858.35186773073</v>
      </c>
      <c r="H25" s="119">
        <f t="shared" si="11"/>
        <v>765444.1264567906</v>
      </c>
      <c r="I25" s="119">
        <f t="shared" si="11"/>
        <v>848898.04256489268</v>
      </c>
      <c r="J25" s="119">
        <f t="shared" si="11"/>
        <v>934259.54779093759</v>
      </c>
      <c r="K25" s="119">
        <f t="shared" si="11"/>
        <v>1021568.8062991844</v>
      </c>
      <c r="L25" s="119">
        <f t="shared" si="11"/>
        <v>1110866.7071006913</v>
      </c>
      <c r="M25" s="119">
        <f t="shared" si="11"/>
        <v>1202194.8722022022</v>
      </c>
      <c r="N25" s="119">
        <f t="shared" si="11"/>
        <v>1295595.6646072329</v>
      </c>
      <c r="O25" s="119">
        <f t="shared" si="11"/>
        <v>1391112.1961533623</v>
      </c>
      <c r="P25" s="119">
        <f t="shared" si="11"/>
        <v>1488788.3351688264</v>
      </c>
      <c r="Q25" s="119">
        <f t="shared" si="11"/>
        <v>1588668.7139307247</v>
      </c>
      <c r="R25" s="119">
        <f t="shared" si="11"/>
        <v>1690798.7359061684</v>
      </c>
      <c r="S25" s="160">
        <f t="shared" si="11"/>
        <v>1795224.5827568225</v>
      </c>
      <c r="T25" s="119">
        <f t="shared" si="11"/>
        <v>1901993.2210862371</v>
      </c>
      <c r="U25" s="119">
        <f t="shared" si="11"/>
        <v>2011152.4089084151</v>
      </c>
      <c r="V25" s="119">
        <f t="shared" si="11"/>
        <v>2122750.7018149258</v>
      </c>
      <c r="W25" s="119">
        <f t="shared" si="11"/>
        <v>2236837.4588167784</v>
      </c>
      <c r="X25" s="119">
        <f t="shared" si="11"/>
        <v>2353462.8478361354</v>
      </c>
      <c r="Y25" s="119">
        <f t="shared" si="11"/>
        <v>2472677.8508216911</v>
      </c>
      <c r="Z25" s="119">
        <f t="shared" si="11"/>
        <v>2594534.2684602966</v>
      </c>
      <c r="AA25" s="119">
        <f t="shared" si="11"/>
        <v>2719084.7244560965</v>
      </c>
      <c r="AB25" s="119">
        <f t="shared" si="11"/>
        <v>2846382.6693470706</v>
      </c>
      <c r="AC25" s="119">
        <f t="shared" si="11"/>
        <v>2976482.3838274362</v>
      </c>
      <c r="AD25" s="119">
        <f t="shared" si="11"/>
        <v>3109438.9815429044</v>
      </c>
      <c r="AE25" s="119">
        <f t="shared" si="11"/>
        <v>3245308.4113241858</v>
      </c>
      <c r="AF25" s="119">
        <f t="shared" si="11"/>
        <v>3384147.4588225926</v>
      </c>
      <c r="AG25" s="119">
        <f t="shared" si="11"/>
        <v>3526013.747509832</v>
      </c>
      <c r="AH25" s="119">
        <f t="shared" si="11"/>
        <v>3670965.739002408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1.2296367732190623</v>
      </c>
      <c r="G27" s="122">
        <f t="shared" si="12"/>
        <v>1.2599544954760364</v>
      </c>
      <c r="H27" s="122">
        <f t="shared" si="12"/>
        <v>1.2909676267968671</v>
      </c>
      <c r="I27" s="122">
        <f t="shared" si="12"/>
        <v>1.3226908931693997</v>
      </c>
      <c r="J27" s="122">
        <f t="shared" si="12"/>
        <v>1.3551392897759582</v>
      </c>
      <c r="K27" s="122">
        <f t="shared" si="12"/>
        <v>1.3883280841862486</v>
      </c>
      <c r="L27" s="122">
        <f t="shared" si="12"/>
        <v>1.422272819505376</v>
      </c>
      <c r="M27" s="122">
        <f t="shared" si="12"/>
        <v>1.4569893174714745</v>
      </c>
      <c r="N27" s="122">
        <f t="shared" si="12"/>
        <v>1.4924936814971519</v>
      </c>
      <c r="O27" s="122">
        <f t="shared" si="12"/>
        <v>1.5288022996486745</v>
      </c>
      <c r="P27" s="122">
        <f t="shared" si="12"/>
        <v>1.5659318475564601</v>
      </c>
      <c r="Q27" s="122">
        <f t="shared" si="12"/>
        <v>1.6038992912501602</v>
      </c>
      <c r="R27" s="122">
        <f t="shared" si="12"/>
        <v>1.6427218899112321</v>
      </c>
      <c r="S27" s="161">
        <f t="shared" si="12"/>
        <v>1.6824171985355687</v>
      </c>
      <c r="T27" s="122">
        <f t="shared" si="12"/>
        <v>1.7230030704983559</v>
      </c>
      <c r="U27" s="122">
        <f t="shared" si="12"/>
        <v>1.7644976600129643</v>
      </c>
      <c r="V27" s="122">
        <f t="shared" si="12"/>
        <v>1.8069194244752487</v>
      </c>
      <c r="W27" s="122">
        <f t="shared" si="12"/>
        <v>1.8502871266842145</v>
      </c>
      <c r="X27" s="122">
        <f t="shared" si="12"/>
        <v>1.8946198369295773</v>
      </c>
      <c r="Y27" s="122">
        <f t="shared" si="12"/>
        <v>1.9399369349362685</v>
      </c>
      <c r="Z27" s="122">
        <f t="shared" si="12"/>
        <v>1.986258111655461</v>
      </c>
      <c r="AA27" s="122">
        <f t="shared" si="12"/>
        <v>2.0336033708911936</v>
      </c>
      <c r="AB27" s="122">
        <f t="shared" si="12"/>
        <v>2.0819930307511494</v>
      </c>
      <c r="AC27" s="122">
        <f t="shared" si="12"/>
        <v>2.1314477249095987</v>
      </c>
      <c r="AD27" s="122">
        <f t="shared" si="12"/>
        <v>2.1819884036699566</v>
      </c>
      <c r="AE27" s="122">
        <f t="shared" si="12"/>
        <v>2.2336363348138044</v>
      </c>
      <c r="AF27" s="122">
        <f t="shared" si="12"/>
        <v>2.2864131042226288</v>
      </c>
      <c r="AG27" s="122">
        <f t="shared" si="12"/>
        <v>2.3403406162578726</v>
      </c>
      <c r="AH27" s="122">
        <f t="shared" si="12"/>
        <v>2.3954410938842501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526136.96917641582</v>
      </c>
      <c r="F41" s="129">
        <f t="shared" ref="F41:S41" si="20">F25+F37</f>
        <v>604101.9793646466</v>
      </c>
      <c r="G41" s="129">
        <f t="shared" si="20"/>
        <v>683858.35186773073</v>
      </c>
      <c r="H41" s="129">
        <f t="shared" si="20"/>
        <v>765444.1264567906</v>
      </c>
      <c r="I41" s="129">
        <f t="shared" si="20"/>
        <v>848898.04256489268</v>
      </c>
      <c r="J41" s="129">
        <f t="shared" si="20"/>
        <v>934259.54779093759</v>
      </c>
      <c r="K41" s="129">
        <f t="shared" si="20"/>
        <v>1021568.8062991844</v>
      </c>
      <c r="L41" s="129">
        <f t="shared" si="20"/>
        <v>1110866.7071006913</v>
      </c>
      <c r="M41" s="129">
        <f t="shared" si="20"/>
        <v>1202194.8722022022</v>
      </c>
      <c r="N41" s="129">
        <f t="shared" si="20"/>
        <v>1295595.6646072329</v>
      </c>
      <c r="O41" s="129">
        <f t="shared" si="20"/>
        <v>1391112.1961533623</v>
      </c>
      <c r="P41" s="129">
        <f t="shared" si="20"/>
        <v>1488788.3351688264</v>
      </c>
      <c r="Q41" s="129">
        <f t="shared" si="20"/>
        <v>1588668.7139307247</v>
      </c>
      <c r="R41" s="129">
        <f t="shared" si="20"/>
        <v>1690798.7359061684</v>
      </c>
      <c r="S41" s="130">
        <f t="shared" si="20"/>
        <v>1795224.5827568225</v>
      </c>
      <c r="T41" s="130">
        <f t="shared" ref="T41:AH41" si="21">T25+T37</f>
        <v>1901993.2210862371</v>
      </c>
      <c r="U41" s="130">
        <f t="shared" si="21"/>
        <v>2011152.4089084151</v>
      </c>
      <c r="V41" s="130">
        <f t="shared" si="21"/>
        <v>2122750.7018149258</v>
      </c>
      <c r="W41" s="130">
        <f t="shared" si="21"/>
        <v>2236837.4588167784</v>
      </c>
      <c r="X41" s="130">
        <f t="shared" si="21"/>
        <v>2353462.8478361354</v>
      </c>
      <c r="Y41" s="130">
        <f t="shared" si="21"/>
        <v>2472677.8508216911</v>
      </c>
      <c r="Z41" s="130">
        <f t="shared" si="21"/>
        <v>2594534.2684602966</v>
      </c>
      <c r="AA41" s="130">
        <f t="shared" si="21"/>
        <v>2719084.7244560965</v>
      </c>
      <c r="AB41" s="130">
        <f t="shared" si="21"/>
        <v>2846382.6693470706</v>
      </c>
      <c r="AC41" s="130">
        <f t="shared" si="21"/>
        <v>2976482.3838274362</v>
      </c>
      <c r="AD41" s="130">
        <f t="shared" si="21"/>
        <v>3109438.9815429044</v>
      </c>
      <c r="AE41" s="130">
        <f t="shared" si="21"/>
        <v>3245308.4113241858</v>
      </c>
      <c r="AF41" s="130">
        <f t="shared" si="21"/>
        <v>3384147.4588225926</v>
      </c>
      <c r="AG41" s="130">
        <f t="shared" si="21"/>
        <v>3526013.747509832</v>
      </c>
      <c r="AH41" s="130">
        <f t="shared" si="21"/>
        <v>3670965.739002408</v>
      </c>
    </row>
    <row r="42" spans="1:34">
      <c r="A42" s="86"/>
      <c r="B42" s="110" t="s">
        <v>330</v>
      </c>
      <c r="C42" s="323">
        <f>GapCalc!I33</f>
        <v>0.85</v>
      </c>
      <c r="D42" s="131" t="s">
        <v>1051</v>
      </c>
      <c r="E42" s="129">
        <f>((E41*$C$42))</f>
        <v>447216.42379995342</v>
      </c>
      <c r="F42" s="129">
        <f t="shared" ref="F42:S42" si="22">((F41*$C$42))</f>
        <v>513486.68245994957</v>
      </c>
      <c r="G42" s="129">
        <f t="shared" si="22"/>
        <v>581279.59908757114</v>
      </c>
      <c r="H42" s="129">
        <f t="shared" si="22"/>
        <v>650627.50748827204</v>
      </c>
      <c r="I42" s="129">
        <f t="shared" si="22"/>
        <v>721563.33618015877</v>
      </c>
      <c r="J42" s="129">
        <f t="shared" si="22"/>
        <v>794120.61562229693</v>
      </c>
      <c r="K42" s="129">
        <f t="shared" si="22"/>
        <v>868333.48535430676</v>
      </c>
      <c r="L42" s="129">
        <f t="shared" si="22"/>
        <v>944236.70103558758</v>
      </c>
      <c r="M42" s="129">
        <f t="shared" si="22"/>
        <v>1021865.6413718718</v>
      </c>
      <c r="N42" s="129">
        <f t="shared" si="22"/>
        <v>1101256.3149161479</v>
      </c>
      <c r="O42" s="129">
        <f t="shared" si="22"/>
        <v>1182445.366730358</v>
      </c>
      <c r="P42" s="129">
        <f t="shared" si="22"/>
        <v>1265470.0848935023</v>
      </c>
      <c r="Q42" s="129">
        <f t="shared" si="22"/>
        <v>1350368.406841116</v>
      </c>
      <c r="R42" s="129">
        <f t="shared" si="22"/>
        <v>1437178.9255202431</v>
      </c>
      <c r="S42" s="129">
        <f t="shared" si="22"/>
        <v>1525940.895343299</v>
      </c>
      <c r="T42" s="129">
        <f t="shared" ref="T42:AH42" si="23">((T41*$C$42))</f>
        <v>1616694.2379233015</v>
      </c>
      <c r="U42" s="129">
        <f t="shared" si="23"/>
        <v>1709479.5475721529</v>
      </c>
      <c r="V42" s="129">
        <f t="shared" si="23"/>
        <v>1804338.0965426869</v>
      </c>
      <c r="W42" s="129">
        <f t="shared" si="23"/>
        <v>1901311.8399942615</v>
      </c>
      <c r="X42" s="129">
        <f t="shared" si="23"/>
        <v>2000443.4206607151</v>
      </c>
      <c r="Y42" s="129">
        <f t="shared" si="23"/>
        <v>2101776.1731984373</v>
      </c>
      <c r="Z42" s="129">
        <f t="shared" si="23"/>
        <v>2205354.1281912522</v>
      </c>
      <c r="AA42" s="129">
        <f t="shared" si="23"/>
        <v>2311222.015787682</v>
      </c>
      <c r="AB42" s="129">
        <f t="shared" si="23"/>
        <v>2419425.2689450099</v>
      </c>
      <c r="AC42" s="129">
        <f t="shared" si="23"/>
        <v>2530010.0262533207</v>
      </c>
      <c r="AD42" s="129">
        <f t="shared" si="23"/>
        <v>2643023.1343114688</v>
      </c>
      <c r="AE42" s="129">
        <f t="shared" si="23"/>
        <v>2758512.1496255579</v>
      </c>
      <c r="AF42" s="129">
        <f t="shared" si="23"/>
        <v>2876525.3399992036</v>
      </c>
      <c r="AG42" s="129">
        <f t="shared" si="23"/>
        <v>2997111.6853833571</v>
      </c>
      <c r="AH42" s="129">
        <f t="shared" si="23"/>
        <v>3120320.8781520468</v>
      </c>
    </row>
    <row r="43" spans="1:34">
      <c r="A43" s="86"/>
      <c r="B43" s="132" t="s">
        <v>331</v>
      </c>
      <c r="C43" s="324">
        <f>GapCalc!I32</f>
        <v>0.15</v>
      </c>
      <c r="D43" s="133" t="s">
        <v>1051</v>
      </c>
      <c r="E43" s="108">
        <f>$C$43*(E41)</f>
        <v>78920.545376462367</v>
      </c>
      <c r="F43" s="108">
        <f t="shared" ref="F43:S43" si="24">$C$43*(F41)</f>
        <v>90615.296904696981</v>
      </c>
      <c r="G43" s="108">
        <f t="shared" si="24"/>
        <v>102578.7527801596</v>
      </c>
      <c r="H43" s="108">
        <f t="shared" si="24"/>
        <v>114816.61896851858</v>
      </c>
      <c r="I43" s="108">
        <f t="shared" si="24"/>
        <v>127334.7063847339</v>
      </c>
      <c r="J43" s="108">
        <f t="shared" si="24"/>
        <v>140138.93216864063</v>
      </c>
      <c r="K43" s="108">
        <f t="shared" si="24"/>
        <v>153235.32094487766</v>
      </c>
      <c r="L43" s="108">
        <f t="shared" si="24"/>
        <v>166630.00606510369</v>
      </c>
      <c r="M43" s="108">
        <f t="shared" si="24"/>
        <v>180329.23083033031</v>
      </c>
      <c r="N43" s="108">
        <f t="shared" si="24"/>
        <v>194339.34969108494</v>
      </c>
      <c r="O43" s="108">
        <f t="shared" si="24"/>
        <v>208666.82942300432</v>
      </c>
      <c r="P43" s="108">
        <f t="shared" si="24"/>
        <v>223318.25027532395</v>
      </c>
      <c r="Q43" s="108">
        <f t="shared" si="24"/>
        <v>238300.30708960869</v>
      </c>
      <c r="R43" s="108">
        <f t="shared" si="24"/>
        <v>253619.81038592523</v>
      </c>
      <c r="S43" s="108">
        <f t="shared" si="24"/>
        <v>269283.68741352338</v>
      </c>
      <c r="T43" s="108">
        <f t="shared" ref="T43:AH43" si="25">$C$43*(T41)</f>
        <v>285298.98316293553</v>
      </c>
      <c r="U43" s="108">
        <f t="shared" si="25"/>
        <v>301672.86133626226</v>
      </c>
      <c r="V43" s="108">
        <f t="shared" si="25"/>
        <v>318412.60527223884</v>
      </c>
      <c r="W43" s="108">
        <f t="shared" si="25"/>
        <v>335525.61882251676</v>
      </c>
      <c r="X43" s="108">
        <f t="shared" si="25"/>
        <v>353019.42717542028</v>
      </c>
      <c r="Y43" s="108">
        <f t="shared" si="25"/>
        <v>370901.67762325366</v>
      </c>
      <c r="Z43" s="108">
        <f t="shared" si="25"/>
        <v>389180.1402690445</v>
      </c>
      <c r="AA43" s="108">
        <f t="shared" si="25"/>
        <v>407862.70866841445</v>
      </c>
      <c r="AB43" s="108">
        <f t="shared" si="25"/>
        <v>426957.40040206059</v>
      </c>
      <c r="AC43" s="108">
        <f t="shared" si="25"/>
        <v>446472.35757411545</v>
      </c>
      <c r="AD43" s="108">
        <f t="shared" si="25"/>
        <v>466415.84723143565</v>
      </c>
      <c r="AE43" s="108">
        <f t="shared" si="25"/>
        <v>486796.26169862784</v>
      </c>
      <c r="AF43" s="108">
        <f t="shared" si="25"/>
        <v>507622.11882338888</v>
      </c>
      <c r="AG43" s="108">
        <f t="shared" si="25"/>
        <v>528902.0621264748</v>
      </c>
      <c r="AH43" s="108">
        <f t="shared" si="25"/>
        <v>550644.86085036118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1052</v>
      </c>
      <c r="E46" s="1528" t="e">
        <f>E21/Data!$C$38</f>
        <v>#DIV/0!</v>
      </c>
      <c r="F46" s="1528" t="e">
        <f>F21/Data!$C$38</f>
        <v>#DIV/0!</v>
      </c>
      <c r="G46" s="1528" t="e">
        <f>G21/Data!$C$38</f>
        <v>#DIV/0!</v>
      </c>
      <c r="H46" s="1528" t="e">
        <f>H21/Data!$C$38</f>
        <v>#DIV/0!</v>
      </c>
      <c r="I46" s="1528" t="e">
        <f>I21/Data!$C$38</f>
        <v>#DIV/0!</v>
      </c>
      <c r="J46" s="1528" t="e">
        <f>J21/Data!$C$38</f>
        <v>#DIV/0!</v>
      </c>
      <c r="K46" s="1528" t="e">
        <f>K21/Data!$C$38</f>
        <v>#DIV/0!</v>
      </c>
      <c r="L46" s="1528" t="e">
        <f>L21/Data!$C$38</f>
        <v>#DIV/0!</v>
      </c>
      <c r="M46" s="1528" t="e">
        <f>M21/Data!$C$38</f>
        <v>#DIV/0!</v>
      </c>
      <c r="N46" s="1528" t="e">
        <f>N21/Data!$C$38</f>
        <v>#DIV/0!</v>
      </c>
      <c r="O46" s="1528" t="e">
        <f>O21/Data!$C$38</f>
        <v>#DIV/0!</v>
      </c>
      <c r="P46" s="1528" t="e">
        <f>P21/Data!$C$38</f>
        <v>#DIV/0!</v>
      </c>
      <c r="Q46" s="1528" t="e">
        <f>Q21/Data!$C$38</f>
        <v>#DIV/0!</v>
      </c>
      <c r="R46" s="1528" t="e">
        <f>R21/Data!$C$38</f>
        <v>#DIV/0!</v>
      </c>
      <c r="S46" s="1528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3.3038065150079406E-2</v>
      </c>
      <c r="F47" s="142">
        <f>F41/GapCalc!$H$33</f>
        <v>3.793377337232693E-2</v>
      </c>
      <c r="G47" s="142">
        <f>G41/GapCalc!$H$33</f>
        <v>4.2941967787966578E-2</v>
      </c>
      <c r="H47" s="142">
        <f>H41/GapCalc!$H$33</f>
        <v>4.8065037053394419E-2</v>
      </c>
      <c r="I47" s="142">
        <f>I41/GapCalc!$H$33</f>
        <v>5.3305413759339698E-2</v>
      </c>
      <c r="J47" s="142">
        <f>J41/GapCalc!$H$33</f>
        <v>5.8665574964855173E-2</v>
      </c>
      <c r="K47" s="142">
        <f>K41/GapCalc!$H$33</f>
        <v>6.4148042724754009E-2</v>
      </c>
      <c r="L47" s="142">
        <f>L41/GapCalc!$H$33</f>
        <v>6.9755384609631682E-2</v>
      </c>
      <c r="M47" s="142">
        <f>M41/GapCalc!$H$33</f>
        <v>7.5490214217564452E-2</v>
      </c>
      <c r="N47" s="142">
        <f>N41/GapCalc!$H$33</f>
        <v>8.13551916765268E-2</v>
      </c>
      <c r="O47" s="142">
        <f>O41/GapCalc!$H$33</f>
        <v>8.7353024136523599E-2</v>
      </c>
      <c r="P47" s="142">
        <f>P41/GapCalc!$H$33</f>
        <v>9.3486466250375655E-2</v>
      </c>
      <c r="Q47" s="142">
        <f>Q41/GapCalc!$H$33</f>
        <v>9.9758320642047857E-2</v>
      </c>
      <c r="R47" s="142">
        <f>R41/GapCalc!$H$33</f>
        <v>0.10617143836134725</v>
      </c>
      <c r="S47" s="142">
        <f>S41/GapCalc!$H$33</f>
        <v>0.11272871932376394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2.8082355377567488E-2</v>
      </c>
      <c r="F48" s="142">
        <f>F43/GapCalc!$H$32</f>
        <v>3.2243707366477886E-2</v>
      </c>
      <c r="G48" s="142">
        <f>G43/GapCalc!$H$32</f>
        <v>3.6500672619771586E-2</v>
      </c>
      <c r="H48" s="142">
        <f>H43/GapCalc!$H$32</f>
        <v>4.0855281495385254E-2</v>
      </c>
      <c r="I48" s="142">
        <f>I43/GapCalc!$H$32</f>
        <v>4.5309601695438739E-2</v>
      </c>
      <c r="J48" s="142">
        <f>J43/GapCalc!$H$32</f>
        <v>4.9865738720126895E-2</v>
      </c>
      <c r="K48" s="142">
        <f>K43/GapCalc!$H$32</f>
        <v>5.4525836316040896E-2</v>
      </c>
      <c r="L48" s="142">
        <f>L43/GapCalc!$H$32</f>
        <v>5.9292076918186921E-2</v>
      </c>
      <c r="M48" s="142">
        <f>M43/GapCalc!$H$32</f>
        <v>6.4166682084929774E-2</v>
      </c>
      <c r="N48" s="142">
        <f>N43/GapCalc!$H$32</f>
        <v>6.9151912925047784E-2</v>
      </c>
      <c r="O48" s="142">
        <f>O43/GapCalc!$H$32</f>
        <v>7.4250070516045041E-2</v>
      </c>
      <c r="P48" s="142">
        <f>P43/GapCalc!$H$32</f>
        <v>7.9463496312819307E-2</v>
      </c>
      <c r="Q48" s="142">
        <f>Q43/GapCalc!$H$32</f>
        <v>8.4794572545740673E-2</v>
      </c>
      <c r="R48" s="142">
        <f>R43/GapCalc!$H$32</f>
        <v>9.0245722607145154E-2</v>
      </c>
      <c r="S48" s="142">
        <f>S43/GapCalc!$H$32</f>
        <v>9.5819411425199341E-2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7"/>
      <c r="C50" s="1638"/>
      <c r="D50" s="1638"/>
      <c r="E50" s="1560">
        <v>1</v>
      </c>
      <c r="F50" s="1560">
        <v>2</v>
      </c>
      <c r="G50" s="1561">
        <v>3</v>
      </c>
      <c r="H50" s="1561">
        <v>4</v>
      </c>
      <c r="I50" s="1562">
        <v>5</v>
      </c>
      <c r="J50" s="1562">
        <v>6</v>
      </c>
      <c r="K50" s="1561">
        <v>7</v>
      </c>
      <c r="L50" s="1561">
        <v>8</v>
      </c>
      <c r="M50" s="1562">
        <v>9</v>
      </c>
      <c r="N50" s="1562">
        <v>10</v>
      </c>
      <c r="O50" s="1561">
        <v>11</v>
      </c>
      <c r="P50" s="1561">
        <v>12</v>
      </c>
      <c r="Q50" s="1562">
        <v>13</v>
      </c>
      <c r="R50" s="1562">
        <v>14</v>
      </c>
      <c r="S50" s="1561">
        <v>15</v>
      </c>
      <c r="T50" s="1562">
        <v>16</v>
      </c>
      <c r="U50" s="1562">
        <v>17</v>
      </c>
      <c r="V50" s="1561">
        <v>18</v>
      </c>
      <c r="W50" s="1562">
        <v>19</v>
      </c>
      <c r="X50" s="1562">
        <v>20</v>
      </c>
      <c r="Y50" s="1561">
        <v>21</v>
      </c>
      <c r="Z50" s="1562">
        <v>22</v>
      </c>
      <c r="AA50" s="1562">
        <v>23</v>
      </c>
      <c r="AB50" s="1561">
        <v>24</v>
      </c>
      <c r="AC50" s="1562">
        <v>25</v>
      </c>
      <c r="AD50" s="1562">
        <v>26</v>
      </c>
      <c r="AE50" s="1561">
        <v>27</v>
      </c>
      <c r="AF50" s="1562">
        <v>28</v>
      </c>
      <c r="AG50" s="1562">
        <v>29</v>
      </c>
      <c r="AH50" s="1561">
        <v>30</v>
      </c>
    </row>
    <row r="51" spans="1:34">
      <c r="A51" s="76"/>
      <c r="B51" s="1534"/>
      <c r="C51" s="1538"/>
      <c r="D51" s="1639"/>
      <c r="G51" s="1534"/>
      <c r="H51" s="1535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4"/>
      <c r="C52" s="1538"/>
      <c r="D52" s="1640"/>
      <c r="G52" s="1534"/>
      <c r="H52" s="1536"/>
    </row>
    <row r="53" spans="1:34">
      <c r="B53" s="1534"/>
      <c r="C53" s="1538"/>
      <c r="D53" s="1640"/>
      <c r="G53" s="1537"/>
      <c r="H53" s="1536"/>
    </row>
    <row r="54" spans="1:34">
      <c r="B54" s="1534"/>
      <c r="C54" s="1538"/>
      <c r="D54" s="1641"/>
      <c r="G54" s="1534"/>
      <c r="H54" s="1538"/>
    </row>
    <row r="55" spans="1:34">
      <c r="B55" s="1539"/>
      <c r="C55" s="1538"/>
      <c r="D55" s="1640"/>
      <c r="G55" s="1539"/>
      <c r="H55" s="1538"/>
    </row>
    <row r="56" spans="1:34">
      <c r="B56" s="1539"/>
      <c r="C56" s="1642"/>
      <c r="D56" s="1639"/>
      <c r="G56" s="1539"/>
      <c r="H56" s="1540"/>
    </row>
    <row r="57" spans="1:34">
      <c r="B57" s="1534"/>
      <c r="C57" s="1643"/>
      <c r="D57" s="1537"/>
      <c r="G57" s="1534"/>
      <c r="H57" s="1541"/>
    </row>
    <row r="58" spans="1:34">
      <c r="B58" s="1539"/>
      <c r="C58" s="1541"/>
      <c r="D58" s="1537"/>
      <c r="G58" s="1534"/>
      <c r="H58" s="1541"/>
    </row>
    <row r="59" spans="1:34">
      <c r="B59" s="1638"/>
      <c r="C59" s="1638"/>
      <c r="D59" s="1537"/>
      <c r="G59" s="1537"/>
      <c r="H59" s="1537"/>
    </row>
    <row r="61" spans="1:34">
      <c r="C61" s="1636"/>
    </row>
    <row r="64" spans="1:34" ht="13.5" thickBot="1">
      <c r="B64" s="70" t="s">
        <v>1060</v>
      </c>
      <c r="G64" s="70" t="s">
        <v>1072</v>
      </c>
    </row>
    <row r="65" spans="2:10" ht="13.5" thickBot="1">
      <c r="B65" s="1517" t="s">
        <v>1042</v>
      </c>
      <c r="C65" s="1518"/>
      <c r="D65" s="1542"/>
      <c r="E65" s="70" t="s">
        <v>1058</v>
      </c>
      <c r="G65" s="1517" t="s">
        <v>1042</v>
      </c>
      <c r="H65" s="1518"/>
      <c r="I65" s="1542"/>
      <c r="J65" s="70" t="s">
        <v>1058</v>
      </c>
    </row>
    <row r="66" spans="2:10">
      <c r="B66" s="1519" t="s">
        <v>1056</v>
      </c>
      <c r="C66" s="1564">
        <f>C70/1.63</f>
        <v>15813971.659795301</v>
      </c>
      <c r="D66" s="1543"/>
      <c r="E66" s="1563" t="s">
        <v>285</v>
      </c>
      <c r="G66" s="1519" t="s">
        <v>1075</v>
      </c>
      <c r="H66" s="1564">
        <f>H70/1.63</f>
        <v>2790700.8811403476</v>
      </c>
      <c r="I66" s="1543"/>
      <c r="J66" s="1563" t="s">
        <v>285</v>
      </c>
    </row>
    <row r="67" spans="2:10" ht="15">
      <c r="B67" s="1520" t="s">
        <v>1057</v>
      </c>
      <c r="C67" s="1579">
        <f>SUMIFS(E42:AH42, E50:AH50, "&lt;=" &amp; VALUE(RIGHT(E66, LEN(E66)-FIND(" ", E66))))</f>
        <v>4576627.6499925088</v>
      </c>
      <c r="D67" s="1544" t="s">
        <v>68</v>
      </c>
      <c r="G67" s="1520" t="s">
        <v>1076</v>
      </c>
      <c r="H67" s="1559">
        <f>SUMIFS(E43:AH43, E50:AH50, "&lt;=" &amp; VALUE(RIGHT(E66, LEN(E66)-FIND(" ", E66))))</f>
        <v>807640.17352808977</v>
      </c>
      <c r="I67" s="1544" t="s">
        <v>68</v>
      </c>
    </row>
    <row r="68" spans="2:10">
      <c r="B68" s="1520" t="s">
        <v>1080</v>
      </c>
      <c r="C68" s="1567">
        <f>IF(GapCalc!D41*C42&lt; 0,0,GapCalc!D41*C42)</f>
        <v>11946377.16727756</v>
      </c>
      <c r="D68" s="1544" t="s">
        <v>68</v>
      </c>
      <c r="G68" s="1520" t="s">
        <v>1081</v>
      </c>
      <c r="H68" s="1567">
        <f>IF(GapCalc!D41*C43&lt; 0,0,GapCalc!D41*C43)</f>
        <v>2108184.2059901576</v>
      </c>
      <c r="I68" s="1544" t="s">
        <v>68</v>
      </c>
    </row>
    <row r="69" spans="2:10">
      <c r="B69" s="1520" t="s">
        <v>1061</v>
      </c>
      <c r="C69" s="1567">
        <f>'Debt Calc'!E60</f>
        <v>9253768.9881962724</v>
      </c>
      <c r="D69" s="1545">
        <v>0.9</v>
      </c>
      <c r="G69" s="1520" t="s">
        <v>1077</v>
      </c>
      <c r="H69" s="1567">
        <f>'Debt Calc'!E59*C43</f>
        <v>1633018.0567405187</v>
      </c>
      <c r="I69" s="1545">
        <v>0.9</v>
      </c>
    </row>
    <row r="70" spans="2:10">
      <c r="B70" s="1522" t="s">
        <v>1044</v>
      </c>
      <c r="C70" s="1576">
        <f>C67+C68+C69</f>
        <v>25776773.805466339</v>
      </c>
      <c r="D70" s="1544" t="s">
        <v>68</v>
      </c>
      <c r="G70" s="1522" t="s">
        <v>1044</v>
      </c>
      <c r="H70" s="1576">
        <f>H67+H68+H69</f>
        <v>4548842.4362587659</v>
      </c>
      <c r="I70" s="1544" t="s">
        <v>68</v>
      </c>
    </row>
    <row r="71" spans="2:10">
      <c r="B71" s="1522" t="s">
        <v>1045</v>
      </c>
      <c r="C71" s="1570">
        <f>C70/C66</f>
        <v>1.63</v>
      </c>
      <c r="D71" s="1546"/>
      <c r="G71" s="1522" t="s">
        <v>1045</v>
      </c>
      <c r="H71" s="1570">
        <f>H70/H66</f>
        <v>1.6299999999999997</v>
      </c>
      <c r="I71" s="1546"/>
    </row>
    <row r="72" spans="2:10">
      <c r="B72" s="1520" t="s">
        <v>1046</v>
      </c>
      <c r="C72" s="1523">
        <f>(C70-C66)/C66</f>
        <v>0.62999999999999989</v>
      </c>
      <c r="D72" s="1547"/>
      <c r="G72" s="1520" t="s">
        <v>1046</v>
      </c>
      <c r="H72" s="1523">
        <f>(H70-H66)/H66</f>
        <v>0.62999999999999978</v>
      </c>
      <c r="I72" s="1547"/>
    </row>
    <row r="73" spans="2:10">
      <c r="B73" s="1522" t="s">
        <v>1047</v>
      </c>
      <c r="C73" s="1565">
        <f>C72/7</f>
        <v>8.9999999999999983E-2</v>
      </c>
      <c r="D73" s="1547"/>
      <c r="G73" s="1522" t="s">
        <v>1047</v>
      </c>
      <c r="H73" s="1565">
        <f>H72/7</f>
        <v>8.9999999999999969E-2</v>
      </c>
      <c r="I73" s="1547"/>
    </row>
    <row r="74" spans="2:10" ht="13.5" thickBot="1">
      <c r="B74" s="1577" t="s">
        <v>1082</v>
      </c>
      <c r="C74" s="1580">
        <f>GapCalc!H33</f>
        <v>15925175.000000002</v>
      </c>
      <c r="D74" s="1548"/>
      <c r="F74" s="1558"/>
      <c r="G74" s="1577" t="s">
        <v>1084</v>
      </c>
      <c r="H74" s="1580">
        <f>GapCalc!H32</f>
        <v>2810325.0000000005</v>
      </c>
      <c r="I74" s="1548"/>
    </row>
    <row r="75" spans="2:10">
      <c r="B75" s="70" t="s">
        <v>1083</v>
      </c>
      <c r="C75" s="1578">
        <f>(C70-C74)/C74</f>
        <v>0.61861793075845861</v>
      </c>
      <c r="G75" s="70" t="s">
        <v>1083</v>
      </c>
      <c r="H75" s="1578">
        <f>(H70-H74)/H74</f>
        <v>0.61861793075845861</v>
      </c>
    </row>
    <row r="76" spans="2:10">
      <c r="B76" s="70" t="s">
        <v>1047</v>
      </c>
      <c r="C76" s="1578">
        <f>C75/7</f>
        <v>8.837399010835123E-2</v>
      </c>
      <c r="G76" s="70" t="s">
        <v>1047</v>
      </c>
      <c r="H76" s="1578">
        <f>H75/7</f>
        <v>8.837399010835123E-2</v>
      </c>
    </row>
    <row r="78" spans="2:10" ht="13.5" thickBot="1">
      <c r="B78" s="70" t="s">
        <v>1063</v>
      </c>
    </row>
    <row r="79" spans="2:10" ht="13.5" thickBot="1">
      <c r="B79" s="1517" t="s">
        <v>1042</v>
      </c>
      <c r="C79" s="1518"/>
      <c r="D79" s="1542"/>
      <c r="E79" s="70" t="s">
        <v>1058</v>
      </c>
    </row>
    <row r="80" spans="2:10">
      <c r="B80" s="1519" t="s">
        <v>1056</v>
      </c>
      <c r="C80" s="1564">
        <f>C84/1.8</f>
        <v>10883535.263663154</v>
      </c>
      <c r="D80" s="1543"/>
      <c r="E80" s="1563" t="s">
        <v>288</v>
      </c>
    </row>
    <row r="81" spans="2:10" ht="15">
      <c r="B81" s="1520" t="s">
        <v>1057</v>
      </c>
      <c r="C81" s="1559">
        <f>SUMIFS(E42:AH42, E50:AH50, "&lt;=" &amp; VALUE(RIGHT(E80, LEN(E80)-FIND(" ", E80))))</f>
        <v>7643986.3073161161</v>
      </c>
      <c r="D81" s="1544" t="s">
        <v>68</v>
      </c>
    </row>
    <row r="82" spans="2:10">
      <c r="B82" s="1520" t="s">
        <v>1061</v>
      </c>
      <c r="C82" s="1567">
        <f>C68</f>
        <v>11946377.16727756</v>
      </c>
      <c r="D82" s="1544" t="s">
        <v>68</v>
      </c>
    </row>
    <row r="83" spans="2:10">
      <c r="B83" s="1520" t="s">
        <v>1043</v>
      </c>
      <c r="C83" s="1521"/>
      <c r="D83" s="1545">
        <v>0.9</v>
      </c>
    </row>
    <row r="84" spans="2:10">
      <c r="B84" s="1522" t="s">
        <v>1044</v>
      </c>
      <c r="C84" s="1576">
        <f>C81+C82+C83</f>
        <v>19590363.474593677</v>
      </c>
      <c r="D84" s="1544" t="s">
        <v>68</v>
      </c>
    </row>
    <row r="85" spans="2:10">
      <c r="B85" s="1522" t="s">
        <v>1045</v>
      </c>
      <c r="C85" s="1566">
        <v>1.8</v>
      </c>
      <c r="D85" s="1546"/>
    </row>
    <row r="86" spans="2:10">
      <c r="B86" s="1520" t="s">
        <v>1046</v>
      </c>
      <c r="C86" s="1523">
        <f>(C84-C80)/C80</f>
        <v>0.79999999999999993</v>
      </c>
      <c r="D86" s="1547"/>
    </row>
    <row r="87" spans="2:10">
      <c r="B87" s="1522" t="s">
        <v>1047</v>
      </c>
      <c r="C87" s="1565">
        <f>C86/10</f>
        <v>7.9999999999999988E-2</v>
      </c>
      <c r="D87" s="1547"/>
    </row>
    <row r="88" spans="2:10" ht="13.5" thickBot="1">
      <c r="B88" s="1524"/>
      <c r="C88" s="1525"/>
      <c r="D88" s="1548"/>
    </row>
    <row r="91" spans="2:10" ht="13.5" thickBot="1">
      <c r="B91" s="70" t="s">
        <v>1060</v>
      </c>
      <c r="G91" s="70" t="s">
        <v>1072</v>
      </c>
    </row>
    <row r="92" spans="2:10" ht="13.5" thickBot="1">
      <c r="B92" s="1517" t="s">
        <v>1042</v>
      </c>
      <c r="C92" s="1518"/>
      <c r="D92" s="1542"/>
      <c r="E92" s="70" t="s">
        <v>1058</v>
      </c>
      <c r="G92" s="1517" t="s">
        <v>1042</v>
      </c>
      <c r="H92" s="1518"/>
      <c r="I92" s="1542"/>
      <c r="J92" s="70" t="s">
        <v>1058</v>
      </c>
    </row>
    <row r="93" spans="2:10">
      <c r="B93" s="1519" t="s">
        <v>1056</v>
      </c>
      <c r="C93" s="1564">
        <f>C97/1.63</f>
        <v>22544288.794520896</v>
      </c>
      <c r="D93" s="1543"/>
      <c r="E93" s="1563" t="s">
        <v>288</v>
      </c>
      <c r="G93" s="1519" t="s">
        <v>1075</v>
      </c>
      <c r="H93" s="1564">
        <f>H97/1.63</f>
        <v>3122785.9035860645</v>
      </c>
      <c r="I93" s="1543"/>
      <c r="J93" s="1563" t="s">
        <v>288</v>
      </c>
    </row>
    <row r="94" spans="2:10" ht="15">
      <c r="B94" s="1520" t="s">
        <v>1057</v>
      </c>
      <c r="C94" s="1579">
        <f>SUMIFS(E42:AH42, E50:AH50, "&lt;=" &amp; VALUE(RIGHT(E93, LEN(E93)-FIND(" ", E93))))</f>
        <v>7643986.3073161161</v>
      </c>
      <c r="D94" s="1544" t="s">
        <v>68</v>
      </c>
      <c r="G94" s="1520" t="s">
        <v>1076</v>
      </c>
      <c r="H94" s="1559">
        <f>SUMIFS(E43:AH43, E50:AH50, "&lt;=" &amp; VALUE(RIGHT(J93, LEN(J93)-FIND(" ", J93))))</f>
        <v>1348938.7601146088</v>
      </c>
      <c r="I94" s="1544" t="s">
        <v>68</v>
      </c>
    </row>
    <row r="95" spans="2:10">
      <c r="B95" s="1520" t="s">
        <v>1080</v>
      </c>
      <c r="C95" s="1567">
        <f>IF(GapCalc!D41*C42&lt; 0,0,GapCalc!D41*C42)</f>
        <v>11946377.16727756</v>
      </c>
      <c r="D95" s="1544" t="s">
        <v>68</v>
      </c>
      <c r="G95" s="1520" t="s">
        <v>1081</v>
      </c>
      <c r="H95" s="1567">
        <f>IF(GapCalc!D41*C43&lt; 0,0,GapCalc!D41*C43)</f>
        <v>2108184.2059901576</v>
      </c>
      <c r="I95" s="1544" t="s">
        <v>68</v>
      </c>
    </row>
    <row r="96" spans="2:10">
      <c r="B96" s="1520" t="s">
        <v>1061</v>
      </c>
      <c r="C96" s="1567">
        <f>'Debt Calc'!H60</f>
        <v>17156827.260475382</v>
      </c>
      <c r="D96" s="1545">
        <v>0.9</v>
      </c>
      <c r="G96" s="1520" t="s">
        <v>1077</v>
      </c>
      <c r="H96" s="1567">
        <f>'Debt Calc'!E59*C43</f>
        <v>1633018.0567405187</v>
      </c>
      <c r="I96" s="1545">
        <v>0.9</v>
      </c>
    </row>
    <row r="97" spans="2:9">
      <c r="B97" s="1522" t="s">
        <v>1044</v>
      </c>
      <c r="C97" s="1576">
        <f>C94+C95+C96</f>
        <v>36747190.735069059</v>
      </c>
      <c r="D97" s="1544" t="s">
        <v>68</v>
      </c>
      <c r="G97" s="1522" t="s">
        <v>1044</v>
      </c>
      <c r="H97" s="1576">
        <f>H94+H95+H96</f>
        <v>5090141.022845285</v>
      </c>
      <c r="I97" s="1544" t="s">
        <v>68</v>
      </c>
    </row>
    <row r="98" spans="2:9">
      <c r="B98" s="1522" t="s">
        <v>1045</v>
      </c>
      <c r="C98" s="1570">
        <f>C97/C93</f>
        <v>1.63</v>
      </c>
      <c r="D98" s="1546"/>
      <c r="G98" s="1522" t="s">
        <v>1045</v>
      </c>
      <c r="H98" s="1570">
        <f>H97/H93</f>
        <v>1.63</v>
      </c>
      <c r="I98" s="1546"/>
    </row>
    <row r="99" spans="2:9">
      <c r="B99" s="1520" t="s">
        <v>1046</v>
      </c>
      <c r="C99" s="1523">
        <f>(C97-C93)/C93</f>
        <v>0.62999999999999989</v>
      </c>
      <c r="D99" s="1547"/>
      <c r="G99" s="1520" t="s">
        <v>1046</v>
      </c>
      <c r="H99" s="1523">
        <f>(H97-H93)/H93</f>
        <v>0.63</v>
      </c>
      <c r="I99" s="1547"/>
    </row>
    <row r="100" spans="2:9">
      <c r="B100" s="1522" t="s">
        <v>1047</v>
      </c>
      <c r="C100" s="1565">
        <f>C99/7</f>
        <v>8.9999999999999983E-2</v>
      </c>
      <c r="D100" s="1547"/>
      <c r="G100" s="1522" t="s">
        <v>1047</v>
      </c>
      <c r="H100" s="1565">
        <f>H99/7</f>
        <v>0.09</v>
      </c>
      <c r="I100" s="1547"/>
    </row>
    <row r="101" spans="2:9" ht="13.5" thickBot="1">
      <c r="B101" s="1577" t="s">
        <v>1082</v>
      </c>
      <c r="C101" s="1580">
        <f>GapCalc!H33</f>
        <v>15925175.000000002</v>
      </c>
      <c r="D101" s="1548"/>
      <c r="G101" s="1577" t="s">
        <v>1084</v>
      </c>
      <c r="H101" s="1580">
        <f>GapCalc!H32</f>
        <v>2810325.0000000005</v>
      </c>
      <c r="I101" s="1548"/>
    </row>
    <row r="102" spans="2:9">
      <c r="B102" s="70" t="s">
        <v>1083</v>
      </c>
      <c r="C102" s="1578">
        <f>(C97-C101)/C101</f>
        <v>1.3074905446922283</v>
      </c>
      <c r="G102" s="70" t="s">
        <v>1083</v>
      </c>
      <c r="H102" s="1578">
        <f>(H97-H101)/H101</f>
        <v>0.81122860268662311</v>
      </c>
    </row>
    <row r="103" spans="2:9">
      <c r="B103" s="70" t="s">
        <v>1047</v>
      </c>
      <c r="C103" s="1578">
        <f>C102/10</f>
        <v>0.13074905446922283</v>
      </c>
      <c r="G103" s="70" t="s">
        <v>1047</v>
      </c>
      <c r="H103" s="1578">
        <f>H102/10</f>
        <v>8.1122860268662306E-2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49"/>
      <c r="F10" s="855"/>
      <c r="G10" s="944"/>
      <c r="H10" s="872"/>
      <c r="I10" s="1550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82190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1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16438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98628</v>
      </c>
      <c r="D14" s="884"/>
      <c r="E14" s="855"/>
      <c r="F14" s="855"/>
      <c r="G14" s="855"/>
      <c r="H14" s="872"/>
      <c r="I14" s="1552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3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0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98628</v>
      </c>
      <c r="D19" s="855"/>
      <c r="E19" s="855"/>
      <c r="F19" s="855"/>
      <c r="G19" s="855"/>
      <c r="H19" s="872"/>
      <c r="I19" s="1554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98628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2"/>
      <c r="M45" s="1392"/>
      <c r="N45" s="1392"/>
      <c r="O45" s="1392"/>
      <c r="P45" s="1392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6" t="s">
        <v>970</v>
      </c>
      <c r="M46" s="1398">
        <f>'Rental Income'!D15</f>
        <v>101</v>
      </c>
      <c r="N46" s="1393"/>
      <c r="O46" s="1393"/>
      <c r="P46" s="1393"/>
      <c r="Q46" s="855"/>
    </row>
    <row r="47" spans="1:18">
      <c r="A47" s="889"/>
      <c r="B47" s="888" t="s">
        <v>674</v>
      </c>
      <c r="C47" s="916">
        <f>ROUNDDOWN(M46*M47,1)</f>
        <v>50.5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7" t="s">
        <v>971</v>
      </c>
      <c r="M47" s="1399">
        <v>0.5</v>
      </c>
      <c r="N47" s="1394"/>
      <c r="O47" s="1395"/>
      <c r="P47" s="1394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50.5</v>
      </c>
      <c r="D49" s="876"/>
      <c r="E49" s="855" t="s">
        <v>577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0</v>
      </c>
      <c r="D55" s="855"/>
      <c r="E55" s="855"/>
      <c r="F55" s="937"/>
      <c r="G55" s="855"/>
      <c r="H55" s="872" t="s">
        <v>685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50.5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2630684.8458820791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48849061.373267718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48849000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22542184.592730086</v>
      </c>
    </row>
    <row r="15" spans="2:36">
      <c r="B15" s="556"/>
      <c r="C15" s="560" t="s">
        <v>634</v>
      </c>
      <c r="H15" s="561">
        <f>12*PMT(Data!C24/12,Data!C29*12,-'Debt Calc'!H14)</f>
        <v>2630681.5407269918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-4970265.0592520982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-4970265.0592520982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48849000</v>
      </c>
      <c r="E21" s="561">
        <f>$H$15</f>
        <v>2630681.5407269918</v>
      </c>
      <c r="F21" s="561">
        <f>E21-G21</f>
        <v>0</v>
      </c>
      <c r="G21" s="561">
        <f>D21-H21</f>
        <v>2630681.5407269895</v>
      </c>
      <c r="H21" s="561">
        <f>D21-E21</f>
        <v>46218318.45927301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46218318.45927301</v>
      </c>
      <c r="E22" s="561">
        <f t="shared" ref="E22:E50" si="1">$H$15</f>
        <v>2630681.5407269918</v>
      </c>
      <c r="F22" s="561">
        <f t="shared" ref="F22:F50" si="2">E22-G22</f>
        <v>0</v>
      </c>
      <c r="G22" s="561">
        <f t="shared" ref="G22:G50" si="3">D22-H22</f>
        <v>2630681.5407269895</v>
      </c>
      <c r="H22" s="561">
        <f t="shared" ref="H22:H39" si="4">D22-E22</f>
        <v>43587636.918546021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43587636.918546021</v>
      </c>
      <c r="E23" s="561">
        <f t="shared" si="1"/>
        <v>2630681.5407269918</v>
      </c>
      <c r="F23" s="561">
        <f t="shared" si="2"/>
        <v>0</v>
      </c>
      <c r="G23" s="561">
        <f t="shared" si="3"/>
        <v>2630681.5407269895</v>
      </c>
      <c r="H23" s="561">
        <f t="shared" si="4"/>
        <v>40956955.377819031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40956955.377819031</v>
      </c>
      <c r="E24" s="561">
        <f t="shared" si="1"/>
        <v>2630681.5407269918</v>
      </c>
      <c r="F24" s="561">
        <f t="shared" si="2"/>
        <v>0</v>
      </c>
      <c r="G24" s="561">
        <f t="shared" si="3"/>
        <v>2630681.5407269895</v>
      </c>
      <c r="H24" s="561">
        <f t="shared" si="4"/>
        <v>38326273.837092042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38326273.837092042</v>
      </c>
      <c r="E25" s="561">
        <f t="shared" si="1"/>
        <v>2630681.5407269918</v>
      </c>
      <c r="F25" s="561">
        <f t="shared" si="2"/>
        <v>0</v>
      </c>
      <c r="G25" s="561">
        <f t="shared" si="3"/>
        <v>2630681.5407269895</v>
      </c>
      <c r="H25" s="561">
        <f t="shared" si="4"/>
        <v>35695592.296365052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35695592.296365052</v>
      </c>
      <c r="E26" s="561">
        <f t="shared" si="1"/>
        <v>2630681.5407269918</v>
      </c>
      <c r="F26" s="561">
        <f t="shared" si="2"/>
        <v>0</v>
      </c>
      <c r="G26" s="561">
        <f t="shared" si="3"/>
        <v>2630681.5407269932</v>
      </c>
      <c r="H26" s="561">
        <f t="shared" si="4"/>
        <v>33064910.755638059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33064910.755638059</v>
      </c>
      <c r="E27" s="561">
        <f t="shared" si="1"/>
        <v>2630681.5407269918</v>
      </c>
      <c r="F27" s="561">
        <f t="shared" si="2"/>
        <v>0</v>
      </c>
      <c r="G27" s="561">
        <f t="shared" si="3"/>
        <v>2630681.5407269932</v>
      </c>
      <c r="H27" s="561">
        <f t="shared" si="4"/>
        <v>30434229.214911066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30434229.214911066</v>
      </c>
      <c r="E28" s="561">
        <f t="shared" si="1"/>
        <v>2630681.5407269918</v>
      </c>
      <c r="F28" s="561">
        <f t="shared" si="2"/>
        <v>0</v>
      </c>
      <c r="G28" s="561">
        <f t="shared" si="3"/>
        <v>2630681.5407269932</v>
      </c>
      <c r="H28" s="561">
        <f t="shared" si="4"/>
        <v>27803547.674184073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27803547.674184073</v>
      </c>
      <c r="E29" s="561">
        <f t="shared" si="1"/>
        <v>2630681.5407269918</v>
      </c>
      <c r="F29" s="561">
        <f t="shared" si="2"/>
        <v>0</v>
      </c>
      <c r="G29" s="561">
        <f t="shared" si="3"/>
        <v>2630681.5407269932</v>
      </c>
      <c r="H29" s="561">
        <f t="shared" si="4"/>
        <v>25172866.13345708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25172866.13345708</v>
      </c>
      <c r="E30" s="561">
        <f t="shared" si="1"/>
        <v>2630681.5407269918</v>
      </c>
      <c r="F30" s="561">
        <f t="shared" si="2"/>
        <v>0</v>
      </c>
      <c r="G30" s="561">
        <f t="shared" si="3"/>
        <v>2630681.5407269932</v>
      </c>
      <c r="H30" s="561">
        <f>D30-E30</f>
        <v>22542184.592730086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22542184.592730086</v>
      </c>
      <c r="E31" s="561">
        <f t="shared" si="1"/>
        <v>2630681.5407269918</v>
      </c>
      <c r="F31" s="561">
        <f t="shared" si="2"/>
        <v>0</v>
      </c>
      <c r="G31" s="561">
        <f t="shared" si="3"/>
        <v>2630681.5407269932</v>
      </c>
      <c r="H31" s="561">
        <f t="shared" si="4"/>
        <v>19911503.052003093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19911503.052003093</v>
      </c>
      <c r="E32" s="561">
        <f t="shared" si="1"/>
        <v>2630681.5407269918</v>
      </c>
      <c r="F32" s="561">
        <f t="shared" si="2"/>
        <v>0</v>
      </c>
      <c r="G32" s="561">
        <f t="shared" si="3"/>
        <v>2630681.5407269932</v>
      </c>
      <c r="H32" s="561">
        <f t="shared" si="4"/>
        <v>17280821.5112761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17280821.5112761</v>
      </c>
      <c r="E33" s="561">
        <f t="shared" si="1"/>
        <v>2630681.5407269918</v>
      </c>
      <c r="F33" s="561">
        <f t="shared" si="2"/>
        <v>0</v>
      </c>
      <c r="G33" s="561">
        <f t="shared" si="3"/>
        <v>2630681.5407269914</v>
      </c>
      <c r="H33" s="561">
        <f t="shared" si="4"/>
        <v>14650139.970549108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14650139.970549108</v>
      </c>
      <c r="E34" s="561">
        <f t="shared" si="1"/>
        <v>2630681.5407269918</v>
      </c>
      <c r="F34" s="561">
        <f t="shared" si="2"/>
        <v>0</v>
      </c>
      <c r="G34" s="561">
        <f t="shared" si="3"/>
        <v>2630681.5407269914</v>
      </c>
      <c r="H34" s="561">
        <f t="shared" si="4"/>
        <v>12019458.429822117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12019458.429822117</v>
      </c>
      <c r="E35" s="561">
        <f t="shared" si="1"/>
        <v>2630681.5407269918</v>
      </c>
      <c r="F35" s="561">
        <f t="shared" si="2"/>
        <v>0</v>
      </c>
      <c r="G35" s="561">
        <f t="shared" si="3"/>
        <v>2630681.5407269914</v>
      </c>
      <c r="H35" s="561">
        <f t="shared" si="4"/>
        <v>9388776.8890951257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9388776.8890951257</v>
      </c>
      <c r="E36" s="561">
        <f t="shared" si="1"/>
        <v>2630681.5407269918</v>
      </c>
      <c r="F36" s="561">
        <f t="shared" si="2"/>
        <v>0</v>
      </c>
      <c r="G36" s="561">
        <f t="shared" si="3"/>
        <v>2630681.5407269914</v>
      </c>
      <c r="H36" s="561">
        <f t="shared" si="4"/>
        <v>6758095.3483681343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6758095.3483681343</v>
      </c>
      <c r="E37" s="561">
        <f t="shared" si="1"/>
        <v>2630681.5407269918</v>
      </c>
      <c r="F37" s="561">
        <f t="shared" si="2"/>
        <v>0</v>
      </c>
      <c r="G37" s="561">
        <f t="shared" si="3"/>
        <v>2630681.5407269918</v>
      </c>
      <c r="H37" s="561">
        <f t="shared" si="4"/>
        <v>4127413.8076411425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4127413.8076411425</v>
      </c>
      <c r="E38" s="561">
        <f t="shared" si="1"/>
        <v>2630681.5407269918</v>
      </c>
      <c r="F38" s="561">
        <f t="shared" si="2"/>
        <v>0</v>
      </c>
      <c r="G38" s="561">
        <f t="shared" si="3"/>
        <v>2630681.5407269918</v>
      </c>
      <c r="H38" s="561">
        <f>D38-E38</f>
        <v>1496732.2669141507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1496732.2669141507</v>
      </c>
      <c r="E39" s="561">
        <f t="shared" si="1"/>
        <v>2630681.5407269918</v>
      </c>
      <c r="F39" s="561">
        <f t="shared" si="2"/>
        <v>0</v>
      </c>
      <c r="G39" s="561">
        <f t="shared" si="3"/>
        <v>2630681.5407269918</v>
      </c>
      <c r="H39" s="561">
        <f t="shared" si="4"/>
        <v>-1133949.2738128412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-1133949.2738128412</v>
      </c>
      <c r="E40" s="561">
        <f t="shared" si="1"/>
        <v>2630681.5407269918</v>
      </c>
      <c r="F40" s="561">
        <f t="shared" si="2"/>
        <v>3764630.814539833</v>
      </c>
      <c r="G40" s="561">
        <f t="shared" si="3"/>
        <v>-1133949.2738128412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2630681.5407269918</v>
      </c>
      <c r="F41" s="561">
        <f t="shared" si="2"/>
        <v>2630681.5407269918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2630681.5407269918</v>
      </c>
      <c r="F42" s="561">
        <f t="shared" si="2"/>
        <v>2630681.5407269918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2630681.5407269918</v>
      </c>
      <c r="F43" s="561">
        <f t="shared" si="2"/>
        <v>2630681.5407269918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2630681.5407269918</v>
      </c>
      <c r="F44" s="561">
        <f t="shared" si="2"/>
        <v>2630681.5407269918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2630681.5407269918</v>
      </c>
      <c r="F45" s="561">
        <f t="shared" si="2"/>
        <v>2630681.5407269918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2630681.5407269918</v>
      </c>
      <c r="F46" s="561">
        <f t="shared" si="2"/>
        <v>2630681.5407269918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2630681.5407269918</v>
      </c>
      <c r="F47" s="561">
        <f t="shared" si="2"/>
        <v>2630681.5407269918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2630681.5407269918</v>
      </c>
      <c r="F48" s="561">
        <f t="shared" si="2"/>
        <v>2630681.5407269918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2630681.5407269918</v>
      </c>
      <c r="F49" s="561">
        <f t="shared" si="2"/>
        <v>2630681.5407269918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2630681.5407269918</v>
      </c>
      <c r="F50" s="561">
        <f t="shared" si="2"/>
        <v>2630681.5407269918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1079</v>
      </c>
      <c r="E54" s="1657"/>
      <c r="F54" s="561"/>
      <c r="G54" s="1658" t="s">
        <v>1090</v>
      </c>
      <c r="H54" s="1659"/>
    </row>
    <row r="55" spans="2:28">
      <c r="D55" s="1655" t="s">
        <v>1066</v>
      </c>
      <c r="E55" s="1664">
        <f>'Cash Flow'!K15/0.05</f>
        <v>96043002.438319489</v>
      </c>
      <c r="F55" s="561"/>
      <c r="G55" s="1663" t="s">
        <v>1066</v>
      </c>
      <c r="H55" s="1667">
        <f>'Cash Flow'!N15/0.05</f>
        <v>103427808.92267834</v>
      </c>
    </row>
    <row r="56" spans="2:28">
      <c r="D56" s="1653" t="s">
        <v>1067</v>
      </c>
      <c r="E56" s="1665">
        <f>'Cash Flow'!K21/1.2</f>
        <v>3043544.710151053</v>
      </c>
      <c r="F56" s="561"/>
      <c r="G56" s="1661" t="s">
        <v>1067</v>
      </c>
      <c r="H56" s="1668">
        <f>'Cash Flow'!N21/1.2</f>
        <v>3271900.4254077603</v>
      </c>
    </row>
    <row r="57" spans="2:28">
      <c r="D57" s="1653" t="s">
        <v>1068</v>
      </c>
      <c r="E57" s="1665">
        <f>E55*0.6</f>
        <v>57625801.462991692</v>
      </c>
      <c r="F57" s="561"/>
      <c r="G57" s="1661" t="s">
        <v>1068</v>
      </c>
      <c r="H57" s="1668">
        <f>H55*0.6</f>
        <v>62056685.353606999</v>
      </c>
    </row>
    <row r="58" spans="2:28">
      <c r="D58" s="1653" t="s">
        <v>1069</v>
      </c>
      <c r="E58" s="1665">
        <f>-PV(6.5%,34,E56)</f>
        <v>41321016.259847857</v>
      </c>
      <c r="F58" s="561"/>
      <c r="G58" s="1661" t="s">
        <v>1069</v>
      </c>
      <c r="H58" s="1668">
        <f>-PV(6.5%,30,H56)</f>
        <v>42726687.252112888</v>
      </c>
    </row>
    <row r="59" spans="2:28">
      <c r="D59" s="1652" t="s">
        <v>1070</v>
      </c>
      <c r="E59" s="1665">
        <f>E58-H27</f>
        <v>10886787.044936791</v>
      </c>
      <c r="F59" s="561"/>
      <c r="G59" s="1660" t="s">
        <v>1070</v>
      </c>
      <c r="H59" s="1668">
        <f>H58-H30</f>
        <v>20184502.659382802</v>
      </c>
    </row>
    <row r="60" spans="2:28" ht="13.5" thickBot="1">
      <c r="D60" s="1654" t="s">
        <v>1071</v>
      </c>
      <c r="E60" s="1666">
        <f>E59*GapCalc!I33</f>
        <v>9253768.9881962724</v>
      </c>
      <c r="F60" s="561"/>
      <c r="G60" s="1662" t="s">
        <v>1071</v>
      </c>
      <c r="H60" s="1669">
        <f>H59*GapCalc!I33</f>
        <v>17156827.260475382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0" t="s">
        <v>973</v>
      </c>
      <c r="C3" s="1414">
        <f>'Development Budget'!E18</f>
        <v>6565000</v>
      </c>
      <c r="D3" s="1401" t="s">
        <v>975</v>
      </c>
      <c r="E3" s="1412">
        <v>1.199398E-2</v>
      </c>
    </row>
    <row r="4" spans="1:5" ht="31.5">
      <c r="B4" s="1402" t="s">
        <v>974</v>
      </c>
      <c r="C4" s="1415">
        <f>SUM('Development Budget'!G31+'Development Budget'!G32)</f>
        <v>29588400</v>
      </c>
      <c r="D4" s="1403" t="s">
        <v>976</v>
      </c>
      <c r="E4" s="1413">
        <v>1.199398E-2</v>
      </c>
    </row>
    <row r="5" spans="1:5">
      <c r="B5" s="1314"/>
      <c r="C5" s="1314"/>
      <c r="D5" s="1314"/>
      <c r="E5" s="1314"/>
    </row>
    <row r="6" spans="1:5" ht="31.5">
      <c r="A6" s="1406"/>
      <c r="B6" s="1401" t="s">
        <v>977</v>
      </c>
      <c r="C6" s="1401" t="s">
        <v>978</v>
      </c>
      <c r="D6" s="1404" t="s">
        <v>979</v>
      </c>
      <c r="E6" s="1314"/>
    </row>
    <row r="7" spans="1:5">
      <c r="A7" s="1407"/>
      <c r="B7" s="1416">
        <f>C3*E3</f>
        <v>78740.478699999992</v>
      </c>
      <c r="C7" s="1416">
        <f>C4*E4</f>
        <v>354882.67783200002</v>
      </c>
      <c r="D7" s="1408">
        <f>(1-'Rental Income'!O19)</f>
        <v>0.80198019801980203</v>
      </c>
    </row>
    <row r="8" spans="1:5">
      <c r="A8" s="1409" t="s">
        <v>980</v>
      </c>
      <c r="B8" s="1416">
        <f>B7*D7</f>
        <v>63148.304700000001</v>
      </c>
      <c r="C8" s="1416">
        <f>C7*D7</f>
        <v>284608.88024150499</v>
      </c>
      <c r="D8" s="1410"/>
    </row>
    <row r="9" spans="1:5">
      <c r="A9" s="1407"/>
      <c r="B9" s="1416"/>
      <c r="C9" s="1416"/>
      <c r="D9" s="1410"/>
    </row>
    <row r="10" spans="1:5">
      <c r="A10" s="1411" t="s">
        <v>981</v>
      </c>
      <c r="B10" s="1417">
        <f>SUM(B8:C8)</f>
        <v>347757.18494150497</v>
      </c>
      <c r="C10" s="1417"/>
      <c r="D10" s="1405"/>
    </row>
    <row r="12" spans="1:5">
      <c r="A12" t="s">
        <v>990</v>
      </c>
    </row>
    <row r="13" spans="1:5">
      <c r="A13" t="s">
        <v>991</v>
      </c>
      <c r="B13">
        <v>6</v>
      </c>
      <c r="C13" s="1424">
        <f>C3*(E3/12)*B13</f>
        <v>39370.239350000003</v>
      </c>
    </row>
    <row r="14" spans="1:5">
      <c r="A14" t="s">
        <v>992</v>
      </c>
      <c r="B14">
        <v>24</v>
      </c>
      <c r="C14" s="1424">
        <f>C3*(E3/12)*B14</f>
        <v>157480.95740000001</v>
      </c>
    </row>
    <row r="15" spans="1:5">
      <c r="A15" s="40" t="s">
        <v>994</v>
      </c>
      <c r="C15" s="1427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8">
        <f>'Tax Calc'!B10</f>
        <v>347757.18494150497</v>
      </c>
      <c r="Y56" s="1308">
        <f>X56/'Rental Income'!D15</f>
        <v>3443.1404449653955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7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420341.31827483827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306">
        <f>SUM(X68,X64,X54,X39,X31)</f>
        <v>731743.69160817168</v>
      </c>
      <c r="Y70" s="1306">
        <f>X70/D10</f>
        <v>7244.9870456254621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8">
        <f>Y70-6000</f>
        <v>1244.9870456254621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37135500</v>
      </c>
      <c r="C7" s="465">
        <f>'Dev Summary_5-20'!B8</f>
        <v>3190331</v>
      </c>
      <c r="D7" s="465">
        <f t="shared" ref="D7:D14" si="0">B7-C7</f>
        <v>33945169</v>
      </c>
      <c r="E7" s="477">
        <f t="shared" ref="E7:E15" si="1">D7/B7</f>
        <v>0.91408945618074344</v>
      </c>
      <c r="F7" s="477"/>
      <c r="G7" s="472" t="e">
        <f t="shared" ref="G7:G14" si="2">B7/$B$15</f>
        <v>#REF!</v>
      </c>
      <c r="I7" s="147">
        <f>B7/$H$4</f>
        <v>337595.45454545453</v>
      </c>
      <c r="J7" s="53">
        <f>B7/$H$5</f>
        <v>376.52086628543617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187321.16073915965</v>
      </c>
      <c r="C9" s="446">
        <f>'Dev Summary_5-20'!B10</f>
        <v>50000</v>
      </c>
      <c r="D9" s="446">
        <f t="shared" si="0"/>
        <v>137321.16073915965</v>
      </c>
      <c r="E9" s="477">
        <f t="shared" si="1"/>
        <v>0.73307874133011686</v>
      </c>
      <c r="F9" s="477"/>
      <c r="G9" s="473" t="e">
        <f t="shared" si="2"/>
        <v>#REF!</v>
      </c>
      <c r="I9" s="53">
        <f t="shared" si="3"/>
        <v>1702.9196430832694</v>
      </c>
      <c r="J9" s="53">
        <f t="shared" si="4"/>
        <v>1.8992695861130677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48849061.373267718</v>
      </c>
      <c r="C21" s="48">
        <v>18731659</v>
      </c>
      <c r="D21" s="48">
        <f>B21-C21</f>
        <v>30117402.373267718</v>
      </c>
      <c r="E21" s="55">
        <f>D21/B21</f>
        <v>0.61654004246127114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14054561.373267718</v>
      </c>
      <c r="C28" s="50"/>
      <c r="D28" s="50">
        <f t="shared" si="5"/>
        <v>14054561.373267718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4" t="s">
        <v>1004</v>
      </c>
      <c r="B1" s="1445"/>
      <c r="C1" s="1445"/>
      <c r="D1" s="1445"/>
      <c r="E1" s="1445"/>
      <c r="F1" s="1445"/>
      <c r="G1" s="1445"/>
      <c r="H1" s="1445"/>
      <c r="I1" s="1445"/>
      <c r="J1" s="1445"/>
      <c r="K1" s="1446"/>
    </row>
    <row r="2" spans="1:11" ht="18.75" thickBot="1">
      <c r="A2" s="1447" t="s">
        <v>1005</v>
      </c>
      <c r="B2" s="1448"/>
      <c r="C2" s="1448"/>
      <c r="D2" s="1448"/>
      <c r="E2" s="1448"/>
      <c r="F2" s="1448"/>
      <c r="G2" s="1448"/>
      <c r="H2" s="1448"/>
      <c r="I2" s="1448"/>
      <c r="J2" s="1448"/>
      <c r="K2" s="1449"/>
    </row>
    <row r="3" spans="1:11">
      <c r="A3" s="1450" t="s">
        <v>1006</v>
      </c>
      <c r="B3" s="1451" t="s">
        <v>1089</v>
      </c>
      <c r="C3" s="1452"/>
      <c r="D3" s="1452" t="s">
        <v>1007</v>
      </c>
      <c r="E3" s="1452"/>
      <c r="F3" s="1452"/>
      <c r="G3" s="1452"/>
      <c r="H3" s="1452"/>
      <c r="I3" s="1452"/>
      <c r="J3" s="1452"/>
      <c r="K3" s="1453"/>
    </row>
    <row r="4" spans="1:11">
      <c r="A4" s="1454" t="s">
        <v>1008</v>
      </c>
      <c r="B4" s="1455" t="s">
        <v>1009</v>
      </c>
      <c r="C4" s="1456"/>
      <c r="D4" s="1456"/>
      <c r="E4" s="1456" t="s">
        <v>1010</v>
      </c>
      <c r="F4" s="1456"/>
      <c r="G4" s="1457"/>
      <c r="H4" s="1456"/>
      <c r="I4" s="1456"/>
      <c r="J4" s="1456"/>
      <c r="K4" s="1458"/>
    </row>
    <row r="5" spans="1:11" ht="16.5" thickBot="1">
      <c r="A5" s="1454"/>
      <c r="B5" s="1456"/>
      <c r="C5" s="1456" t="s">
        <v>1011</v>
      </c>
      <c r="D5" s="1456"/>
      <c r="E5" s="1456"/>
      <c r="F5" s="1456"/>
      <c r="G5" s="1456"/>
      <c r="H5" s="1456"/>
      <c r="I5" s="1459" t="s">
        <v>1012</v>
      </c>
      <c r="J5" s="1456"/>
      <c r="K5" s="1458"/>
    </row>
    <row r="6" spans="1:11" ht="16.5" thickBot="1">
      <c r="A6" s="1460" t="s">
        <v>1013</v>
      </c>
      <c r="B6" s="1461"/>
      <c r="C6" s="1462">
        <v>20</v>
      </c>
      <c r="D6" s="1461"/>
      <c r="E6" s="1461" t="s">
        <v>1014</v>
      </c>
      <c r="F6" s="1461"/>
      <c r="G6" s="1461"/>
      <c r="H6" s="1463">
        <f>'Development Budget'!G46+'Development Budget'!G47</f>
        <v>40849050</v>
      </c>
      <c r="I6" s="1464"/>
      <c r="J6" s="1465"/>
      <c r="K6" s="1466"/>
    </row>
    <row r="7" spans="1:11">
      <c r="A7" s="1467" t="s">
        <v>1015</v>
      </c>
      <c r="B7" s="1468"/>
      <c r="C7" s="1469"/>
      <c r="D7" s="1468"/>
      <c r="E7" s="1468"/>
      <c r="F7" s="1468"/>
      <c r="G7" s="1468"/>
      <c r="H7" s="1468"/>
      <c r="I7" s="1468"/>
      <c r="J7" s="1468"/>
      <c r="K7" s="1470"/>
    </row>
    <row r="8" spans="1:11">
      <c r="A8" s="1471" t="s">
        <v>1016</v>
      </c>
      <c r="B8" s="1469"/>
      <c r="C8" s="1469"/>
      <c r="D8" s="1472">
        <f>SUM(H6/1000)*0.9+500</f>
        <v>37264.145000000004</v>
      </c>
      <c r="E8" s="1469"/>
      <c r="F8" s="1469"/>
      <c r="G8" s="1469"/>
      <c r="H8" s="1469"/>
      <c r="I8" s="1469"/>
      <c r="J8" s="1469"/>
      <c r="K8" s="1473"/>
    </row>
    <row r="9" spans="1:11">
      <c r="A9" s="1471"/>
      <c r="B9" s="1469"/>
      <c r="C9" s="1469"/>
      <c r="D9" s="1472"/>
      <c r="E9" s="1469"/>
      <c r="F9" s="1469"/>
      <c r="G9" s="1469"/>
      <c r="H9" s="1469"/>
      <c r="I9" s="1469"/>
      <c r="J9" s="1469"/>
      <c r="K9" s="1473"/>
    </row>
    <row r="10" spans="1:11">
      <c r="A10" s="1471" t="s">
        <v>1017</v>
      </c>
      <c r="B10" s="1469"/>
      <c r="C10" s="1469"/>
      <c r="D10" s="1472"/>
      <c r="E10" s="1469"/>
      <c r="F10" s="1469"/>
      <c r="G10" s="1469"/>
      <c r="H10" s="1469"/>
      <c r="I10" s="1469"/>
      <c r="J10" s="1469"/>
      <c r="K10" s="1473"/>
    </row>
    <row r="11" spans="1:11">
      <c r="A11" s="1474">
        <v>4000000</v>
      </c>
      <c r="B11" s="1469"/>
      <c r="C11" s="1469"/>
      <c r="D11" s="1472">
        <f>SUM(D8*0.9)</f>
        <v>33537.730500000005</v>
      </c>
      <c r="E11" s="1469"/>
      <c r="F11" s="1469"/>
      <c r="G11" s="1469"/>
      <c r="H11" s="1469"/>
      <c r="I11" s="1469"/>
      <c r="J11" s="1469"/>
      <c r="K11" s="1473"/>
    </row>
    <row r="12" spans="1:11">
      <c r="A12" s="1471"/>
      <c r="B12" s="1469"/>
      <c r="C12" s="1469"/>
      <c r="D12" s="1472"/>
      <c r="E12" s="1469"/>
      <c r="F12" s="1469"/>
      <c r="G12" s="1469"/>
      <c r="H12" s="1469"/>
      <c r="I12" s="1469"/>
      <c r="J12" s="1469"/>
      <c r="K12" s="1473"/>
    </row>
    <row r="13" spans="1:11">
      <c r="A13" s="1471" t="s">
        <v>1018</v>
      </c>
      <c r="B13" s="1469"/>
      <c r="C13" s="1469"/>
      <c r="D13" s="1472">
        <f>SUM(A14+A15+A16)/100*0.415/12*C6</f>
        <v>314667.17916666664</v>
      </c>
      <c r="E13" s="1469"/>
      <c r="F13" s="1469"/>
      <c r="G13" s="1469"/>
      <c r="H13" s="1469"/>
      <c r="I13" s="1469"/>
      <c r="J13" s="1469"/>
      <c r="K13" s="1473"/>
    </row>
    <row r="14" spans="1:11">
      <c r="A14" s="1475">
        <f>H6</f>
        <v>40849050</v>
      </c>
      <c r="B14" s="1469" t="s">
        <v>1019</v>
      </c>
      <c r="C14" s="1469"/>
      <c r="D14" s="1472"/>
      <c r="E14" s="1469"/>
      <c r="F14" s="1469"/>
      <c r="G14" s="1469"/>
      <c r="H14" s="1469"/>
      <c r="I14" s="1469"/>
      <c r="J14" s="1469"/>
      <c r="K14" s="1473"/>
    </row>
    <row r="15" spans="1:11">
      <c r="A15" s="1476">
        <v>4495000</v>
      </c>
      <c r="B15" s="1469" t="s">
        <v>1020</v>
      </c>
      <c r="C15" s="1469"/>
      <c r="D15" s="1472"/>
      <c r="E15" s="1469"/>
      <c r="F15" s="1469"/>
      <c r="G15" s="1469"/>
      <c r="H15" s="1469"/>
      <c r="I15" s="1469"/>
      <c r="J15" s="1469"/>
      <c r="K15" s="1473"/>
    </row>
    <row r="16" spans="1:11">
      <c r="A16" s="1476">
        <v>150000</v>
      </c>
      <c r="B16" s="1469" t="s">
        <v>1021</v>
      </c>
      <c r="C16" s="1469"/>
      <c r="D16" s="1472"/>
      <c r="E16" s="1469"/>
      <c r="F16" s="1469"/>
      <c r="G16" s="1469"/>
      <c r="H16" s="1469"/>
      <c r="I16" s="1469"/>
      <c r="J16" s="1469"/>
      <c r="K16" s="1473"/>
    </row>
    <row r="17" spans="1:11">
      <c r="A17" s="1475" t="s">
        <v>1022</v>
      </c>
      <c r="B17" s="1469"/>
      <c r="C17" s="1469"/>
      <c r="D17" s="1472">
        <f>SUM(H6/1000)*0.23</f>
        <v>9395.281500000001</v>
      </c>
      <c r="E17" s="1469"/>
      <c r="F17" s="1469"/>
      <c r="G17" s="1469"/>
      <c r="H17" s="1469"/>
      <c r="I17" s="1469"/>
      <c r="J17" s="1469"/>
      <c r="K17" s="1473"/>
    </row>
    <row r="18" spans="1:11" ht="16.5" thickBot="1">
      <c r="A18" s="1471"/>
      <c r="B18" s="1469"/>
      <c r="C18" s="1469"/>
      <c r="D18" s="1472"/>
      <c r="E18" s="1469"/>
      <c r="F18" s="1469"/>
      <c r="G18" s="1469"/>
      <c r="H18" s="1469"/>
      <c r="I18" s="1469"/>
      <c r="J18" s="1469"/>
      <c r="K18" s="1473"/>
    </row>
    <row r="19" spans="1:11" ht="16.5" thickBot="1">
      <c r="A19" s="1471" t="s">
        <v>1023</v>
      </c>
      <c r="B19" s="1469"/>
      <c r="C19" s="1469"/>
      <c r="D19" s="1472"/>
      <c r="E19" s="1477">
        <f>SUM(D8:D17)</f>
        <v>394864.33616666665</v>
      </c>
      <c r="F19" s="1469"/>
      <c r="G19" s="1478" t="s">
        <v>1024</v>
      </c>
      <c r="H19" s="1469"/>
      <c r="I19" s="1469"/>
      <c r="J19" s="1469"/>
      <c r="K19" s="1473"/>
    </row>
    <row r="20" spans="1:11" ht="16.5" thickBot="1">
      <c r="A20" s="1479"/>
      <c r="B20" s="1480"/>
      <c r="C20" s="1480"/>
      <c r="D20" s="1481"/>
      <c r="E20" s="1480"/>
      <c r="F20" s="1480"/>
      <c r="G20" s="1480"/>
      <c r="H20" s="1480"/>
      <c r="I20" s="1480"/>
      <c r="J20" s="1480"/>
      <c r="K20" s="1482"/>
    </row>
    <row r="21" spans="1:11" ht="18.75" thickBot="1">
      <c r="A21" s="1483" t="s">
        <v>1025</v>
      </c>
      <c r="B21" s="1484"/>
      <c r="C21" s="1484"/>
      <c r="D21" s="1484"/>
      <c r="E21" s="1484"/>
      <c r="F21" s="1484"/>
      <c r="G21" s="1484"/>
      <c r="H21" s="1484"/>
      <c r="I21" s="1484"/>
      <c r="J21" s="1484"/>
      <c r="K21" s="1485"/>
    </row>
    <row r="22" spans="1:11">
      <c r="A22" s="1486"/>
      <c r="B22" s="1487"/>
      <c r="C22" s="1487"/>
      <c r="D22" s="1487" t="str">
        <f>D3</f>
        <v>(Estimator created on 09.15.20)</v>
      </c>
      <c r="E22" s="1487"/>
      <c r="F22" s="1487"/>
      <c r="G22" s="1487"/>
      <c r="H22" s="1487"/>
      <c r="I22" s="1487"/>
      <c r="J22" s="1487"/>
      <c r="K22" s="1488"/>
    </row>
    <row r="23" spans="1:11">
      <c r="A23" s="1489" t="s">
        <v>1026</v>
      </c>
      <c r="B23" s="1490" t="str">
        <f>B3</f>
        <v>St. James UMC</v>
      </c>
      <c r="C23" s="1490"/>
      <c r="D23" s="1490"/>
      <c r="E23" s="1490" t="s">
        <v>1027</v>
      </c>
      <c r="F23" s="1490"/>
      <c r="G23" s="1491"/>
      <c r="H23" s="1491"/>
      <c r="I23" s="1490"/>
      <c r="J23" s="1490"/>
      <c r="K23" s="1492"/>
    </row>
    <row r="24" spans="1:11" ht="16.5" thickBot="1">
      <c r="A24" s="1489"/>
      <c r="B24" s="1493" t="s">
        <v>1009</v>
      </c>
      <c r="C24" s="1490"/>
      <c r="D24" s="1490"/>
      <c r="E24" s="1490"/>
      <c r="F24" s="1490"/>
      <c r="G24" s="1490"/>
      <c r="H24" s="1490"/>
      <c r="I24" s="1494" t="s">
        <v>1012</v>
      </c>
      <c r="J24" s="1490"/>
      <c r="K24" s="1492"/>
    </row>
    <row r="25" spans="1:11" ht="16.5" thickBot="1">
      <c r="A25" s="1495" t="s">
        <v>1028</v>
      </c>
      <c r="B25" s="1496"/>
      <c r="C25" s="1497">
        <v>50</v>
      </c>
      <c r="D25" s="1496"/>
      <c r="E25" s="1496" t="s">
        <v>1029</v>
      </c>
      <c r="F25" s="1496"/>
      <c r="G25" s="1496"/>
      <c r="H25" s="1498">
        <f>SUM(H6*0.8)</f>
        <v>32679240</v>
      </c>
      <c r="I25" s="1499"/>
      <c r="J25" s="1500"/>
      <c r="K25" s="1501"/>
    </row>
    <row r="26" spans="1:11">
      <c r="A26" s="1502" t="s">
        <v>1015</v>
      </c>
      <c r="B26" s="1503"/>
      <c r="C26" s="1504"/>
      <c r="D26" s="1503"/>
      <c r="E26" s="1503"/>
      <c r="F26" s="1503"/>
      <c r="G26" s="1503"/>
      <c r="H26" s="1503"/>
      <c r="I26" s="1503"/>
      <c r="J26" s="1503"/>
      <c r="K26" s="1505"/>
    </row>
    <row r="27" spans="1:11">
      <c r="A27" s="1506" t="s">
        <v>1016</v>
      </c>
      <c r="B27" s="1504"/>
      <c r="C27" s="1504"/>
      <c r="D27" s="1507">
        <f>SUM(C25*75+300)</f>
        <v>4050</v>
      </c>
      <c r="E27" s="1504"/>
      <c r="F27" s="1504"/>
      <c r="G27" s="1504"/>
      <c r="H27" s="1504"/>
      <c r="I27" s="1504"/>
      <c r="J27" s="1504"/>
      <c r="K27" s="1508"/>
    </row>
    <row r="28" spans="1:11">
      <c r="A28" s="1506"/>
      <c r="B28" s="1504"/>
      <c r="C28" s="1504"/>
      <c r="D28" s="1507"/>
      <c r="E28" s="1504"/>
      <c r="F28" s="1504"/>
      <c r="G28" s="1504"/>
      <c r="H28" s="1504"/>
      <c r="I28" s="1504"/>
      <c r="J28" s="1504"/>
      <c r="K28" s="1508"/>
    </row>
    <row r="29" spans="1:11">
      <c r="A29" s="1506" t="s">
        <v>1017</v>
      </c>
      <c r="B29" s="1504"/>
      <c r="C29" s="1504"/>
      <c r="D29" s="1507"/>
      <c r="E29" s="1504"/>
      <c r="F29" s="1504"/>
      <c r="G29" s="1504"/>
      <c r="H29" s="1504"/>
      <c r="I29" s="1504"/>
      <c r="J29" s="1504"/>
      <c r="K29" s="1508"/>
    </row>
    <row r="30" spans="1:11">
      <c r="A30" s="1506" t="s">
        <v>1030</v>
      </c>
      <c r="B30" s="1504"/>
      <c r="C30" s="1504"/>
      <c r="D30" s="1507">
        <f>SUM(D27*0.75)</f>
        <v>3037.5</v>
      </c>
      <c r="E30" s="1504"/>
      <c r="F30" s="1504"/>
      <c r="G30" s="1504"/>
      <c r="H30" s="1504"/>
      <c r="I30" s="1504"/>
      <c r="J30" s="1504"/>
      <c r="K30" s="1508"/>
    </row>
    <row r="31" spans="1:11">
      <c r="A31" s="1506"/>
      <c r="B31" s="1504"/>
      <c r="C31" s="1504"/>
      <c r="D31" s="1507"/>
      <c r="E31" s="1504"/>
      <c r="F31" s="1504"/>
      <c r="G31" s="1504"/>
      <c r="H31" s="1504"/>
      <c r="I31" s="1504"/>
      <c r="J31" s="1504"/>
      <c r="K31" s="1508"/>
    </row>
    <row r="32" spans="1:11">
      <c r="A32" s="1506" t="s">
        <v>1031</v>
      </c>
      <c r="B32" s="1504"/>
      <c r="C32" s="1504"/>
      <c r="D32" s="1507">
        <f>SUM(A33+A34+A35)/100*0.135+500</f>
        <v>45872.917880000001</v>
      </c>
      <c r="E32" s="1504" t="s">
        <v>1032</v>
      </c>
      <c r="F32" s="1504"/>
      <c r="G32" s="1504"/>
      <c r="H32" s="1504"/>
      <c r="I32" s="1504"/>
      <c r="J32" s="1504"/>
      <c r="K32" s="1508"/>
    </row>
    <row r="33" spans="1:11">
      <c r="A33" s="1509">
        <f>H25</f>
        <v>32679240</v>
      </c>
      <c r="B33" s="1504" t="s">
        <v>1033</v>
      </c>
      <c r="C33" s="1504"/>
      <c r="D33" s="1507"/>
      <c r="E33" s="1504"/>
      <c r="F33" s="1504"/>
      <c r="G33" s="1504"/>
      <c r="H33" s="1504"/>
      <c r="I33" s="1504"/>
      <c r="J33" s="1504"/>
      <c r="K33" s="1508"/>
    </row>
    <row r="34" spans="1:11">
      <c r="A34" s="1509">
        <v>780328.8</v>
      </c>
      <c r="B34" s="1504" t="s">
        <v>160</v>
      </c>
      <c r="C34" s="1504"/>
      <c r="D34" s="1507"/>
      <c r="E34" s="1504"/>
      <c r="F34" s="1504"/>
      <c r="G34" s="1504"/>
      <c r="H34" s="1504"/>
      <c r="I34" s="1504"/>
      <c r="J34" s="1504"/>
      <c r="K34" s="1508"/>
    </row>
    <row r="35" spans="1:11" ht="16.5" thickBot="1">
      <c r="A35" s="1509">
        <f>A16</f>
        <v>150000</v>
      </c>
      <c r="B35" s="1504" t="s">
        <v>1034</v>
      </c>
      <c r="C35" s="1504"/>
      <c r="D35" s="1507"/>
      <c r="E35" s="1504"/>
      <c r="F35" s="1504"/>
      <c r="G35" s="1504"/>
      <c r="H35" s="1504"/>
      <c r="I35" s="1504"/>
      <c r="J35" s="1504"/>
      <c r="K35" s="1508"/>
    </row>
    <row r="36" spans="1:11" ht="16.5" thickBot="1">
      <c r="A36" s="1506" t="s">
        <v>1035</v>
      </c>
      <c r="B36" s="1504"/>
      <c r="C36" s="1504"/>
      <c r="D36" s="1507"/>
      <c r="E36" s="1510">
        <f>SUM(D27:D34)</f>
        <v>52960.417880000001</v>
      </c>
      <c r="F36" s="1504"/>
      <c r="G36" s="1504"/>
      <c r="H36" s="1504"/>
      <c r="I36" s="1504"/>
      <c r="J36" s="1504"/>
      <c r="K36" s="1508"/>
    </row>
    <row r="37" spans="1:11">
      <c r="A37" s="1511"/>
      <c r="B37" s="1512"/>
      <c r="C37" s="1512"/>
      <c r="D37" s="1512"/>
      <c r="E37" s="1512"/>
      <c r="F37" s="1512"/>
      <c r="G37" s="1512"/>
      <c r="H37" s="1512"/>
      <c r="I37" s="1512"/>
      <c r="J37" s="1512"/>
      <c r="K37" s="1513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456</v>
      </c>
      <c r="B5" s="1763"/>
      <c r="C5" s="1763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470</v>
      </c>
      <c r="B5" s="1763"/>
      <c r="C5" s="1763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443826</v>
      </c>
      <c r="E10" s="748">
        <f>'PreDev Flow of Funds'!Y10+'PreDev Flow of Funds'!Y12</f>
        <v>1395966</v>
      </c>
      <c r="F10" s="748">
        <f>(D10-E10)/18</f>
        <v>-52896.666666666664</v>
      </c>
      <c r="G10" s="748">
        <f>$F$10</f>
        <v>-52896.666666666664</v>
      </c>
      <c r="H10" s="748">
        <f t="shared" ref="H10:W10" si="2">$F$10</f>
        <v>-52896.666666666664</v>
      </c>
      <c r="I10" s="748">
        <f t="shared" si="2"/>
        <v>-52896.666666666664</v>
      </c>
      <c r="J10" s="748">
        <f t="shared" si="2"/>
        <v>-52896.666666666664</v>
      </c>
      <c r="K10" s="748">
        <f t="shared" si="2"/>
        <v>-52896.666666666664</v>
      </c>
      <c r="L10" s="748">
        <f t="shared" si="2"/>
        <v>-52896.666666666664</v>
      </c>
      <c r="M10" s="748">
        <f t="shared" si="2"/>
        <v>-52896.666666666664</v>
      </c>
      <c r="N10" s="748">
        <f t="shared" si="2"/>
        <v>-52896.666666666664</v>
      </c>
      <c r="O10" s="748">
        <f t="shared" si="2"/>
        <v>-52896.666666666664</v>
      </c>
      <c r="P10" s="748">
        <f t="shared" si="2"/>
        <v>-52896.666666666664</v>
      </c>
      <c r="Q10" s="748">
        <f t="shared" si="2"/>
        <v>-52896.666666666664</v>
      </c>
      <c r="R10" s="748">
        <f t="shared" si="2"/>
        <v>-52896.666666666664</v>
      </c>
      <c r="S10" s="748">
        <f t="shared" si="2"/>
        <v>-52896.666666666664</v>
      </c>
      <c r="T10" s="748">
        <f t="shared" si="2"/>
        <v>-52896.666666666664</v>
      </c>
      <c r="U10" s="748">
        <f t="shared" si="2"/>
        <v>-52896.666666666664</v>
      </c>
      <c r="V10" s="748">
        <f t="shared" si="2"/>
        <v>-52896.666666666664</v>
      </c>
      <c r="W10" s="748">
        <f t="shared" si="2"/>
        <v>-52896.666666666664</v>
      </c>
      <c r="X10" s="748"/>
      <c r="Y10" s="748">
        <f>SUM(E10:W10)</f>
        <v>443825.99999999988</v>
      </c>
    </row>
    <row r="11" spans="1:25" ht="15">
      <c r="A11" s="402"/>
      <c r="B11" s="403" t="s">
        <v>388</v>
      </c>
      <c r="C11" s="748"/>
      <c r="D11" s="748">
        <f>'Development Budget'!G41</f>
        <v>443826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37135500</v>
      </c>
      <c r="E13" s="748">
        <f>'PreDev Flow of Funds'!Y14</f>
        <v>69798.3</v>
      </c>
      <c r="F13" s="748">
        <f>(D13-E13)/18</f>
        <v>2059205.6500000001</v>
      </c>
      <c r="G13" s="748">
        <f>$F$13</f>
        <v>2059205.6500000001</v>
      </c>
      <c r="H13" s="748">
        <f t="shared" ref="H13:W13" si="5">$F$13</f>
        <v>2059205.6500000001</v>
      </c>
      <c r="I13" s="748">
        <f t="shared" si="5"/>
        <v>2059205.6500000001</v>
      </c>
      <c r="J13" s="748">
        <f t="shared" si="5"/>
        <v>2059205.6500000001</v>
      </c>
      <c r="K13" s="748">
        <f t="shared" si="5"/>
        <v>2059205.6500000001</v>
      </c>
      <c r="L13" s="748">
        <f t="shared" si="5"/>
        <v>2059205.6500000001</v>
      </c>
      <c r="M13" s="748">
        <f t="shared" si="5"/>
        <v>2059205.6500000001</v>
      </c>
      <c r="N13" s="748">
        <f t="shared" si="5"/>
        <v>2059205.6500000001</v>
      </c>
      <c r="O13" s="748">
        <f t="shared" si="5"/>
        <v>2059205.6500000001</v>
      </c>
      <c r="P13" s="748">
        <f t="shared" si="5"/>
        <v>2059205.6500000001</v>
      </c>
      <c r="Q13" s="748">
        <f t="shared" si="5"/>
        <v>2059205.6500000001</v>
      </c>
      <c r="R13" s="748">
        <f t="shared" si="5"/>
        <v>2059205.6500000001</v>
      </c>
      <c r="S13" s="748">
        <f t="shared" si="5"/>
        <v>2059205.6500000001</v>
      </c>
      <c r="T13" s="748">
        <f t="shared" si="5"/>
        <v>2059205.6500000001</v>
      </c>
      <c r="U13" s="748">
        <f t="shared" si="5"/>
        <v>2059205.6500000001</v>
      </c>
      <c r="V13" s="748">
        <f t="shared" si="5"/>
        <v>2059205.6500000001</v>
      </c>
      <c r="W13" s="748">
        <f t="shared" si="5"/>
        <v>2059205.6500000001</v>
      </c>
      <c r="X13" s="748"/>
      <c r="Y13" s="748">
        <f t="shared" si="3"/>
        <v>37135499.999999993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37135500</v>
      </c>
      <c r="E15" s="748">
        <f>'PreDev Flow of Funds'!Y16+'PreDev Flow of Funds'!Y17+'PreDev Flow of Funds'!Y19</f>
        <v>72500</v>
      </c>
      <c r="F15" s="748">
        <f>(D15-E15)/18</f>
        <v>2059055.5555555555</v>
      </c>
      <c r="G15" s="748">
        <f>$F$15</f>
        <v>2059055.5555555555</v>
      </c>
      <c r="H15" s="748">
        <f t="shared" ref="H15:W15" si="7">$F$15</f>
        <v>2059055.5555555555</v>
      </c>
      <c r="I15" s="748">
        <f t="shared" si="7"/>
        <v>2059055.5555555555</v>
      </c>
      <c r="J15" s="748">
        <f t="shared" si="7"/>
        <v>2059055.5555555555</v>
      </c>
      <c r="K15" s="748">
        <f t="shared" si="7"/>
        <v>2059055.5555555555</v>
      </c>
      <c r="L15" s="748">
        <f t="shared" si="7"/>
        <v>2059055.5555555555</v>
      </c>
      <c r="M15" s="748">
        <f t="shared" si="7"/>
        <v>2059055.5555555555</v>
      </c>
      <c r="N15" s="748">
        <f t="shared" si="7"/>
        <v>2059055.5555555555</v>
      </c>
      <c r="O15" s="748">
        <f t="shared" si="7"/>
        <v>2059055.5555555555</v>
      </c>
      <c r="P15" s="748">
        <f t="shared" si="7"/>
        <v>2059055.5555555555</v>
      </c>
      <c r="Q15" s="748">
        <f t="shared" si="7"/>
        <v>2059055.5555555555</v>
      </c>
      <c r="R15" s="748">
        <f t="shared" si="7"/>
        <v>2059055.5555555555</v>
      </c>
      <c r="S15" s="748">
        <f t="shared" si="7"/>
        <v>2059055.5555555555</v>
      </c>
      <c r="T15" s="748">
        <f t="shared" si="7"/>
        <v>2059055.5555555555</v>
      </c>
      <c r="U15" s="748">
        <f t="shared" si="7"/>
        <v>2059055.5555555555</v>
      </c>
      <c r="V15" s="748">
        <f t="shared" si="7"/>
        <v>2059055.5555555555</v>
      </c>
      <c r="W15" s="748">
        <f t="shared" si="7"/>
        <v>2059055.5555555555</v>
      </c>
      <c r="X15" s="748"/>
      <c r="Y15" s="748">
        <f t="shared" si="3"/>
        <v>37135500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29588400</v>
      </c>
      <c r="E33" s="748">
        <v>0</v>
      </c>
      <c r="F33" s="748">
        <f>D33</f>
        <v>29588400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29588400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92838.75</v>
      </c>
      <c r="E43" s="748">
        <f>D43</f>
        <v>92838.75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92838.75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283838.75</v>
      </c>
      <c r="E52" s="748">
        <f>D52</f>
        <v>283838.75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283838.75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187321.16073915965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15221830.574999997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34794500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-12847017.510000002</v>
      </c>
      <c r="E87" s="749">
        <f>E80-E84-E85-E86-E88-E89-E90-E91</f>
        <v>380677.49999999627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15221830.574999997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09">
        <f>544</f>
        <v>544</v>
      </c>
    </row>
    <row r="7" spans="3:6">
      <c r="D7" t="s">
        <v>945</v>
      </c>
      <c r="F7" s="1309"/>
    </row>
    <row r="8" spans="3:6">
      <c r="F8" s="1309">
        <v>0</v>
      </c>
    </row>
    <row r="9" spans="3:6">
      <c r="D9" t="s">
        <v>946</v>
      </c>
      <c r="F9" s="1309">
        <v>234</v>
      </c>
    </row>
    <row r="10" spans="3:6">
      <c r="F10" s="1309"/>
    </row>
    <row r="11" spans="3:6">
      <c r="D11" t="s">
        <v>947</v>
      </c>
      <c r="F11" s="1309"/>
    </row>
    <row r="12" spans="3:6">
      <c r="E12" t="s">
        <v>948</v>
      </c>
      <c r="F12" s="1309">
        <v>3437</v>
      </c>
    </row>
    <row r="13" spans="3:6">
      <c r="E13" t="s">
        <v>949</v>
      </c>
      <c r="F13" s="1309">
        <v>426</v>
      </c>
    </row>
    <row r="14" spans="3:6">
      <c r="E14" t="s">
        <v>950</v>
      </c>
      <c r="F14" s="1309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0" t="s">
        <v>60</v>
      </c>
      <c r="F17" s="1311">
        <f>SUM(F6:F16)</f>
        <v>7491</v>
      </c>
    </row>
    <row r="19" spans="3:6">
      <c r="D19" t="s">
        <v>952</v>
      </c>
    </row>
    <row r="20" spans="3:6">
      <c r="D20" t="s">
        <v>953</v>
      </c>
      <c r="F20" s="1312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09">
        <v>37.33</v>
      </c>
    </row>
    <row r="31" spans="3:6">
      <c r="D31" t="s">
        <v>957</v>
      </c>
      <c r="E31" s="1313">
        <v>10000000</v>
      </c>
      <c r="F31" s="1309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09">
        <v>1743.09</v>
      </c>
    </row>
    <row r="35" spans="4:6" ht="31.5">
      <c r="E35" s="1314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2"/>
      <c r="B5" s="1763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4"/>
      <c r="B6" s="1766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4"/>
      <c r="B40" s="1766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4"/>
      <c r="B73" s="1765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7" t="s">
        <v>590</v>
      </c>
      <c r="D74" s="1768"/>
      <c r="E74" s="1768"/>
      <c r="F74" s="1768"/>
      <c r="G74" s="1768"/>
      <c r="H74" s="1768"/>
      <c r="I74" s="1769"/>
      <c r="J74" s="1770" t="s">
        <v>583</v>
      </c>
      <c r="K74" s="1771"/>
      <c r="L74" s="1771"/>
      <c r="M74" s="1771"/>
      <c r="N74" s="1771"/>
      <c r="O74" s="1772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7"/>
      <c r="D78" s="1768"/>
      <c r="E78" s="1768"/>
      <c r="F78" s="1768"/>
      <c r="G78" s="1768"/>
      <c r="H78" s="1768"/>
      <c r="I78" s="176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7"/>
      <c r="D85" s="1768"/>
      <c r="E85" s="1768"/>
      <c r="F85" s="1768"/>
      <c r="G85" s="1768"/>
      <c r="H85" s="1768"/>
      <c r="I85" s="176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7"/>
      <c r="D91" s="1768"/>
      <c r="E91" s="1768"/>
      <c r="F91" s="1768"/>
      <c r="G91" s="1768"/>
      <c r="H91" s="1768"/>
      <c r="I91" s="1769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-1328253.5774999999</v>
      </c>
      <c r="K103" s="162">
        <f>J103+(C116*0.25)/2</f>
        <v>-2656507.1549999998</v>
      </c>
      <c r="L103" s="162">
        <f>K103+((C116-K103)/4)</f>
        <v>-4648887.5212500002</v>
      </c>
      <c r="M103" s="162">
        <f>L103+((C116-K103)/4)</f>
        <v>-6641267.8875000002</v>
      </c>
      <c r="N103" s="162">
        <f>M103+((C116-K103)/4)</f>
        <v>-8633648.2537500001</v>
      </c>
      <c r="O103" s="162">
        <f>N103+((C116-K103)/4)</f>
        <v>-10626028.620000001</v>
      </c>
      <c r="P103" s="162">
        <f>O103</f>
        <v>-10626028.620000001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9967028.7408333328</v>
      </c>
      <c r="K104" s="371">
        <f>((C117-1033493)/6)+J104</f>
        <v>19934057.481666666</v>
      </c>
      <c r="L104" s="371">
        <f>((C117-1033493)/6)+K104</f>
        <v>29901086.222499996</v>
      </c>
      <c r="M104" s="371">
        <f>((C117-1033493)/6)+L104</f>
        <v>39868114.963333331</v>
      </c>
      <c r="N104" s="371">
        <f>((C117-1033493)/6)+M104</f>
        <v>49835143.704166666</v>
      </c>
      <c r="O104" s="371">
        <f>((C117-1033493)/6)+N104</f>
        <v>59802172.445</v>
      </c>
      <c r="P104" s="371">
        <f>(286645+100000+646848)+O104</f>
        <v>60835665.445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8638775.1633333322</v>
      </c>
      <c r="K110" s="371">
        <f t="shared" ref="K110:P110" si="9">SUM(K103:K104)</f>
        <v>17277550.326666664</v>
      </c>
      <c r="L110" s="371">
        <f t="shared" si="9"/>
        <v>25252198.701249994</v>
      </c>
      <c r="M110" s="371">
        <f t="shared" si="9"/>
        <v>33226847.075833332</v>
      </c>
      <c r="N110" s="371">
        <f t="shared" si="9"/>
        <v>41201495.450416669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5">
        <f>'PreDev Flow of Funds'!D47</f>
        <v>14824249.954999998</v>
      </c>
      <c r="D114" s="1774"/>
    </row>
    <row r="115" spans="2:19">
      <c r="B115" s="397" t="s">
        <v>601</v>
      </c>
      <c r="C115" s="1776">
        <f>M102</f>
        <v>1323400.22</v>
      </c>
      <c r="D115" s="1774"/>
    </row>
    <row r="116" spans="2:19">
      <c r="B116" s="397" t="s">
        <v>583</v>
      </c>
      <c r="C116" s="1776">
        <f>'Development Budget'!G37-Predevelopment!D27-Predevelopment!D28-Predevelopment!D29-Timeline!M102-Predevelopment!D17</f>
        <v>-10626028.619999999</v>
      </c>
      <c r="D116" s="1774"/>
    </row>
    <row r="117" spans="2:19" ht="16.5" thickBot="1">
      <c r="B117" s="398" t="s">
        <v>602</v>
      </c>
      <c r="C117" s="1777">
        <f>C118-C114-C116-C115</f>
        <v>60835665.445</v>
      </c>
      <c r="D117" s="1778"/>
    </row>
    <row r="118" spans="2:19" ht="16.5" thickTop="1">
      <c r="B118" s="368" t="s">
        <v>586</v>
      </c>
      <c r="C118" s="1773">
        <v>66357287</v>
      </c>
      <c r="D118" s="1774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1087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1088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1088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1088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1088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1088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1088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1088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1088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1088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1088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1088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1088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1088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1088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1088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1088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1088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1088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1088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1088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1088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1088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2024-05-10T00:26:36Z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