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\Policy Hypotheticals\Low Cost Financing\Lowered TDC\"/>
    </mc:Choice>
  </mc:AlternateContent>
  <xr:revisionPtr revIDLastSave="0" documentId="13_ncr:1_{A068891C-F01E-4D67-9BFA-E3889AEF636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0" i="10" l="1"/>
  <c r="M163" i="1"/>
  <c r="E35" i="1"/>
  <c r="D37" i="2" l="1"/>
  <c r="D40" i="28" s="1"/>
  <c r="I59" i="2" l="1"/>
  <c r="E55" i="23"/>
  <c r="D50" i="10"/>
  <c r="L50" i="10" s="1"/>
  <c r="L51" i="10"/>
  <c r="L52" i="10"/>
  <c r="L53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H33" i="2" l="1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l="1"/>
  <c r="G250" i="1"/>
  <c r="M18" i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D27" i="28"/>
  <c r="E27" i="28" l="1"/>
  <c r="D28" i="28"/>
  <c r="D22" i="6"/>
  <c r="K97" i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<sst xmlns="http://schemas.openxmlformats.org/spreadsheetml/2006/main" count="2004" uniqueCount="1108">
  <si>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</si>
  <si>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</si>
  <si>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</si>
  <si>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</si>
  <si>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</si>
  <si>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</si>
  <si>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</si>
  <si>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</si>
  <si>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</si>
  <si>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</si>
  <si>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</si>
  <si>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</si>
  <si>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</si>
  <si>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</si>
  <si>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</si>
  <si>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</si>
  <si>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</si>
  <si>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</si>
  <si>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</si>
  <si>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</si>
  <si>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</si>
  <si>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</si>
  <si>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</si>
  <si>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</si>
  <si>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</si>
  <si>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</si>
  <si>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</si>
  <si>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</si>
  <si>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</si>
  <si>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</si>
  <si>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</si>
  <si>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</si>
  <si>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</si>
  <si>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</si>
  <si>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</si>
  <si>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</si>
  <si>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</si>
  <si>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</si>
  <si>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</si>
  <si>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</si>
  <si>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</si>
  <si>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</si>
  <si>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</si>
  <si>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</si>
  <si>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</si>
  <si>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</si>
  <si>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</si>
  <si>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</si>
  <si>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</si>
  <si>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</si>
  <si>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</si>
  <si>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</si>
  <si>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</si>
  <si>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</si>
  <si>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</si>
  <si>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</si>
  <si>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</si>
  <si>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</si>
  <si>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</si>
  <si>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</si>
  <si>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</si>
  <si>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</si>
  <si>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</si>
  <si>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</si>
  <si>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</si>
  <si>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</si>
  <si>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</si>
  <si>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</si>
  <si>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</si>
  <si>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</si>
  <si>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</si>
  <si>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</si>
  <si>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</si>
  <si>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</si>
  <si>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</si>
  <si>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</si>
  <si>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</si>
  <si>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</si>
  <si>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</si>
  <si>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</si>
  <si>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</si>
  <si>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</si>
  <si>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</si>
  <si>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</si>
  <si>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</si>
  <si>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</si>
  <si>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</si>
  <si>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</si>
  <si>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</si>
  <si>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</si>
  <si>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</si>
  <si>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</si>
  <si>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</si>
  <si>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</si>
  <si>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</si>
  <si>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</si>
  <si>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</si>
  <si>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</si>
  <si>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</si>
  <si>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</si>
  <si>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</si>
  <si>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</si>
  <si>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</si>
  <si>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</si>
  <si>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</si>
  <si>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</si>
  <si>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</si>
  <si>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</si>
  <si>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</si>
  <si>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</si>
  <si>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</si>
  <si>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</si>
  <si>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</si>
  <si>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</si>
  <si>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</si>
  <si>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</si>
  <si>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</si>
  <si>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</si>
  <si>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</si>
  <si>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</si>
  <si>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</si>
  <si>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</si>
  <si>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</si>
  <si>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</si>
  <si>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</si>
  <si>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</si>
  <si>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</si>
  <si>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</si>
  <si>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</si>
  <si>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</si>
  <si>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</si>
  <si>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</si>
  <si>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</si>
  <si>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</si>
  <si>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</si>
  <si>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</si>
  <si>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</si>
  <si>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</si>
  <si>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</si>
  <si>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</si>
  <si>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</si>
  <si>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</si>
  <si>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</si>
  <si>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</si>
  <si>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</si>
  <si>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</si>
  <si>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</si>
  <si>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</si>
  <si>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</si>
  <si>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</si>
  <si>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</si>
  <si>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</si>
  <si>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</si>
  <si>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</si>
  <si>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</si>
  <si>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</si>
  <si>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</si>
  <si>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</si>
  <si>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</si>
  <si>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</si>
  <si>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</si>
  <si>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</si>
  <si>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</si>
  <si>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</si>
  <si>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</si>
  <si>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</si>
  <si>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</si>
  <si>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</si>
  <si>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</si>
  <si>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</si>
  <si>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</si>
  <si>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</si>
  <si>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</si>
  <si>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</si>
  <si>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</si>
  <si>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</si>
  <si>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</si>
  <si>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</si>
  <si>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</si>
  <si>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</si>
  <si>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</si>
  <si>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</si>
  <si>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</si>
  <si>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</si>
  <si>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</si>
  <si>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</si>
  <si>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</si>
  <si>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</si>
  <si>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</si>
  <si>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</si>
  <si>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</si>
  <si>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</si>
  <si>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</si>
  <si>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</si>
  <si>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</si>
  <si>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</si>
  <si>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</si>
  <si>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</si>
  <si>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</si>
  <si>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</si>
  <si>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</si>
  <si>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</si>
  <si>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</si>
  <si>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</si>
  <si>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</si>
  <si>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</si>
  <si>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</si>
  <si>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</si>
  <si>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</si>
  <si>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</si>
  <si>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</si>
  <si>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</si>
  <si>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</si>
  <si>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</si>
  <si>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</si>
  <si>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</si>
  <si>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</si>
  <si>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</si>
  <si>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</si>
  <si>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</si>
  <si>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</si>
  <si>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</si>
  <si>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</si>
  <si>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</si>
  <si>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</si>
  <si>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</si>
  <si>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</si>
  <si>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</si>
  <si>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</si>
  <si>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</si>
  <si>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</si>
  <si>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</si>
  <si>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</si>
  <si>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</si>
  <si>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</si>
  <si>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</si>
  <si>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</si>
  <si>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</si>
  <si>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</si>
  <si>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</si>
  <si>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</si>
  <si>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</si>
  <si>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</si>
  <si>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</si>
  <si>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</si>
  <si>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</si>
  <si>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</si>
  <si>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</si>
  <si>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</si>
  <si>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</si>
  <si>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</si>
  <si>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</si>
  <si>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</si>
  <si>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</si>
  <si>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</si>
  <si>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</si>
  <si>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</si>
  <si>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</si>
  <si>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</si>
  <si>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</si>
  <si>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</si>
  <si>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</si>
  <si>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</si>
  <si>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</si>
  <si>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</si>
  <si>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</si>
  <si>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</si>
  <si>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</si>
  <si>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</si>
  <si>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</si>
  <si>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</si>
  <si>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</si>
  <si>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</si>
  <si>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</si>
  <si>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</si>
  <si>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</si>
  <si>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</si>
  <si>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</si>
  <si>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</si>
  <si>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</si>
  <si>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</si>
  <si>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</si>
  <si>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</si>
  <si>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</si>
  <si>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</si>
  <si>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</si>
  <si>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</si>
  <si>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</si>
  <si>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</si>
  <si>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</si>
  <si>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</si>
  <si>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</si>
  <si>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</si>
  <si>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</si>
  <si>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</si>
  <si>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</si>
  <si>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</si>
  <si>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</si>
  <si>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</si>
  <si>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</si>
  <si>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</si>
  <si>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</si>
  <si>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</si>
  <si>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</si>
  <si>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</si>
  <si>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</si>
  <si>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</si>
  <si>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</si>
  <si>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</si>
  <si>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</si>
  <si>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</si>
  <si>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</si>
  <si>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</si>
  <si>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</si>
  <si>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</si>
  <si>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</si>
  <si>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</si>
  <si>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</si>
  <si>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</si>
  <si>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</si>
  <si>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</si>
  <si>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</si>
  <si>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</si>
  <si>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</si>
  <si>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</si>
  <si>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</si>
  <si>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</si>
  <si>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</si>
  <si>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</si>
  <si>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</si>
  <si>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</si>
  <si>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</si>
  <si>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</si>
  <si>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</si>
  <si>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</si>
  <si>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</si>
  <si>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</si>
  <si>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</si>
  <si>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</si>
  <si>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</si>
  <si>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</si>
  <si>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</si>
  <si>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</si>
  <si>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</si>
  <si>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</si>
  <si>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</si>
  <si>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</si>
  <si>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</si>
  <si>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</si>
  <si>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</si>
  <si>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</si>
  <si>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</si>
  <si>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</si>
  <si>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</si>
  <si>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</si>
  <si>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</si>
  <si>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</si>
  <si>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</si>
  <si>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</si>
  <si>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</si>
  <si>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</si>
  <si>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</si>
  <si>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</si>
  <si>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</si>
  <si>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</si>
  <si>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</si>
  <si>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</si>
  <si>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</si>
  <si>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</si>
  <si>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</si>
  <si>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</si>
  <si>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</si>
  <si>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</si>
  <si>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</si>
  <si>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</si>
  <si>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</si>
  <si>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</si>
  <si>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</si>
  <si>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</si>
  <si>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</si>
  <si>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</si>
  <si>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</si>
  <si>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</si>
  <si>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</si>
  <si>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</si>
  <si>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</si>
  <si>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</si>
  <si>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</si>
  <si>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</si>
  <si>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</si>
  <si>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</si>
  <si>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</si>
  <si>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</si>
  <si>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</si>
  <si>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</si>
  <si>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</si>
  <si>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</si>
  <si>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</si>
  <si>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</si>
  <si>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</si>
  <si>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</si>
  <si>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</si>
  <si>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</si>
  <si>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</si>
  <si>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</si>
  <si>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</si>
  <si>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</si>
  <si>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</si>
  <si>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</si>
  <si>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</si>
  <si>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</si>
  <si>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</si>
  <si>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</si>
  <si>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</si>
  <si>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</si>
  <si>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</si>
  <si>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</si>
  <si>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</si>
  <si>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</si>
  <si>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</si>
  <si>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</si>
  <si>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</si>
  <si>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</si>
  <si>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</si>
  <si>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</si>
  <si>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</si>
  <si>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</si>
  <si>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</si>
  <si>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</si>
  <si>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</si>
  <si>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</si>
  <si>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</si>
  <si>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</si>
  <si>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</si>
  <si>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</si>
  <si>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</si>
  <si>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</si>
  <si>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</si>
  <si>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</si>
  <si>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</si>
  <si>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</si>
  <si>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</si>
  <si>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</si>
  <si>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</si>
  <si>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</si>
  <si>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</si>
  <si>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</si>
  <si>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</si>
  <si>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</si>
  <si>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</si>
  <si>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</si>
  <si>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</si>
  <si>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</si>
  <si>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</si>
  <si>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</si>
  <si>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</si>
  <si>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</si>
  <si>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</si>
  <si>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</si>
  <si>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</si>
  <si>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</si>
  <si>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</si>
  <si>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</si>
  <si>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</si>
  <si>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</si>
  <si>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</si>
  <si>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</si>
  <si>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</si>
  <si>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</si>
  <si>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</si>
  <si>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</si>
  <si>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</si>
  <si>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</si>
  <si>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</si>
  <si>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</si>
  <si>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</si>
  <si>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</si>
  <si>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</si>
  <si>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</si>
  <si>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</si>
  <si>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</si>
  <si>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</si>
  <si>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</si>
  <si>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</si>
  <si>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</si>
  <si>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</si>
  <si>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</si>
  <si>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</si>
  <si>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</si>
  <si>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</si>
  <si>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</si>
  <si>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</si>
  <si>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</si>
  <si>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</si>
  <si>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</si>
  <si>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</si>
  <si>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</si>
  <si>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</si>
  <si>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</si>
  <si>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</si>
  <si>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</si>
  <si>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</si>
  <si>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</si>
  <si>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</si>
  <si>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</si>
  <si>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</si>
  <si>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</si>
  <si>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</si>
  <si>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</si>
  <si>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</si>
  <si>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</si>
  <si>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</si>
  <si>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</si>
  <si>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</si>
  <si>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</si>
  <si>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</si>
  <si>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</si>
  <si>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</si>
  <si>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</si>
  <si>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</si>
  <si>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</si>
  <si>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</si>
  <si>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</si>
  <si>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</si>
  <si>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</si>
  <si>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</si>
  <si>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</si>
  <si>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</si>
  <si>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</si>
  <si>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</si>
  <si>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</si>
  <si>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</si>
  <si>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</si>
  <si>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</si>
  <si>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</si>
  <si>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</si>
  <si>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</si>
  <si>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</si>
  <si>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</si>
  <si>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</si>
  <si>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</si>
  <si>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</si>
  <si>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</si>
  <si>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</si>
  <si>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</si>
  <si>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</si>
  <si>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</si>
  <si>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</si>
  <si>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</si>
  <si>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</si>
  <si>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</si>
  <si>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</si>
  <si>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</si>
  <si>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</si>
  <si>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</si>
  <si>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</si>
  <si>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</si>
  <si>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</si>
  <si>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</si>
  <si>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</si>
  <si>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</si>
  <si>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</si>
  <si>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</si>
  <si>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</si>
  <si>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</si>
  <si>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</si>
  <si>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</si>
  <si>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</si>
  <si>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</si>
  <si>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</si>
  <si>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</si>
  <si>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</si>
  <si>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</si>
  <si>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</si>
  <si>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</si>
  <si>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</si>
  <si>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</si>
  <si>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</si>
  <si>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</si>
  <si>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</si>
  <si>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</si>
  <si>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</si>
  <si>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</si>
  <si>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</si>
  <si>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</si>
  <si>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</si>
  <si>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</si>
  <si>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</si>
  <si>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</si>
  <si>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</si>
  <si>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</si>
  <si>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</si>
  <si>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</si>
  <si>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</si>
  <si>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</si>
  <si>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</si>
  <si>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</si>
  <si>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</si>
  <si>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</si>
  <si>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</si>
  <si>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</si>
  <si>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</si>
  <si>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</si>
  <si>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</si>
  <si>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</si>
  <si>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</si>
  <si>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</si>
  <si>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</si>
  <si>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</si>
  <si>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</si>
  <si>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</si>
  <si>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</si>
  <si>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</si>
  <si>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</si>
  <si>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</si>
  <si>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</si>
  <si>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</si>
  <si>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</si>
  <si>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</si>
  <si>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</si>
  <si>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</si>
  <si>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</si>
  <si>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</si>
  <si>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</si>
  <si>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</si>
  <si>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</si>
  <si>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</si>
  <si>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</si>
  <si>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</si>
  <si>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</si>
  <si>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</si>
  <si>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</si>
  <si>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</si>
  <si>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</si>
  <si>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</si>
  <si>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</si>
  <si>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</si>
  <si>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</si>
  <si>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</si>
  <si>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</si>
  <si>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</si>
  <si>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</si>
  <si>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</si>
  <si>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</si>
  <si>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</si>
  <si>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</si>
  <si>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</si>
  <si>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</si>
  <si>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</si>
  <si>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</si>
  <si>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</si>
  <si>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</si>
  <si>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</si>
  <si>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</si>
  <si>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</si>
  <si>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</si>
  <si>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</si>
  <si>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</si>
  <si>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</si>
  <si>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</si>
  <si>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</si>
  <si>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</si>
  <si>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</si>
  <si>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</si>
  <si>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</si>
  <si>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</si>
  <si>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</si>
  <si>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</si>
  <si>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</si>
  <si>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</si>
  <si>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</si>
  <si>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</si>
  <si>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</si>
  <si>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</si>
  <si>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</si>
  <si>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</si>
  <si>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</si>
  <si>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</si>
  <si>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</si>
  <si>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</si>
  <si>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</si>
  <si>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</si>
  <si>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</si>
  <si>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</si>
  <si>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</si>
  <si>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</si>
  <si>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</si>
  <si>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</si>
  <si>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</si>
  <si>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</si>
  <si>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</si>
  <si>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</si>
  <si>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</si>
  <si>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</si>
  <si>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</si>
  <si>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</si>
  <si>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</si>
  <si>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</si>
  <si>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</si>
  <si>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</si>
  <si>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</si>
  <si>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</si>
  <si>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</si>
  <si>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</si>
  <si>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</si>
  <si>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</si>
  <si>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</si>
  <si>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</si>
  <si>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</si>
  <si>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</si>
  <si>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</si>
  <si>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</si>
  <si>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</si>
  <si>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</si>
  <si>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</si>
  <si>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</si>
  <si>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</si>
  <si>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</si>
  <si>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</si>
  <si>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</si>
  <si>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</si>
  <si>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</si>
  <si>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</si>
  <si>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</si>
  <si>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</si>
  <si>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</si>
  <si>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</si>
  <si>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</si>
  <si>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</si>
  <si>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</si>
  <si>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</si>
  <si>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</si>
  <si>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</si>
  <si>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</si>
  <si>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</si>
  <si>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</si>
  <si>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</si>
  <si>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</si>
  <si>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</si>
  <si>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</si>
  <si>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</si>
  <si>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</si>
  <si>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</si>
  <si>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</si>
  <si>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</si>
  <si>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</si>
  <si>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</si>
  <si>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</si>
  <si>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</si>
  <si>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</si>
  <si>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</si>
  <si>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</si>
  <si>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</si>
  <si>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</si>
  <si>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</si>
  <si>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</si>
  <si>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</si>
  <si>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</si>
  <si>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</si>
  <si>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</si>
  <si>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</si>
  <si>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</si>
  <si>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</si>
  <si>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</si>
  <si>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</si>
  <si>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</si>
  <si>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</si>
  <si>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</si>
  <si>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</si>
  <si>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</si>
  <si>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</si>
  <si>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</si>
  <si>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</si>
  <si>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</si>
  <si>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</si>
  <si>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</si>
  <si>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</si>
  <si>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</si>
  <si>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</si>
  <si>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</si>
  <si>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</si>
  <si>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</si>
  <si>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</si>
  <si>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</si>
  <si>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</si>
  <si>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</si>
  <si>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</si>
  <si>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</si>
  <si>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</si>
  <si>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</si>
  <si>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</si>
  <si>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</si>
  <si>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</si>
  <si>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</si>
  <si>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</si>
  <si>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</si>
  <si>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</si>
  <si>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</si>
  <si>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</si>
  <si>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</si>
  <si>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</si>
  <si>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</si>
  <si>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</si>
  <si>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</si>
  <si>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</si>
  <si>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</si>
  <si>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</si>
  <si>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</si>
  <si>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</si>
  <si>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</si>
  <si>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</si>
  <si>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</si>
  <si>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</si>
  <si>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</si>
  <si>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</si>
  <si>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</si>
  <si>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</si>
  <si>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</si>
  <si>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</si>
  <si>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</si>
  <si>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</si>
  <si>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</si>
  <si>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</si>
  <si>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</si>
  <si>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</si>
  <si>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</si>
  <si>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</si>
  <si>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</si>
  <si>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</si>
  <si>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</si>
  <si>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</si>
  <si>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</si>
  <si>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</si>
  <si>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</si>
  <si>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</si>
  <si>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</si>
  <si>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</si>
  <si>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</si>
  <si>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</si>
  <si>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</si>
  <si>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</si>
  <si>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</si>
  <si>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</si>
  <si>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</si>
  <si>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</si>
  <si>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</si>
  <si>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</si>
  <si>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</si>
  <si>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</si>
  <si>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</si>
  <si>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</si>
  <si>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</si>
  <si>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</si>
  <si>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</si>
  <si>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</si>
  <si>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</si>
  <si>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</si>
  <si>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</si>
  <si>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</si>
  <si>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</si>
  <si>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</si>
  <si>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</si>
  <si>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</si>
  <si>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</si>
  <si>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</si>
  <si>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</si>
  <si>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</si>
  <si>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</si>
  <si>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</si>
  <si>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</si>
  <si>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</si>
  <si>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</si>
  <si>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</si>
  <si>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</si>
  <si>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</si>
  <si>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</si>
  <si>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</si>
  <si>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</si>
  <si>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</si>
  <si>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</si>
  <si>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</si>
  <si>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</si>
  <si>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</si>
  <si>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</si>
  <si>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</si>
  <si>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</si>
  <si>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</si>
  <si>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</si>
  <si>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</si>
  <si>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</si>
  <si>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</si>
  <si>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</si>
  <si>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</si>
  <si>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</si>
  <si>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</si>
  <si>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</si>
  <si>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</si>
  <si>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</si>
  <si>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</si>
  <si>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</si>
  <si>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</si>
  <si>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</si>
  <si>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</si>
  <si>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</si>
  <si>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</si>
  <si>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</si>
  <si>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</si>
  <si>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</si>
  <si>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</si>
  <si>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</si>
  <si>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</si>
  <si>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</si>
  <si>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</si>
  <si>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</si>
  <si>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</si>
  <si>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</si>
  <si>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</si>
  <si>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</si>
  <si>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</si>
  <si>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</si>
  <si>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</si>
  <si>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</si>
  <si>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</si>
  <si>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</si>
  <si>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</si>
  <si>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</si>
  <si>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</si>
  <si>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</si>
  <si>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</si>
  <si>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</si>
  <si>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</si>
  <si>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</si>
  <si>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</si>
  <si>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</si>
  <si>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</si>
  <si>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</si>
  <si>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</si>
  <si>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</si>
  <si>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</si>
  <si>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</si>
  <si>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</si>
  <si>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</si>
  <si>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</si>
  <si>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</si>
  <si>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</si>
  <si>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</si>
  <si>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</si>
  <si>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</si>
  <si>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</si>
  <si>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</si>
  <si>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</si>
  <si>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</si>
  <si>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</si>
  <si>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</si>
  <si>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</si>
  <si>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</si>
  <si>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</si>
  <si>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</si>
  <si>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</si>
  <si>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</si>
  <si>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</si>
  <si>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</si>
  <si>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</si>
  <si>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</si>
  <si>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</si>
  <si>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</si>
  <si>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</si>
  <si>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</si>
  <si>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</si>
  <si>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</si>
  <si>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</si>
  <si>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</si>
  <si>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</si>
  <si>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</si>
  <si>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</si>
  <si>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</si>
  <si>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</si>
  <si>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</si>
  <si>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</si>
  <si>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</si>
  <si>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</si>
  <si>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</si>
  <si>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</si>
  <si>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</si>
  <si>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</si>
  <si>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</si>
  <si>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</si>
  <si>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</si>
  <si>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</si>
  <si>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</si>
  <si>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</si>
  <si>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</si>
  <si>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</si>
  <si>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</si>
  <si>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</si>
  <si>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</si>
  <si>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</si>
  <si>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</si>
  <si>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</si>
  <si>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</si>
  <si>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</si>
  <si>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</si>
  <si>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</si>
  <si>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</si>
  <si>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</si>
  <si>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</si>
  <si>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</si>
  <si>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</si>
  <si>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</si>
  <si>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</si>
  <si>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</si>
  <si>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</si>
  <si>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</si>
  <si>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</si>
  <si>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</si>
  <si>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</si>
  <si>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</si>
  <si>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</si>
  <si>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</si>
  <si>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</si>
  <si>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</si>
  <si>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</si>
  <si>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</si>
  <si>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</si>
  <si>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</si>
  <si>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</si>
  <si>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</si>
  <si>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</si>
  <si>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</si>
  <si>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</si>
  <si>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</si>
  <si>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</si>
  <si>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</si>
  <si>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</si>
  <si>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</si>
  <si>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</si>
  <si>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</si>
  <si>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</si>
  <si>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</si>
  <si>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Abode std.</t>
  </si>
  <si>
    <t xml:space="preserve">squeeze 2s down to 1s 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</si>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</sst>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5" fontId="55" fillId="17" borderId="0" xfId="0" applyNumberFormat="1" applyFont="1" applyFill="1" applyProtection="1">
      <protection locked="0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38" fontId="140" fillId="13" borderId="0" xfId="6" applyNumberFormat="1" applyFont="1" applyFill="1" applyBorder="1" applyAlignment="1" applyProtection="1">
      <alignment vertical="center"/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workbookViewId="0">
      <selection activeCell="F14" sqref="F1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1093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251</v>
      </c>
      <c r="E10" s="699"/>
    </row>
    <row r="11" spans="1:5">
      <c r="A11" s="690"/>
      <c r="B11" s="698" t="s">
        <v>11</v>
      </c>
      <c r="C11" s="698"/>
      <c r="D11" s="700">
        <f>D12+D13</f>
        <v>244572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244572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1097</v>
      </c>
      <c r="B14" s="1691"/>
      <c r="C14" s="1691"/>
      <c r="D14" s="1715" t="s">
        <v>1106</v>
      </c>
      <c r="E14" s="700"/>
    </row>
    <row r="15" spans="1:5">
      <c r="A15" s="1581" t="s">
        <v>1094</v>
      </c>
      <c r="B15" s="1678"/>
      <c r="C15" s="1685"/>
      <c r="D15" s="1679" cm="1">
        <f t="array" aca="1" ref="D15" ca="1">IF(D14="Year 7 Takeout", INDIRECT("GapCalc!K46"), INDIRECT("GapCalc!K58"))</f>
        <v>8.7644158106745987E-2</v>
      </c>
      <c r="E15" s="700"/>
    </row>
    <row r="16" spans="1:5">
      <c r="A16" s="1681" t="s">
        <v>1095</v>
      </c>
      <c r="B16" s="702"/>
      <c r="D16" s="1680" cm="1">
        <f t="array" aca="1" ref="D16" ca="1">IF(D14="Year 7 Takeout", INDIRECT("GapCalc!K51"), INDIRECT("GapCalc!K63"))</f>
        <v>8.7644158106745987E-2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1096</v>
      </c>
      <c r="B18" s="47"/>
      <c r="C18" s="47"/>
      <c r="D18" s="1684" cm="1">
        <f t="array" aca="1" ref="D18" ca="1">IF(D14="Year 7 Takeout", INDIRECT("GapCalc!I55"), INDIRECT("GapCalc!I67"))</f>
        <v>-471057.81306500919</v>
      </c>
      <c r="E18" s="1754">
        <f ca="1">-D18/D28</f>
        <v>3.540989348755989E-3</v>
      </c>
      <c r="F18" s="1308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29" t="s">
        <v>383</v>
      </c>
    </row>
    <row r="21" spans="1:6">
      <c r="A21" s="64"/>
      <c r="B21" s="63" t="s">
        <v>15</v>
      </c>
      <c r="C21" s="63"/>
      <c r="D21" s="1530">
        <f>'Development Budget'!G28</f>
        <v>16555000</v>
      </c>
      <c r="E21" s="1530">
        <f>D21/$D$10</f>
        <v>65956.175298804781</v>
      </c>
    </row>
    <row r="22" spans="1:6">
      <c r="A22" s="64"/>
      <c r="B22" s="4" t="s">
        <v>16</v>
      </c>
      <c r="C22" s="4"/>
      <c r="D22" s="1530">
        <f>'Development Budget'!G44</f>
        <v>100814161.87499999</v>
      </c>
      <c r="E22" s="1530">
        <f t="shared" ref="E22:E28" si="0">D22/$D$10</f>
        <v>401650.04731075693</v>
      </c>
      <c r="F22" s="1306"/>
    </row>
    <row r="23" spans="1:6">
      <c r="A23" s="64"/>
      <c r="B23" s="4" t="s">
        <v>17</v>
      </c>
      <c r="C23" s="4"/>
      <c r="D23" s="1530">
        <f>SUM('Development Budget'!G80,'Development Budget'!G59)</f>
        <v>2715720</v>
      </c>
      <c r="E23" s="1530">
        <f t="shared" si="0"/>
        <v>10819.601593625497</v>
      </c>
    </row>
    <row r="24" spans="1:6">
      <c r="A24" s="64"/>
      <c r="B24" s="4" t="s">
        <v>18</v>
      </c>
      <c r="C24" s="4"/>
      <c r="D24" s="1530">
        <f>'Development Budget'!G97</f>
        <v>4061399</v>
      </c>
      <c r="E24" s="1530">
        <f t="shared" si="0"/>
        <v>16180.87250996016</v>
      </c>
    </row>
    <row r="25" spans="1:6">
      <c r="A25" s="64"/>
      <c r="B25" s="4" t="s">
        <v>19</v>
      </c>
      <c r="C25" s="4"/>
      <c r="D25" s="1530">
        <f>'Development Budget'!G148+'Development Budget'!G170+'Development Budget'!G176</f>
        <v>7236807.3036021786</v>
      </c>
      <c r="E25" s="1530">
        <f t="shared" si="0"/>
        <v>28831.901607976808</v>
      </c>
    </row>
    <row r="26" spans="1:6">
      <c r="A26" s="64"/>
      <c r="B26" s="4" t="s">
        <v>20</v>
      </c>
      <c r="C26" s="4"/>
      <c r="D26" s="1530">
        <f>'Development Budget'!G181</f>
        <v>6901305.4870282933</v>
      </c>
      <c r="E26" s="1530">
        <f t="shared" si="0"/>
        <v>27495.240984176467</v>
      </c>
    </row>
    <row r="27" spans="1:6" ht="16.5" thickBot="1">
      <c r="A27" s="146"/>
      <c r="B27" s="67" t="s">
        <v>21</v>
      </c>
      <c r="C27" s="67"/>
      <c r="D27" s="1531">
        <f>'Development Budget'!G250-SUM(D21:D26)</f>
        <v>-5254393.6656304598</v>
      </c>
      <c r="E27" s="1531">
        <f t="shared" si="0"/>
        <v>-20933.839305300637</v>
      </c>
    </row>
    <row r="28" spans="1:6" ht="16.5" thickTop="1">
      <c r="A28" s="4"/>
      <c r="B28" s="4"/>
      <c r="C28" s="150" t="s">
        <v>14</v>
      </c>
      <c r="D28" s="1532">
        <f>SUM(D21:D27)</f>
        <v>133030000</v>
      </c>
      <c r="E28" s="1530">
        <f t="shared" si="0"/>
        <v>530000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29" t="s">
        <v>383</v>
      </c>
    </row>
    <row r="31" spans="1:6">
      <c r="A31" s="4"/>
      <c r="B31" s="4" t="s">
        <v>23</v>
      </c>
      <c r="C31" s="4"/>
      <c r="D31" s="61"/>
      <c r="E31" s="1530">
        <f t="shared" ref="E31:E32" si="1">D31/$D$10</f>
        <v>0</v>
      </c>
    </row>
    <row r="32" spans="1:6">
      <c r="A32" s="4"/>
      <c r="B32" s="4" t="s">
        <v>24</v>
      </c>
      <c r="C32" s="4"/>
      <c r="D32" s="1585">
        <f>Data!C20</f>
        <v>86469500</v>
      </c>
      <c r="E32" s="1585">
        <f t="shared" si="1"/>
        <v>344500</v>
      </c>
    </row>
    <row r="33" spans="1:5">
      <c r="A33" s="64"/>
      <c r="B33" s="4" t="s">
        <v>1054</v>
      </c>
      <c r="C33" s="4"/>
      <c r="D33" s="1586">
        <f>GapCalc!D29</f>
        <v>6984075</v>
      </c>
      <c r="E33" s="1585">
        <f>D33/$D$10</f>
        <v>27825</v>
      </c>
    </row>
    <row r="34" spans="1:5">
      <c r="A34" s="65"/>
      <c r="B34" s="4" t="s">
        <v>26</v>
      </c>
      <c r="C34" s="4"/>
      <c r="D34" s="1586">
        <f>GapCalc!D30</f>
        <v>39576424.999999993</v>
      </c>
      <c r="E34" s="1585">
        <f>D34/$D$10</f>
        <v>157674.99999999997</v>
      </c>
    </row>
    <row r="35" spans="1:5" ht="16.5" thickBot="1">
      <c r="A35" s="66"/>
      <c r="B35" s="67" t="s">
        <v>27</v>
      </c>
      <c r="C35" s="67"/>
      <c r="D35" s="1587">
        <v>0</v>
      </c>
      <c r="E35" s="1587">
        <f>D35/$D$10</f>
        <v>0</v>
      </c>
    </row>
    <row r="36" spans="1:5" ht="16.5" thickTop="1">
      <c r="A36" s="4"/>
      <c r="B36" s="690"/>
      <c r="C36" s="150" t="s">
        <v>28</v>
      </c>
      <c r="D36" s="1588">
        <f>SUM(D31:D35)</f>
        <v>133030000</v>
      </c>
      <c r="E36" s="1585">
        <f>D36/$D$10</f>
        <v>530000</v>
      </c>
    </row>
    <row r="37" spans="1:5">
      <c r="A37" s="60"/>
      <c r="B37" s="4"/>
      <c r="C37" s="4"/>
      <c r="D37" s="1585"/>
      <c r="E37" s="1593"/>
    </row>
    <row r="38" spans="1:5" ht="18.75">
      <c r="A38" s="152" t="s">
        <v>29</v>
      </c>
      <c r="B38" s="148"/>
      <c r="C38" s="148"/>
      <c r="D38" s="1589"/>
      <c r="E38" s="1594" t="s">
        <v>383</v>
      </c>
    </row>
    <row r="39" spans="1:5">
      <c r="A39" s="60"/>
      <c r="B39" s="4" t="s">
        <v>1050</v>
      </c>
      <c r="C39" s="4"/>
      <c r="D39" s="1585">
        <f>Data!G30</f>
        <v>0</v>
      </c>
      <c r="E39" s="1585">
        <f>D39/$D$10</f>
        <v>0</v>
      </c>
    </row>
    <row r="40" spans="1:5">
      <c r="A40" s="60"/>
      <c r="B40" s="4" t="s">
        <v>996</v>
      </c>
      <c r="C40" s="4"/>
      <c r="D40" s="1585">
        <f>GapCalc!D37</f>
        <v>121158801.74069557</v>
      </c>
      <c r="E40" s="1585">
        <f t="shared" ref="E40" si="2">D40/$D$10</f>
        <v>482704.38940516161</v>
      </c>
    </row>
    <row r="41" spans="1:5">
      <c r="A41" s="60"/>
      <c r="B41" s="4" t="s">
        <v>1054</v>
      </c>
      <c r="C41" s="4"/>
      <c r="D41" s="1590">
        <f>GapCalc!D29+GapCalc!D38</f>
        <v>6984075</v>
      </c>
      <c r="E41" s="1585">
        <f>D41/$D$10</f>
        <v>27825</v>
      </c>
    </row>
    <row r="42" spans="1:5">
      <c r="A42" s="60"/>
      <c r="B42" s="1556" t="s">
        <v>26</v>
      </c>
      <c r="C42" s="4"/>
      <c r="D42" s="1591">
        <f>GapCalc!D30+GapCalc!D39</f>
        <v>39576424.999999993</v>
      </c>
      <c r="E42" s="1585">
        <f>D42/$D$10</f>
        <v>157674.99999999997</v>
      </c>
    </row>
    <row r="43" spans="1:5">
      <c r="A43" s="60"/>
      <c r="B43" s="1714" t="s">
        <v>1105</v>
      </c>
      <c r="C43" s="4"/>
      <c r="D43" s="1591">
        <f>IF(D32-D40&gt;0,0,D32-D40)</f>
        <v>-34689301.740695566</v>
      </c>
      <c r="E43" s="1585">
        <f>D43/$D$10</f>
        <v>-138204.38940516161</v>
      </c>
    </row>
    <row r="44" spans="1:5">
      <c r="A44" s="60"/>
      <c r="B44" s="4" t="s">
        <v>27</v>
      </c>
      <c r="C44" s="4"/>
      <c r="D44" s="1591">
        <v>0</v>
      </c>
      <c r="E44" s="1585">
        <v>0</v>
      </c>
    </row>
    <row r="45" spans="1:5" ht="16.5" thickBot="1">
      <c r="A45" s="66"/>
      <c r="B45" s="731"/>
      <c r="C45" s="1675" t="s">
        <v>33</v>
      </c>
      <c r="D45" s="1676">
        <f>SUM(D39:D44)</f>
        <v>133030000</v>
      </c>
      <c r="E45" s="1587">
        <f>D45/$D$10</f>
        <v>530000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6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251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244572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244572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29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0">
        <f>'Development Budget'!G28</f>
        <v>16555000</v>
      </c>
      <c r="E17" s="1530">
        <f>D17/$D$11</f>
        <v>65956.175298804781</v>
      </c>
      <c r="F17" s="62"/>
      <c r="G17" s="144"/>
      <c r="H17" s="145"/>
    </row>
    <row r="18" spans="1:10" s="4" customFormat="1" ht="15.75">
      <c r="A18" s="64"/>
      <c r="B18" s="4" t="s">
        <v>16</v>
      </c>
      <c r="D18" s="1530">
        <f>'Development Budget'!G44</f>
        <v>100814161.87499999</v>
      </c>
      <c r="E18" s="1530">
        <f t="shared" ref="E18:E24" si="0">D18/$D$11</f>
        <v>401650.04731075693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0">
        <f>SUM('Development Budget'!G80,'Development Budget'!G59)</f>
        <v>2715720</v>
      </c>
      <c r="E19" s="1530">
        <f t="shared" si="0"/>
        <v>10819.601593625497</v>
      </c>
      <c r="F19" s="62"/>
      <c r="G19" s="144"/>
      <c r="H19" s="145"/>
    </row>
    <row r="20" spans="1:10" s="4" customFormat="1" ht="15.75">
      <c r="A20" s="64"/>
      <c r="B20" s="4" t="s">
        <v>18</v>
      </c>
      <c r="D20" s="1530">
        <f>'Development Budget'!G97</f>
        <v>4061399</v>
      </c>
      <c r="E20" s="1530">
        <f t="shared" si="0"/>
        <v>16180.87250996016</v>
      </c>
      <c r="F20" s="62"/>
      <c r="G20" s="144"/>
      <c r="H20" s="145"/>
    </row>
    <row r="21" spans="1:10" s="4" customFormat="1" ht="15.75">
      <c r="A21" s="64"/>
      <c r="B21" s="4" t="s">
        <v>19</v>
      </c>
      <c r="D21" s="1530">
        <f>'Development Budget'!G148+'Development Budget'!G170+'Development Budget'!G176</f>
        <v>7236807.3036021786</v>
      </c>
      <c r="E21" s="1530">
        <f t="shared" si="0"/>
        <v>28831.901607976808</v>
      </c>
      <c r="F21" s="62"/>
      <c r="G21" s="144"/>
      <c r="H21" s="145"/>
    </row>
    <row r="22" spans="1:10" s="4" customFormat="1" ht="15.75">
      <c r="A22" s="64"/>
      <c r="B22" s="4" t="s">
        <v>20</v>
      </c>
      <c r="D22" s="1530">
        <f>'Development Budget'!G181</f>
        <v>6901305.4870282933</v>
      </c>
      <c r="E22" s="1530">
        <f t="shared" si="0"/>
        <v>27495.240984176467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1">
        <f>'Development Budget'!G250-SUM(D17:D22)</f>
        <v>-5254393.6656304598</v>
      </c>
      <c r="E23" s="1531">
        <f t="shared" si="0"/>
        <v>-20933.839305300637</v>
      </c>
      <c r="F23" s="62"/>
      <c r="G23" s="144"/>
      <c r="H23" s="145"/>
    </row>
    <row r="24" spans="1:10" s="4" customFormat="1" ht="16.5" thickTop="1">
      <c r="C24" s="150" t="s">
        <v>14</v>
      </c>
      <c r="D24" s="1532">
        <f>SUM(D17:D23)</f>
        <v>133030000</v>
      </c>
      <c r="E24" s="1530">
        <f t="shared" si="0"/>
        <v>530000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29" t="s">
        <v>383</v>
      </c>
      <c r="G26" s="1514" t="s">
        <v>1053</v>
      </c>
      <c r="H26" s="1436">
        <f>SUM(D29:D30)/H34</f>
        <v>1</v>
      </c>
    </row>
    <row r="27" spans="1:10" ht="15.75">
      <c r="A27" s="4"/>
      <c r="B27" s="4" t="s">
        <v>23</v>
      </c>
      <c r="C27" s="4"/>
      <c r="D27" s="61"/>
      <c r="E27" s="1530">
        <f t="shared" ref="E27:E28" si="1">D27/$D$11</f>
        <v>0</v>
      </c>
      <c r="F27" s="62"/>
      <c r="G27" s="1420" t="s">
        <v>982</v>
      </c>
      <c r="H27" s="1421"/>
      <c r="I27" s="695"/>
    </row>
    <row r="28" spans="1:10" ht="15.75">
      <c r="A28" s="4"/>
      <c r="B28" s="4" t="s">
        <v>24</v>
      </c>
      <c r="C28" s="4"/>
      <c r="D28" s="1585">
        <f>Data!C20</f>
        <v>86469500</v>
      </c>
      <c r="E28" s="1585">
        <f t="shared" si="1"/>
        <v>344500</v>
      </c>
      <c r="F28" s="62"/>
      <c r="G28" s="1418" t="s">
        <v>609</v>
      </c>
      <c r="H28" s="1607">
        <f>H32/D11</f>
        <v>27825</v>
      </c>
      <c r="I28" s="703"/>
    </row>
    <row r="29" spans="1:10" ht="15.75">
      <c r="A29" s="64"/>
      <c r="B29" s="4" t="s">
        <v>1054</v>
      </c>
      <c r="C29" s="4"/>
      <c r="D29" s="1586">
        <v>6984075</v>
      </c>
      <c r="E29" s="1585">
        <f>D29/$D$11</f>
        <v>27825</v>
      </c>
      <c r="F29" s="520"/>
      <c r="G29" s="1419" t="s">
        <v>972</v>
      </c>
      <c r="H29" s="1608">
        <f>H33/D11</f>
        <v>157674.99999999997</v>
      </c>
      <c r="I29" s="703"/>
    </row>
    <row r="30" spans="1:10" ht="16.5" thickBot="1">
      <c r="A30" s="65"/>
      <c r="B30" s="4" t="s">
        <v>26</v>
      </c>
      <c r="C30" s="4"/>
      <c r="D30" s="1586">
        <v>39576424.999999993</v>
      </c>
      <c r="E30" s="1585">
        <f>D30/$D$11</f>
        <v>157674.99999999997</v>
      </c>
      <c r="F30" s="62"/>
      <c r="G30" s="4"/>
      <c r="H30" s="1590"/>
      <c r="I30" s="695"/>
      <c r="J30" s="690"/>
    </row>
    <row r="31" spans="1:10" ht="16.5" thickBot="1">
      <c r="A31" s="60"/>
      <c r="B31" s="4" t="s">
        <v>27</v>
      </c>
      <c r="C31" s="4"/>
      <c r="D31" s="1585">
        <v>0</v>
      </c>
      <c r="E31" s="1585">
        <f>D31/$D$11</f>
        <v>0</v>
      </c>
      <c r="F31" s="62"/>
      <c r="G31" s="1437" t="s">
        <v>1001</v>
      </c>
      <c r="H31" s="1609"/>
      <c r="I31" s="1438"/>
      <c r="J31" s="690"/>
    </row>
    <row r="32" spans="1:10" ht="16.5" thickBot="1">
      <c r="A32" s="1432"/>
      <c r="B32" s="67" t="s">
        <v>998</v>
      </c>
      <c r="C32" s="67"/>
      <c r="D32" s="1587">
        <f>SUM(D28:D31)-D24</f>
        <v>0</v>
      </c>
      <c r="E32" s="1587">
        <f>D32/$D$11</f>
        <v>0</v>
      </c>
      <c r="F32" s="62"/>
      <c r="G32" s="1338" t="s">
        <v>609</v>
      </c>
      <c r="H32" s="1610">
        <f>D29+D38</f>
        <v>6984075</v>
      </c>
      <c r="I32" s="1345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8">
        <f>SUM(D27:D31)</f>
        <v>133030000</v>
      </c>
      <c r="E33" s="1585">
        <f>D33/$D$11</f>
        <v>530000</v>
      </c>
      <c r="F33" s="62"/>
      <c r="G33" s="1440" t="s">
        <v>972</v>
      </c>
      <c r="H33" s="1610">
        <f>D30+D39</f>
        <v>39576424.999999993</v>
      </c>
      <c r="I33" s="1345">
        <f>H33/H34</f>
        <v>0.85</v>
      </c>
      <c r="J33" s="690"/>
    </row>
    <row r="34" spans="1:12" ht="17.25" thickTop="1" thickBot="1">
      <c r="A34" s="60"/>
      <c r="B34" s="4"/>
      <c r="C34" s="4"/>
      <c r="D34" s="1585"/>
      <c r="E34" s="1593"/>
      <c r="F34" s="62"/>
      <c r="G34" s="1439" t="s">
        <v>37</v>
      </c>
      <c r="H34" s="1611">
        <f>SUM(H32:H33)</f>
        <v>46560499.999999993</v>
      </c>
      <c r="I34" s="1345"/>
      <c r="J34" s="690"/>
    </row>
    <row r="35" spans="1:12" ht="18.75">
      <c r="A35" s="152" t="s">
        <v>29</v>
      </c>
      <c r="B35" s="148"/>
      <c r="C35" s="148"/>
      <c r="D35" s="1589"/>
      <c r="E35" s="1594" t="s">
        <v>383</v>
      </c>
      <c r="F35" s="68"/>
      <c r="G35" s="1338"/>
      <c r="H35" s="1602"/>
      <c r="I35" s="1340" t="s">
        <v>962</v>
      </c>
      <c r="J35" s="690"/>
    </row>
    <row r="36" spans="1:12" ht="16.5" thickBot="1">
      <c r="A36" s="60"/>
      <c r="B36" s="4" t="s">
        <v>1050</v>
      </c>
      <c r="C36" s="4"/>
      <c r="D36" s="1585">
        <f>Data!G30</f>
        <v>0</v>
      </c>
      <c r="E36" s="1585">
        <f>D36/$D$11</f>
        <v>0</v>
      </c>
      <c r="F36" s="62"/>
      <c r="G36" s="1339"/>
      <c r="H36" s="1612"/>
      <c r="I36" s="1341">
        <f>H34/D24</f>
        <v>0.34999999999999992</v>
      </c>
      <c r="J36" s="704"/>
    </row>
    <row r="37" spans="1:12" ht="16.5" thickBot="1">
      <c r="A37" s="60"/>
      <c r="B37" s="4" t="s">
        <v>996</v>
      </c>
      <c r="C37" s="4"/>
      <c r="D37" s="1585">
        <f>Data!C30</f>
        <v>121158801.74069557</v>
      </c>
      <c r="E37" s="1585">
        <f t="shared" ref="E37" si="2">D37/$D$11</f>
        <v>482704.38940516161</v>
      </c>
      <c r="F37" s="62"/>
      <c r="G37" s="335"/>
      <c r="H37" s="1613"/>
      <c r="I37" s="703"/>
      <c r="J37" s="704"/>
    </row>
    <row r="38" spans="1:12" ht="16.5" thickBot="1">
      <c r="A38" s="60"/>
      <c r="B38" s="4" t="s">
        <v>1054</v>
      </c>
      <c r="C38" s="4"/>
      <c r="D38" s="1590">
        <v>0</v>
      </c>
      <c r="E38" s="1585">
        <f>D38/$D$11</f>
        <v>0</v>
      </c>
      <c r="F38" s="62"/>
      <c r="G38" s="1433" t="s">
        <v>999</v>
      </c>
      <c r="H38" s="1614" t="s">
        <v>983</v>
      </c>
      <c r="I38" s="1441" t="s">
        <v>1003</v>
      </c>
      <c r="J38" s="690"/>
    </row>
    <row r="39" spans="1:12" ht="15.75">
      <c r="A39" s="60"/>
      <c r="B39" s="1556" t="s">
        <v>26</v>
      </c>
      <c r="C39" s="4"/>
      <c r="D39" s="1591">
        <v>0</v>
      </c>
      <c r="E39" s="1585">
        <f>D39/$D$11</f>
        <v>0</v>
      </c>
      <c r="F39" s="62"/>
      <c r="G39" s="1434" t="s">
        <v>609</v>
      </c>
      <c r="H39" s="1615">
        <f>-D32*0.15</f>
        <v>0</v>
      </c>
      <c r="I39" s="1595">
        <f>D29+H39</f>
        <v>6984075</v>
      </c>
      <c r="J39" s="690"/>
    </row>
    <row r="40" spans="1:12" ht="16.5" thickBot="1">
      <c r="A40" s="60"/>
      <c r="B40" s="4" t="s">
        <v>27</v>
      </c>
      <c r="C40" s="4"/>
      <c r="D40" s="1591">
        <v>0</v>
      </c>
      <c r="E40" s="1585">
        <v>0</v>
      </c>
      <c r="F40" s="62"/>
      <c r="G40" s="1435" t="s">
        <v>972</v>
      </c>
      <c r="H40" s="1616">
        <f>-D32*0.85</f>
        <v>0</v>
      </c>
      <c r="I40" s="1596">
        <f>D30+H40</f>
        <v>39576424.999999993</v>
      </c>
      <c r="J40" s="690"/>
    </row>
    <row r="41" spans="1:12" ht="16.5" thickBot="1">
      <c r="A41" s="66"/>
      <c r="B41" s="67" t="s">
        <v>998</v>
      </c>
      <c r="C41" s="67"/>
      <c r="D41" s="1592">
        <f>SUM(D36:D39)-D28</f>
        <v>34689301.740695566</v>
      </c>
      <c r="E41" s="1587">
        <f>D41/$D$11</f>
        <v>138204.38940516161</v>
      </c>
      <c r="F41" s="62"/>
      <c r="H41" s="1615"/>
      <c r="I41" s="1597"/>
      <c r="J41" s="690"/>
    </row>
    <row r="42" spans="1:12" ht="17.25" thickTop="1" thickBot="1">
      <c r="A42" s="60"/>
      <c r="B42" s="690"/>
      <c r="C42" s="150" t="s">
        <v>33</v>
      </c>
      <c r="D42" s="1588">
        <f>SUM(D36:D39)</f>
        <v>121158801.74069557</v>
      </c>
      <c r="E42" s="1585">
        <f>D42/$D$11</f>
        <v>482704.38940516161</v>
      </c>
      <c r="G42" s="1433" t="s">
        <v>1000</v>
      </c>
      <c r="H42" s="1614" t="s">
        <v>983</v>
      </c>
      <c r="I42" s="1598" t="s">
        <v>1003</v>
      </c>
      <c r="J42" s="690"/>
    </row>
    <row r="43" spans="1:12" ht="15.75">
      <c r="A43" s="65"/>
      <c r="B43" s="60"/>
      <c r="C43" s="60"/>
      <c r="D43" s="61"/>
      <c r="E43" s="61"/>
      <c r="G43" s="1434" t="s">
        <v>609</v>
      </c>
      <c r="H43" s="1615">
        <f>-D41*0.15</f>
        <v>-5203395.2611043351</v>
      </c>
      <c r="I43" s="1595">
        <f>D38+H43</f>
        <v>-5203395.2611043351</v>
      </c>
      <c r="J43" s="690"/>
    </row>
    <row r="44" spans="1:12" ht="16.5" thickBot="1">
      <c r="A44" s="60"/>
      <c r="B44" s="60"/>
      <c r="C44" s="60"/>
      <c r="D44" s="159"/>
      <c r="E44" s="159"/>
      <c r="G44" s="1435" t="s">
        <v>972</v>
      </c>
      <c r="H44" s="1615">
        <f>-D41*0.85</f>
        <v>-29485906.479591232</v>
      </c>
      <c r="I44" s="1595">
        <f>D39+H44</f>
        <v>-29485906.479591232</v>
      </c>
      <c r="J44" s="690"/>
    </row>
    <row r="45" spans="1:12" ht="15.75">
      <c r="A45" s="60"/>
      <c r="D45" s="159"/>
      <c r="E45" s="159"/>
      <c r="G45" s="4"/>
      <c r="H45" s="1705" t="s">
        <v>1098</v>
      </c>
      <c r="I45" s="1709"/>
      <c r="J45" s="1707"/>
      <c r="K45" s="1706"/>
      <c r="L45" s="1695"/>
    </row>
    <row r="46" spans="1:12" ht="15.75">
      <c r="A46" s="60"/>
      <c r="D46" s="1443"/>
      <c r="E46" s="1443"/>
      <c r="G46" s="690"/>
      <c r="H46" s="1571" t="s">
        <v>1064</v>
      </c>
      <c r="I46" s="1599">
        <f>'Cash Flow'!C66</f>
        <v>39176025.858894736</v>
      </c>
      <c r="J46" s="1581" t="s">
        <v>1086</v>
      </c>
      <c r="K46" s="1582">
        <f>'Cash Flow'!C76</f>
        <v>8.7644158106745987E-2</v>
      </c>
      <c r="L46" s="1696"/>
    </row>
    <row r="47" spans="1:12" ht="16.5" thickBot="1">
      <c r="A47" s="696"/>
      <c r="C47" s="1442"/>
      <c r="D47" s="690"/>
      <c r="E47" s="690"/>
      <c r="G47" s="690"/>
      <c r="H47" s="1572" t="s">
        <v>1065</v>
      </c>
      <c r="I47" s="1600">
        <f>'Cash Flow'!C80</f>
        <v>26933307.001348801</v>
      </c>
      <c r="J47" s="1583" t="s">
        <v>1101</v>
      </c>
      <c r="K47" s="1606">
        <f>'Cash Flow'!C70</f>
        <v>63856922.149998412</v>
      </c>
      <c r="L47" s="1696"/>
    </row>
    <row r="48" spans="1:12" ht="15.75" thickTop="1">
      <c r="A48" s="6"/>
      <c r="B48" s="696"/>
      <c r="C48" s="696"/>
      <c r="D48" s="690"/>
      <c r="E48" s="690"/>
      <c r="H48" s="1569" t="s">
        <v>1062</v>
      </c>
      <c r="I48" s="1601">
        <f>I46-H33</f>
        <v>-400399.14110525697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2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3" t="s">
        <v>1073</v>
      </c>
      <c r="I51" s="1603">
        <f>'Cash Flow'!H66</f>
        <v>6913416.3280402478</v>
      </c>
      <c r="J51" s="1584" t="s">
        <v>1086</v>
      </c>
      <c r="K51" s="1617">
        <f>'Cash Flow'!H76</f>
        <v>8.7644158106745987E-2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5" t="s">
        <v>1074</v>
      </c>
      <c r="I52" s="1604">
        <f>H32</f>
        <v>6984075</v>
      </c>
      <c r="J52" s="1583" t="s">
        <v>1100</v>
      </c>
      <c r="K52" s="1606">
        <f>'Cash Flow'!H70</f>
        <v>11268868.614705604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4" t="s">
        <v>1062</v>
      </c>
      <c r="I53" s="1605">
        <f>I51-I52</f>
        <v>-70658.671959752217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1078</v>
      </c>
      <c r="I55" s="1711">
        <f>I48+I53</f>
        <v>-471057.81306500919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1099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1" t="s">
        <v>1064</v>
      </c>
      <c r="I58" s="1599">
        <f>'Cash Flow'!C93</f>
        <v>55897619.807856657</v>
      </c>
      <c r="J58" s="1581" t="s">
        <v>1086</v>
      </c>
      <c r="K58" s="1582">
        <f>'Cash Flow'!C103</f>
        <v>0.13022069397831251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2" t="s">
        <v>1065</v>
      </c>
      <c r="I59" s="1600">
        <f>'Cash Flow'!C92</f>
        <v>0</v>
      </c>
      <c r="J59" s="1583" t="s">
        <v>1100</v>
      </c>
      <c r="K59" s="1606">
        <f>'Cash Flow'!C97</f>
        <v>91113120.286806345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69" t="s">
        <v>1062</v>
      </c>
      <c r="I60" s="1601">
        <f>I58-H33</f>
        <v>16321194.807856664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2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3" t="s">
        <v>1073</v>
      </c>
      <c r="I63" s="1603">
        <f>'Cash Flow'!H93</f>
        <v>7739155.6737350132</v>
      </c>
      <c r="J63" s="1584" t="s">
        <v>1086</v>
      </c>
      <c r="K63" s="1617">
        <f>'Cash Flow'!H103</f>
        <v>8.0622684438355421E-2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5" t="s">
        <v>1074</v>
      </c>
      <c r="I64" s="1604">
        <f>H32</f>
        <v>6984075</v>
      </c>
      <c r="J64" s="1583" t="s">
        <v>1100</v>
      </c>
      <c r="K64" s="1606">
        <f>'Cash Flow'!H97</f>
        <v>12614823.748188071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4" t="s">
        <v>1062</v>
      </c>
      <c r="I65" s="1605">
        <f>I63-I64</f>
        <v>755080.67373501323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1078</v>
      </c>
      <c r="I67" s="1701">
        <f>I60+I65</f>
        <v>17076275.481591679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40" zoomScale="130" zoomScaleNormal="130" workbookViewId="0">
      <selection activeCell="E118" sqref="E118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1085</v>
      </c>
      <c r="N7" s="201">
        <f>E28</f>
        <v>0</v>
      </c>
      <c r="O7" s="521">
        <f t="shared" ref="O7:O18" si="0">N7/$N$18</f>
        <v>0</v>
      </c>
      <c r="Q7" s="283">
        <f>O7+O8+O9</f>
        <v>0.19920318725099601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0.79681274900398402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55</v>
      </c>
      <c r="E9" s="278">
        <f>IF(D9="","",D9/D$15)</f>
        <v>0.21912350597609562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1107</v>
      </c>
      <c r="N9" s="298">
        <f>E46+E183</f>
        <v>50</v>
      </c>
      <c r="O9" s="332">
        <f t="shared" si="0"/>
        <v>0.19920318725099601</v>
      </c>
    </row>
    <row r="10" spans="2:19" ht="12.75" customHeight="1">
      <c r="B10" s="268"/>
      <c r="C10" s="209" t="s">
        <v>53</v>
      </c>
      <c r="D10" s="210">
        <f>SUM(E24,E33,E42,E51,E60,E78,E69,E87,E96,E116,E106)</f>
        <v>43</v>
      </c>
      <c r="E10" s="278">
        <f>IF(D10="","",D10/D$15)</f>
        <v>0.17131474103585656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153</v>
      </c>
      <c r="E11" s="278">
        <f>IF(D11="","",D11/D$15)</f>
        <v>0.60956175298804782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200</v>
      </c>
      <c r="O13" s="332">
        <f>N13/$N$18</f>
        <v>0.79681274900398402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251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250</v>
      </c>
      <c r="O16" s="283">
        <f>SUM(O7:O15)</f>
        <v>0.99601593625498008</v>
      </c>
    </row>
    <row r="17" spans="2:21" ht="12.75" customHeight="1">
      <c r="B17" s="268"/>
      <c r="C17" s="201" t="s">
        <v>62</v>
      </c>
      <c r="E17" s="284">
        <f>SUM(J28+J37,J46,J55,J64,J82,J91,J73,J100,J120,J110)</f>
        <v>203810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3.9840637450199202E-3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906717</v>
      </c>
      <c r="F18" s="285"/>
      <c r="H18" s="286"/>
      <c r="I18" s="287"/>
      <c r="K18" s="226"/>
      <c r="M18" s="328" t="s">
        <v>10</v>
      </c>
      <c r="N18" s="1422">
        <f>N17+N16</f>
        <v>251</v>
      </c>
      <c r="O18" s="1423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0.19920318725099601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 t="s">
        <v>1039</v>
      </c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 t="s">
        <v>44</v>
      </c>
      <c r="Q24" s="201" t="s">
        <v>45</v>
      </c>
      <c r="R24" s="521" t="s">
        <v>46</v>
      </c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 t="s">
        <v>52</v>
      </c>
      <c r="Q25" s="201"/>
      <c r="R25" s="521">
        <v>0.17</v>
      </c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 t="s">
        <v>53</v>
      </c>
      <c r="Q26" s="201">
        <v>72</v>
      </c>
      <c r="R26" s="521">
        <v>0.16</v>
      </c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 t="s">
        <v>55</v>
      </c>
      <c r="Q27" s="201">
        <v>74</v>
      </c>
      <c r="R27" s="521">
        <v>0.4</v>
      </c>
      <c r="S27" s="201" t="s">
        <v>1040</v>
      </c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 t="s">
        <v>56</v>
      </c>
      <c r="Q28" s="201">
        <v>20</v>
      </c>
      <c r="R28" s="521">
        <v>0.25</v>
      </c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25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10000</v>
      </c>
      <c r="K41" s="292">
        <f>E41*I41</f>
        <v>48525</v>
      </c>
      <c r="L41" s="1635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13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8710</v>
      </c>
      <c r="K42" s="292">
        <f>E42*I42</f>
        <v>27040</v>
      </c>
      <c r="L42" s="1635"/>
      <c r="O42" s="1630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12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12000</v>
      </c>
      <c r="K43" s="292">
        <f>E43*I43</f>
        <v>29952</v>
      </c>
      <c r="L43" s="1635"/>
      <c r="O43" s="1631"/>
      <c r="P43" s="1632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5"/>
      <c r="O44" s="1634"/>
      <c r="P44" s="1632"/>
      <c r="Q44" s="1633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1"/>
      <c r="P45" s="1632"/>
      <c r="Q45" s="1633"/>
    </row>
    <row r="46" spans="2:21" ht="12.75" customHeight="1">
      <c r="B46" s="295"/>
      <c r="C46" s="312" t="s">
        <v>60</v>
      </c>
      <c r="D46" s="245"/>
      <c r="E46" s="309">
        <f>SUM(E41:E45)</f>
        <v>50</v>
      </c>
      <c r="F46" s="203"/>
      <c r="G46" s="203"/>
      <c r="H46" s="246"/>
      <c r="I46" s="247"/>
      <c r="J46" s="296">
        <f>SUM(J41:J45)</f>
        <v>30710</v>
      </c>
      <c r="K46" s="297">
        <f>SUM(K41:K45)</f>
        <v>105517</v>
      </c>
      <c r="O46" s="1631"/>
      <c r="P46" s="1632"/>
      <c r="Q46" s="1633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1"/>
      <c r="P47" s="1632"/>
      <c r="Q47" s="1633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30</v>
      </c>
      <c r="F50" s="223"/>
      <c r="G50" s="308">
        <f>H9*$C$47</f>
        <v>2911.2</v>
      </c>
      <c r="H50" s="308">
        <f>$K$9</f>
        <v>0</v>
      </c>
      <c r="I50" s="1644">
        <v>2400</v>
      </c>
      <c r="J50" s="284">
        <f>D50*E50</f>
        <v>12000</v>
      </c>
      <c r="K50" s="292">
        <f>E50*I50</f>
        <v>72000</v>
      </c>
      <c r="L50" s="1692">
        <f>I50/D50</f>
        <v>6</v>
      </c>
      <c r="M50" s="298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30</v>
      </c>
      <c r="F51" s="223"/>
      <c r="G51" s="308">
        <f>H10*$C$47</f>
        <v>3120</v>
      </c>
      <c r="H51" s="308">
        <f>$K$10</f>
        <v>0</v>
      </c>
      <c r="I51" s="228">
        <f>ROUND(G51-H51,0)</f>
        <v>3120</v>
      </c>
      <c r="J51" s="284">
        <f>D51*E51</f>
        <v>20100</v>
      </c>
      <c r="K51" s="292">
        <f>E51*I51</f>
        <v>93600</v>
      </c>
      <c r="L51" s="1692">
        <f t="shared" ref="L51:L53" si="1">I51/D51</f>
        <v>4.6567164179104479</v>
      </c>
      <c r="M51" s="298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140</v>
      </c>
      <c r="F52" s="223"/>
      <c r="G52" s="308">
        <f>H11*$C$47</f>
        <v>3744</v>
      </c>
      <c r="H52" s="228">
        <f>$K$11</f>
        <v>0</v>
      </c>
      <c r="I52" s="1644">
        <v>4540</v>
      </c>
      <c r="J52" s="284">
        <f>D52*E52</f>
        <v>140000</v>
      </c>
      <c r="K52" s="292">
        <f>E52*I52</f>
        <v>635600</v>
      </c>
      <c r="L52" s="1692">
        <f t="shared" si="1"/>
        <v>4.54</v>
      </c>
      <c r="M52" s="298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644">
        <f>ROUND(G53-H53,0)</f>
        <v>4327</v>
      </c>
      <c r="J53" s="284">
        <f>D53*E53</f>
        <v>0</v>
      </c>
      <c r="K53" s="292">
        <f>E53*I53</f>
        <v>0</v>
      </c>
      <c r="L53" s="1692">
        <f t="shared" si="1"/>
        <v>3.5467213114754097</v>
      </c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8"/>
    </row>
    <row r="55" spans="2:22" ht="12.75" customHeight="1" outlineLevel="1">
      <c r="B55" s="269"/>
      <c r="C55" s="252" t="s">
        <v>60</v>
      </c>
      <c r="D55" s="247"/>
      <c r="E55" s="253">
        <f>SUM(E50:E54)</f>
        <v>200</v>
      </c>
      <c r="F55" s="247"/>
      <c r="G55" s="247"/>
      <c r="H55" s="246"/>
      <c r="I55" s="247"/>
      <c r="J55" s="296">
        <f>SUM(J50:J54)</f>
        <v>172100</v>
      </c>
      <c r="K55" s="297">
        <f>SUM(K50:K54)</f>
        <v>801200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SUM(E116:E118)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251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8"/>
      <c r="L127" s="203"/>
    </row>
    <row r="128" spans="2:12" outlineLevel="1">
      <c r="C128" s="1619"/>
      <c r="D128" s="309"/>
      <c r="E128" s="245"/>
      <c r="F128" s="203"/>
      <c r="G128" s="1620"/>
      <c r="H128" s="1621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2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3"/>
      <c r="D134" s="203"/>
      <c r="E134" s="1620"/>
      <c r="F134" s="203"/>
      <c r="G134" s="203"/>
      <c r="H134" s="1621"/>
      <c r="I134" s="203"/>
      <c r="J134" s="284"/>
      <c r="K134" s="285"/>
      <c r="L134" s="203"/>
    </row>
    <row r="135" spans="3:12" outlineLevel="1">
      <c r="C135" s="1619"/>
      <c r="D135" s="309"/>
      <c r="E135" s="245"/>
      <c r="F135" s="203"/>
      <c r="G135" s="1620"/>
      <c r="H135" s="1621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2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3"/>
      <c r="D141" s="203"/>
      <c r="E141" s="1620"/>
      <c r="F141" s="203"/>
      <c r="G141" s="203"/>
      <c r="H141" s="1621"/>
      <c r="I141" s="203"/>
      <c r="J141" s="284"/>
      <c r="K141" s="285"/>
    </row>
    <row r="142" spans="3:12" outlineLevel="1">
      <c r="C142" s="1619"/>
      <c r="D142" s="309"/>
      <c r="E142" s="245"/>
      <c r="F142" s="203"/>
      <c r="G142" s="1620"/>
      <c r="H142" s="1621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2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3"/>
      <c r="D148" s="203"/>
      <c r="E148" s="1620"/>
      <c r="F148" s="203"/>
      <c r="G148" s="203"/>
      <c r="H148" s="1621"/>
      <c r="I148" s="203"/>
      <c r="J148" s="284"/>
      <c r="K148" s="285"/>
    </row>
    <row r="149" spans="3:13" outlineLevel="1">
      <c r="C149" s="1619"/>
      <c r="D149" s="309"/>
      <c r="E149" s="245"/>
      <c r="F149" s="203"/>
      <c r="G149" s="1620"/>
      <c r="H149" s="1621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2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3"/>
      <c r="D155" s="203"/>
      <c r="E155" s="1620"/>
      <c r="F155" s="203"/>
      <c r="G155" s="203"/>
      <c r="H155" s="1621"/>
      <c r="I155" s="203"/>
      <c r="J155" s="284"/>
      <c r="K155" s="285"/>
    </row>
    <row r="156" spans="3:13" outlineLevel="1">
      <c r="C156" s="1619"/>
      <c r="D156" s="309"/>
      <c r="E156" s="245"/>
      <c r="F156" s="203"/>
      <c r="G156" s="1620"/>
      <c r="H156" s="1621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2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3"/>
      <c r="D162" s="203"/>
      <c r="E162" s="1620"/>
      <c r="F162" s="203"/>
      <c r="G162" s="203"/>
      <c r="H162" s="1621"/>
      <c r="I162" s="203"/>
      <c r="J162" s="284"/>
      <c r="K162" s="285"/>
    </row>
    <row r="163" spans="3:17" outlineLevel="1">
      <c r="C163" s="1619"/>
      <c r="D163" s="309"/>
      <c r="E163" s="245"/>
      <c r="F163" s="203"/>
      <c r="G163" s="1620"/>
      <c r="H163" s="1621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2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3"/>
      <c r="D169" s="203"/>
      <c r="E169" s="1620"/>
      <c r="F169" s="203"/>
      <c r="G169" s="203"/>
      <c r="H169" s="1621"/>
      <c r="I169" s="203"/>
      <c r="J169" s="284"/>
      <c r="K169" s="285"/>
    </row>
    <row r="170" spans="3:17" outlineLevel="1">
      <c r="C170" s="1619"/>
      <c r="D170" s="309"/>
      <c r="E170" s="245"/>
      <c r="F170" s="203"/>
      <c r="G170" s="1620"/>
      <c r="H170" s="1621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2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3"/>
      <c r="D176" s="203"/>
      <c r="E176" s="1620"/>
      <c r="F176" s="203"/>
      <c r="G176" s="203"/>
      <c r="H176" s="1621"/>
      <c r="I176" s="203"/>
      <c r="J176" s="284"/>
      <c r="K176" s="285"/>
      <c r="O176" s="298"/>
      <c r="Q176" s="298"/>
    </row>
    <row r="177" spans="3:15" outlineLevel="1">
      <c r="C177" s="1619"/>
      <c r="D177" s="309"/>
      <c r="E177" s="245"/>
      <c r="F177" s="203"/>
      <c r="G177" s="1620"/>
      <c r="H177" s="1621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2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3"/>
      <c r="D183" s="203"/>
      <c r="E183" s="1620"/>
      <c r="F183" s="203"/>
      <c r="G183" s="203"/>
      <c r="H183" s="1621"/>
      <c r="I183" s="203"/>
      <c r="J183" s="284"/>
      <c r="K183" s="285"/>
      <c r="O183" s="1624"/>
    </row>
    <row r="184" spans="3:15" outlineLevel="1">
      <c r="C184" s="1619"/>
      <c r="D184" s="309"/>
      <c r="E184" s="245"/>
      <c r="F184" s="203"/>
      <c r="G184" s="1620"/>
      <c r="H184" s="1621"/>
      <c r="I184" s="203"/>
      <c r="J184" s="284"/>
      <c r="K184" s="285"/>
      <c r="O184" s="1624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4"/>
    </row>
    <row r="186" spans="3:15" outlineLevel="1">
      <c r="D186" s="244"/>
      <c r="E186" s="1622"/>
      <c r="F186" s="238"/>
      <c r="G186" s="238"/>
      <c r="H186" s="238"/>
      <c r="I186" s="237"/>
      <c r="J186" s="222"/>
      <c r="K186" s="222"/>
      <c r="O186" s="1624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4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4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4"/>
    </row>
    <row r="190" spans="3:15" outlineLevel="1">
      <c r="C190" s="1623"/>
      <c r="D190" s="203"/>
      <c r="E190" s="1620"/>
      <c r="F190" s="203"/>
      <c r="G190" s="203"/>
      <c r="H190" s="1621"/>
      <c r="I190" s="203"/>
      <c r="J190" s="284"/>
      <c r="K190" s="285"/>
      <c r="O190" s="1624"/>
    </row>
    <row r="191" spans="3:15" outlineLevel="1">
      <c r="C191" s="1619"/>
      <c r="D191" s="309"/>
      <c r="E191" s="245"/>
      <c r="F191" s="203"/>
      <c r="G191" s="1620"/>
      <c r="H191" s="1621"/>
      <c r="I191" s="203"/>
      <c r="J191" s="284"/>
      <c r="K191" s="285"/>
      <c r="O191" s="1624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4"/>
    </row>
    <row r="193" spans="3:15" outlineLevel="1">
      <c r="D193" s="244"/>
      <c r="E193" s="1622"/>
      <c r="F193" s="238"/>
      <c r="G193" s="238"/>
      <c r="H193" s="238"/>
      <c r="I193" s="237"/>
      <c r="J193" s="222"/>
      <c r="K193" s="222"/>
      <c r="O193" s="1624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4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4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4"/>
    </row>
    <row r="197" spans="3:15" outlineLevel="1">
      <c r="C197" s="1623"/>
      <c r="D197" s="203"/>
      <c r="E197" s="1620"/>
      <c r="F197" s="203"/>
      <c r="G197" s="203"/>
      <c r="H197" s="1621"/>
      <c r="I197" s="203"/>
      <c r="J197" s="284"/>
      <c r="K197" s="285"/>
      <c r="O197" s="1624"/>
    </row>
    <row r="198" spans="3:15" outlineLevel="1">
      <c r="C198" s="1619"/>
      <c r="D198" s="309"/>
      <c r="E198" s="245"/>
      <c r="F198" s="203"/>
      <c r="G198" s="1620"/>
      <c r="H198" s="1621"/>
      <c r="I198" s="203"/>
      <c r="J198" s="284"/>
      <c r="K198" s="285"/>
      <c r="O198" s="1624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4"/>
    </row>
    <row r="200" spans="3:15" outlineLevel="1">
      <c r="D200" s="244"/>
      <c r="E200" s="1622"/>
      <c r="F200" s="238"/>
      <c r="G200" s="238"/>
      <c r="H200" s="238"/>
      <c r="I200" s="237"/>
      <c r="J200" s="222"/>
      <c r="K200" s="222"/>
      <c r="O200" s="1624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4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4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4"/>
    </row>
    <row r="204" spans="3:15" outlineLevel="1">
      <c r="C204" s="1623"/>
      <c r="D204" s="203"/>
      <c r="E204" s="1620"/>
      <c r="F204" s="203"/>
      <c r="G204" s="203"/>
      <c r="H204" s="1621"/>
      <c r="I204" s="203"/>
      <c r="J204" s="284"/>
      <c r="K204" s="285"/>
      <c r="O204" s="1624"/>
    </row>
    <row r="205" spans="3:15" outlineLevel="1">
      <c r="O205" s="1624"/>
    </row>
    <row r="206" spans="3:15" outlineLevel="1">
      <c r="C206" s="288"/>
      <c r="D206" s="288"/>
      <c r="E206" s="288"/>
      <c r="J206" s="1625"/>
      <c r="O206" s="1624"/>
    </row>
    <row r="207" spans="3:15" outlineLevel="1">
      <c r="O207" s="1624"/>
    </row>
    <row r="208" spans="3:15" outlineLevel="1"/>
    <row r="209" spans="3:11" ht="16.5" outlineLevel="1">
      <c r="C209" s="1618"/>
    </row>
    <row r="210" spans="3:11" outlineLevel="1">
      <c r="C210" s="1619"/>
      <c r="D210" s="309"/>
      <c r="E210" s="245"/>
      <c r="F210" s="203"/>
      <c r="G210" s="1620"/>
      <c r="H210" s="1621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2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3"/>
      <c r="D216" s="203"/>
      <c r="E216" s="1620"/>
      <c r="F216" s="203"/>
      <c r="G216" s="203"/>
      <c r="H216" s="1621"/>
      <c r="I216" s="203"/>
      <c r="J216" s="284"/>
      <c r="K216" s="285"/>
    </row>
    <row r="217" spans="3:11" outlineLevel="1">
      <c r="C217" s="1619"/>
      <c r="D217" s="309"/>
      <c r="E217" s="245"/>
      <c r="F217" s="203"/>
      <c r="G217" s="1620"/>
      <c r="H217" s="1621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6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1"/>
      <c r="I223" s="203"/>
      <c r="J223" s="284"/>
      <c r="K223" s="285"/>
    </row>
    <row r="224" spans="3:11" outlineLevel="1">
      <c r="C224" s="1619"/>
      <c r="D224" s="309"/>
      <c r="E224" s="245"/>
      <c r="F224" s="203"/>
      <c r="G224" s="1620"/>
      <c r="H224" s="1621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7"/>
      <c r="F226" s="238"/>
      <c r="G226" s="238"/>
      <c r="H226" s="1626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8"/>
      <c r="D230" s="203"/>
      <c r="E230" s="1620"/>
      <c r="F230" s="203"/>
      <c r="G230" s="203"/>
      <c r="H230" s="1621"/>
      <c r="I230" s="203"/>
      <c r="J230" s="284"/>
      <c r="K230" s="285"/>
    </row>
    <row r="231" spans="3:11" outlineLevel="1">
      <c r="C231" s="1619"/>
      <c r="D231" s="309"/>
      <c r="E231" s="245"/>
      <c r="F231" s="203"/>
      <c r="G231" s="1620"/>
      <c r="H231" s="1621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6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1"/>
      <c r="I237" s="203"/>
      <c r="J237" s="284"/>
      <c r="K237" s="285"/>
    </row>
    <row r="238" spans="3:11" outlineLevel="1">
      <c r="C238" s="1619"/>
      <c r="D238" s="309"/>
      <c r="E238" s="245"/>
      <c r="F238" s="203"/>
      <c r="G238" s="1620"/>
      <c r="H238" s="1621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7"/>
      <c r="F240" s="238"/>
      <c r="G240" s="238"/>
      <c r="H240" s="1626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8"/>
      <c r="D244" s="203"/>
      <c r="E244" s="1620"/>
      <c r="F244" s="203"/>
      <c r="G244" s="203"/>
      <c r="H244" s="1621"/>
      <c r="I244" s="203"/>
      <c r="J244" s="284"/>
      <c r="K244" s="285"/>
    </row>
    <row r="245" spans="3:11" outlineLevel="1">
      <c r="C245" s="1619"/>
      <c r="D245" s="1620"/>
      <c r="E245" s="203"/>
      <c r="F245" s="203"/>
      <c r="G245" s="1620"/>
      <c r="H245" s="1621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2"/>
      <c r="F247" s="238"/>
      <c r="G247" s="238"/>
      <c r="H247" s="1626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8"/>
      <c r="D251" s="203"/>
      <c r="E251" s="1620"/>
      <c r="F251" s="203"/>
      <c r="G251" s="203"/>
      <c r="H251" s="1621"/>
      <c r="I251" s="203"/>
      <c r="J251" s="284"/>
      <c r="K251" s="285"/>
    </row>
    <row r="252" spans="3:11" outlineLevel="1">
      <c r="C252" s="1619"/>
      <c r="D252" s="1620"/>
      <c r="E252" s="203"/>
      <c r="F252" s="203"/>
      <c r="G252" s="1620"/>
      <c r="H252" s="1621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6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8"/>
      <c r="D258" s="203"/>
      <c r="E258" s="1620"/>
      <c r="F258" s="203"/>
      <c r="G258" s="203"/>
      <c r="H258" s="1621"/>
      <c r="I258" s="203"/>
      <c r="J258" s="284"/>
      <c r="K258" s="285"/>
    </row>
    <row r="259" spans="3:11" outlineLevel="1">
      <c r="C259" s="1619"/>
      <c r="D259" s="1620"/>
      <c r="E259" s="203"/>
      <c r="F259" s="203"/>
      <c r="G259" s="1620"/>
      <c r="H259" s="1621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6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8"/>
      <c r="D265" s="203"/>
      <c r="E265" s="1620"/>
      <c r="F265" s="203"/>
      <c r="G265" s="203"/>
      <c r="H265" s="1621"/>
      <c r="I265" s="203"/>
      <c r="J265" s="284"/>
      <c r="K265" s="285"/>
    </row>
    <row r="266" spans="3:11" outlineLevel="1"/>
    <row r="267" spans="3:11" outlineLevel="1">
      <c r="C267" s="288"/>
      <c r="D267" s="288"/>
      <c r="E267" s="1629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abSelected="1" topLeftCell="A222" zoomScaleNormal="100" workbookViewId="0">
      <selection activeCell="I251" sqref="I2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5" t="s">
        <v>989</v>
      </c>
      <c r="J4" s="717">
        <f>GapCalc!D41</f>
        <v>34689301.740695566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251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16380000</v>
      </c>
      <c r="F18" s="845"/>
      <c r="G18" s="1391">
        <f>E18</f>
        <v>16380000</v>
      </c>
      <c r="H18" s="950"/>
      <c r="I18" s="950">
        <f>G18/$F$9</f>
        <v>65258.964143426296</v>
      </c>
      <c r="J18" s="1015"/>
      <c r="K18" s="1016"/>
      <c r="L18" s="1016"/>
      <c r="M18" s="1430">
        <f>F9*N17</f>
        <v>16315000</v>
      </c>
      <c r="N18" s="1674">
        <v>16380000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16380000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99.601593625498012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597.60956175298804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5"/>
      <c r="B28" s="1326"/>
      <c r="C28" s="1327" t="s">
        <v>771</v>
      </c>
      <c r="D28" s="1328"/>
      <c r="E28" s="1329"/>
      <c r="F28" s="1330"/>
      <c r="G28" s="1331">
        <f>SUM(G18:G27)</f>
        <v>16555000</v>
      </c>
      <c r="H28" s="1332"/>
      <c r="I28" s="1324">
        <f t="shared" si="0"/>
        <v>65956.175298804781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16555000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5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80531329.5</v>
      </c>
      <c r="H32" s="1039"/>
      <c r="I32" s="950">
        <f t="shared" si="0"/>
        <v>320841.95019920316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88584462.450000003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73371600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7159729.5000000009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5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8053132.9500000002</v>
      </c>
      <c r="G36" s="854">
        <f>F36</f>
        <v>8053132.9500000002</v>
      </c>
      <c r="H36" s="950"/>
      <c r="I36" s="950">
        <f t="shared" si="0"/>
        <v>32084.19501992032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5637193.0650000004</v>
      </c>
      <c r="H37" s="1072"/>
      <c r="I37" s="950">
        <f t="shared" si="0"/>
        <v>22458.936513944223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5637193.0650000004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4026566.4750000001</v>
      </c>
      <c r="H38" s="1072"/>
      <c r="I38" s="950">
        <f t="shared" si="0"/>
        <v>16042.09750996016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4026566.4750000001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1207969.9424999999</v>
      </c>
      <c r="H40" s="1072"/>
      <c r="I40" s="950">
        <f t="shared" si="0"/>
        <v>4812.6292529880475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1207969.9424999999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1207969.9424999999</v>
      </c>
      <c r="H41" s="1072"/>
      <c r="I41" s="950">
        <f t="shared" si="0"/>
        <v>4812.6292529880475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1207969.9424999999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6"/>
      <c r="B44" s="1317"/>
      <c r="C44" s="1318" t="s">
        <v>718</v>
      </c>
      <c r="D44" s="1319"/>
      <c r="E44" s="1320"/>
      <c r="F44" s="1321"/>
      <c r="G44" s="1322">
        <f>SUM(G30:G43)+G23+G24</f>
        <v>100814161.87499999</v>
      </c>
      <c r="H44" s="1323"/>
      <c r="I44" s="1324">
        <f t="shared" si="0"/>
        <v>401650.04731075693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100814161.87499999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6"/>
      <c r="B46" s="1333"/>
      <c r="C46" s="1318" t="s">
        <v>720</v>
      </c>
      <c r="D46" s="1334"/>
      <c r="E46" s="1335"/>
      <c r="F46" s="1336"/>
      <c r="G46" s="1331">
        <f>SUM(G44:G45)</f>
        <v>100814161.87499999</v>
      </c>
      <c r="H46" s="1332"/>
      <c r="I46" s="1324">
        <f t="shared" si="0"/>
        <v>401650.04731075693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100814161.87499999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10081416.1875</v>
      </c>
      <c r="H47" s="1039"/>
      <c r="I47" s="950">
        <f t="shared" si="0"/>
        <v>40165.0047310757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10081416.1875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84085</v>
      </c>
      <c r="G49" s="1092">
        <f>F49</f>
        <v>84085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92368</v>
      </c>
      <c r="G50" s="1092">
        <f>F50</f>
        <v>92368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4.8804780876494025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177678</v>
      </c>
      <c r="H52" s="1101"/>
      <c r="I52" s="950">
        <f t="shared" si="0"/>
        <v>707.88047808764941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177678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2531800</v>
      </c>
      <c r="H54" s="1039"/>
      <c r="I54" s="950">
        <f t="shared" si="0"/>
        <v>10086.852589641434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2531800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1092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2368000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2368000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153920</v>
      </c>
      <c r="H57" s="1117"/>
      <c r="I57" s="950">
        <f t="shared" si="0"/>
        <v>613.2270916334661</v>
      </c>
      <c r="J57" s="1015"/>
      <c r="K57" s="1118"/>
      <c r="L57" s="1119"/>
      <c r="M57" s="1120">
        <f>(5000*F9)*1.6</f>
        <v>2008000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153920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119.5219123505976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2272684.5953124999</v>
      </c>
      <c r="H59" s="1128"/>
      <c r="I59" s="950">
        <f t="shared" si="0"/>
        <v>9054.5203000498004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2715720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252035.40468749998</v>
      </c>
      <c r="H67" s="1039"/>
      <c r="I67" s="950">
        <f t="shared" si="0"/>
        <v>1004.1251182768923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252035.40468749998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27.888446215139442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378.48605577689244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99.601593625498012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119.5219123505976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135.4581673306773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443035.40468749998</v>
      </c>
      <c r="H80" s="1101"/>
      <c r="I80" s="950">
        <f t="shared" si="0"/>
        <v>1765.0812935756971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443035.40468749998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3961399</v>
      </c>
      <c r="H90" s="1111"/>
      <c r="I90" s="950">
        <f t="shared" si="3"/>
        <v>15782.466135458168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3961399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398.40637450199205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2958537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2958537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652600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4061399</v>
      </c>
      <c r="H97" s="1101"/>
      <c r="I97" s="950">
        <f t="shared" si="3"/>
        <v>16180.87250996016</v>
      </c>
      <c r="J97" s="1102"/>
      <c r="K97" s="1166">
        <f>I97/I250</f>
        <v>3.0529948132000301E-2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4061399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367142.69850430451</v>
      </c>
      <c r="H102" s="1111"/>
      <c r="I102" s="950">
        <f t="shared" si="3"/>
        <v>1462.7199143597788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367142.69850430451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352142.69850430451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6910389.6985150296</v>
      </c>
      <c r="N103" s="1172">
        <v>7042853.9700860903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367142.69850430451</v>
      </c>
      <c r="H114" s="1101"/>
      <c r="I114" s="950">
        <f t="shared" si="3"/>
        <v>1462.7199143597788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367142.69850430451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4069650.9949498232</v>
      </c>
      <c r="H116" s="1177"/>
      <c r="I116" s="950">
        <f t="shared" si="3"/>
        <v>16213.748983863838</v>
      </c>
      <c r="J116" s="1178"/>
      <c r="K116" s="1179" t="s">
        <v>823</v>
      </c>
      <c r="L116" s="1073"/>
      <c r="M116" s="1180">
        <f>0.5*Data!C20*Data!C17/12*Data!C19</f>
        <v>3458780</v>
      </c>
      <c r="N116" s="1181">
        <v>4069650.9949498232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4069650.9949498232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1017412.7487374559</v>
      </c>
      <c r="H117" s="1094"/>
      <c r="I117" s="950">
        <f t="shared" si="3"/>
        <v>4053.4372459659598</v>
      </c>
      <c r="J117" s="1015"/>
      <c r="K117" s="1184" t="s">
        <v>825</v>
      </c>
      <c r="L117" s="1185"/>
      <c r="M117" s="1186">
        <f>0.01*Data!C20</f>
        <v>864695</v>
      </c>
      <c r="N117" s="1172">
        <v>1017412.7487374559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1017412.7487374559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491153.48100000003</v>
      </c>
      <c r="H120" s="1039"/>
      <c r="I120" s="950">
        <f t="shared" si="3"/>
        <v>1956.7867768924305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491153.48100000003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1370578.1666042812</v>
      </c>
      <c r="H121" s="1117"/>
      <c r="I121" s="950">
        <f t="shared" si="3"/>
        <v>5460.4707832839886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1370578.1666042812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1370578.1666042812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162611.91231061838</v>
      </c>
      <c r="H125" s="1111"/>
      <c r="I125" s="950">
        <f t="shared" si="3"/>
        <v>647.85622434509321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162611.91231061838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152611.91231061838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129704.25</v>
      </c>
      <c r="N126" s="1172">
        <v>152611.91231061838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61.354581673306775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7126807.3036021786</v>
      </c>
      <c r="H148" s="1128"/>
      <c r="I148" s="950">
        <f t="shared" si="6"/>
        <v>28393.654596024615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7126807.3036021786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6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7"/>
      <c r="N150" s="1343">
        <v>0</v>
      </c>
      <c r="O150" s="868"/>
      <c r="P150" s="868"/>
      <c r="Q150" s="1426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1209935.3889080202</v>
      </c>
      <c r="H151" s="1093"/>
      <c r="I151" s="950">
        <f t="shared" ref="I151:I158" si="7">G151/$F$9</f>
        <v>4820.4597167650209</v>
      </c>
      <c r="J151" s="1094"/>
      <c r="K151" s="1244" t="s">
        <v>863</v>
      </c>
      <c r="L151" s="1245"/>
      <c r="M151" s="1557">
        <f>Data!C31*Data!C30</f>
        <v>1211588.0174069556</v>
      </c>
      <c r="N151" s="1344">
        <v>1209935.3889080202</v>
      </c>
      <c r="O151" s="868"/>
      <c r="P151" s="868"/>
      <c r="Q151" s="1426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6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6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6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6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6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6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6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5" t="s">
        <v>1037</v>
      </c>
      <c r="N159" s="855"/>
      <c r="O159" s="868"/>
      <c r="P159" s="868"/>
      <c r="Q159" s="1426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2">
        <f>37500+(Data!C38*0.0005)</f>
        <v>91059.686861470691</v>
      </c>
      <c r="N161" s="1343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2">
        <f>Data!C38*Data!C39</f>
        <v>1071193.7372294138</v>
      </c>
      <c r="N162" s="1344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7">
        <f>0.015*Data!C38*2</f>
        <v>3213581.211688241</v>
      </c>
      <c r="N163" s="1343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5" t="s">
        <v>1059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1091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7782255</v>
      </c>
      <c r="N167" s="1343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2">
        <f>Data!C44*Data!C45</f>
        <v>1</v>
      </c>
      <c r="N168" s="1344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239.04382470119521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199.20318725099602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438.24701195219126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6901305.4870282933</v>
      </c>
      <c r="H178" s="1093"/>
      <c r="I178" s="950">
        <f t="shared" si="6"/>
        <v>27495.240984176467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6901305.4870282933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6901305.4870282933</v>
      </c>
      <c r="H181" s="1128"/>
      <c r="I181" s="950">
        <f t="shared" si="6"/>
        <v>27495.240984176467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6901305.4870282933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51.792828685258961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47.808764940239044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99.601593625498012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57.768924302788847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371.51394422310756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199.20318725099602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1119.5219123505976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973671.99469111382</v>
      </c>
      <c r="H233" s="1111"/>
      <c r="I233" s="950">
        <f t="shared" si="8"/>
        <v>3879.171293590095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973671.99469111382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1412421.9946911139</v>
      </c>
      <c r="H234" s="1282"/>
      <c r="I234" s="950">
        <f t="shared" si="8"/>
        <v>5627.1792617175852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1412421.9946911139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9960.1593625498008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82.669322709163353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10042.828685258964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2.6560424966799467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7.9681274900398407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10.624169986719787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I250*F9</f>
        <v>133030000</v>
      </c>
      <c r="H250" s="1298"/>
      <c r="I250" s="1778">
        <v>530000</v>
      </c>
      <c r="J250" s="1299"/>
      <c r="K250" s="1300"/>
      <c r="L250" s="1287"/>
      <c r="M250" s="1301"/>
      <c r="N250" s="1302"/>
      <c r="O250" s="1303"/>
      <c r="P250" s="1302"/>
      <c r="Q250" s="1302"/>
      <c r="R250" s="1302"/>
      <c r="S250" s="1302"/>
      <c r="T250" s="1303"/>
      <c r="U250" s="1302"/>
      <c r="V250" s="1302"/>
      <c r="W250" s="1303"/>
      <c r="X250" s="1304" t="e">
        <f>SUM(X249,X242,X234,X189,X181,X176,X170,X148,X114,X97,X80,X65,X59,X52,X47,X30:X43,#REF!,X28)</f>
        <v>#REF!</v>
      </c>
      <c r="Y250" s="1305"/>
      <c r="Z250" s="1304" t="e">
        <f>SUM(Z249,Z242,Z234,Z189,Z181,Z176,Z170,Z148,Z114,Z97,Z80,Z65,Z59,Z52,Z47,Z30:Z43,#REF!,Z28)</f>
        <v>#REF!</v>
      </c>
      <c r="AA250" s="1303"/>
      <c r="AB250" s="1304" t="e">
        <v>#REF!</v>
      </c>
    </row>
    <row r="253" spans="2:28">
      <c r="G253" s="1526" t="s">
        <v>1048</v>
      </c>
    </row>
    <row r="254" spans="2:28">
      <c r="G254" s="1527">
        <f>G250/'Construction Calculation'!C14</f>
        <v>543.92980390232731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6"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6" t="s">
        <v>10</v>
      </c>
      <c r="C4" s="1347">
        <f>'Rental Income'!D15</f>
        <v>251</v>
      </c>
      <c r="D4" s="507" t="s">
        <v>262</v>
      </c>
      <c r="E4" s="507"/>
      <c r="F4" s="507"/>
      <c r="G4" s="508"/>
    </row>
    <row r="5" spans="1:15">
      <c r="B5" s="1348" t="s">
        <v>11</v>
      </c>
      <c r="C5" s="700">
        <f>'Construction Calculation'!C19</f>
        <v>244572</v>
      </c>
      <c r="D5" t="s">
        <v>428</v>
      </c>
      <c r="G5" s="510"/>
    </row>
    <row r="6" spans="1:15">
      <c r="B6" s="1349" t="s">
        <v>12</v>
      </c>
      <c r="C6" s="700">
        <f>'Construction Calculation'!C14</f>
        <v>244572</v>
      </c>
      <c r="D6" t="s">
        <v>428</v>
      </c>
      <c r="E6" s="53"/>
      <c r="G6" s="510"/>
    </row>
    <row r="7" spans="1:15">
      <c r="B7" s="1349" t="s">
        <v>13</v>
      </c>
      <c r="C7" s="700">
        <f>'Construction Calculation'!C18</f>
        <v>0</v>
      </c>
      <c r="D7" t="s">
        <v>428</v>
      </c>
      <c r="G7" s="1350"/>
    </row>
    <row r="8" spans="1:15">
      <c r="B8" s="1349" t="s">
        <v>429</v>
      </c>
      <c r="C8" s="700">
        <f>'Construction Calculation'!C13</f>
        <v>40762</v>
      </c>
      <c r="D8" t="s">
        <v>428</v>
      </c>
      <c r="G8" s="510"/>
    </row>
    <row r="9" spans="1:15">
      <c r="B9" s="1349" t="s">
        <v>430</v>
      </c>
      <c r="C9" s="700">
        <f>'Construction Calculation'!C47</f>
        <v>125.5</v>
      </c>
      <c r="D9" t="s">
        <v>431</v>
      </c>
      <c r="G9" s="510"/>
    </row>
    <row r="10" spans="1:15" ht="16.5" thickBot="1">
      <c r="B10" s="511"/>
      <c r="C10" s="1351">
        <v>22630</v>
      </c>
      <c r="D10" s="512" t="s">
        <v>428</v>
      </c>
      <c r="E10" s="512"/>
      <c r="F10" s="512"/>
      <c r="G10" s="1352"/>
    </row>
    <row r="11" spans="1:15" ht="16.5" thickBot="1"/>
    <row r="12" spans="1:15">
      <c r="A12" s="1355" t="s">
        <v>432</v>
      </c>
      <c r="B12" s="1356"/>
      <c r="C12" s="1356"/>
      <c r="D12" s="1357"/>
      <c r="E12" s="58"/>
    </row>
    <row r="13" spans="1:15">
      <c r="A13" s="1358"/>
      <c r="B13" t="s">
        <v>433</v>
      </c>
      <c r="D13" s="1428"/>
      <c r="F13" s="48"/>
      <c r="H13" s="147"/>
      <c r="I13" s="147"/>
      <c r="J13" s="147"/>
      <c r="L13" s="54"/>
      <c r="N13" s="48"/>
    </row>
    <row r="14" spans="1:15">
      <c r="A14" s="1358"/>
      <c r="B14" t="s">
        <v>434</v>
      </c>
      <c r="C14" s="318">
        <v>5.2999999999999999E-2</v>
      </c>
      <c r="D14" s="1428"/>
      <c r="F14" s="51"/>
      <c r="H14" s="147"/>
      <c r="I14" s="147"/>
      <c r="L14" s="54"/>
      <c r="N14" s="48"/>
      <c r="O14" s="53">
        <f>N14/2</f>
        <v>0</v>
      </c>
    </row>
    <row r="15" spans="1:15">
      <c r="A15" s="1358"/>
      <c r="B15" t="s">
        <v>435</v>
      </c>
      <c r="C15" s="318">
        <v>1.7500000000000002E-2</v>
      </c>
      <c r="D15" s="1428"/>
      <c r="F15" s="53"/>
      <c r="N15" s="147"/>
    </row>
    <row r="16" spans="1:15" ht="16.5" thickBot="1">
      <c r="A16" s="1358"/>
      <c r="B16" t="s">
        <v>436</v>
      </c>
      <c r="C16" s="319">
        <v>0</v>
      </c>
      <c r="D16" s="1428"/>
      <c r="F16" s="56"/>
    </row>
    <row r="17" spans="1:13" ht="16.5" thickTop="1">
      <c r="A17" s="1358"/>
      <c r="C17" s="1353">
        <v>0.04</v>
      </c>
      <c r="D17" s="1359"/>
      <c r="F17" s="48"/>
    </row>
    <row r="18" spans="1:13">
      <c r="A18" s="1358"/>
      <c r="B18" t="s">
        <v>444</v>
      </c>
      <c r="C18" s="55">
        <v>0.65</v>
      </c>
      <c r="D18" s="1359"/>
      <c r="M18" s="48"/>
    </row>
    <row r="19" spans="1:13">
      <c r="A19" s="1358"/>
      <c r="B19" t="s">
        <v>1103</v>
      </c>
      <c r="C19">
        <v>24</v>
      </c>
      <c r="D19" s="1359"/>
      <c r="K19" s="147"/>
      <c r="L19" s="147"/>
      <c r="M19" s="53"/>
    </row>
    <row r="20" spans="1:13">
      <c r="A20" s="1358"/>
      <c r="B20" t="s">
        <v>438</v>
      </c>
      <c r="C20" s="1354">
        <v>86469500</v>
      </c>
      <c r="D20" s="1374">
        <f>MIN(D22,GapCalc!D24)</f>
        <v>86469500</v>
      </c>
    </row>
    <row r="21" spans="1:13" ht="16.5" thickBot="1">
      <c r="A21" s="1358"/>
      <c r="B21" t="s">
        <v>110</v>
      </c>
      <c r="C21" s="482">
        <v>0.01</v>
      </c>
      <c r="D21" s="1359"/>
    </row>
    <row r="22" spans="1:13" ht="16.5" thickBot="1">
      <c r="A22" s="1358"/>
      <c r="C22" s="516" t="s">
        <v>1041</v>
      </c>
      <c r="D22" s="1390">
        <f>C18*'Development Budget'!G250</f>
        <v>86469500</v>
      </c>
      <c r="G22" s="147"/>
    </row>
    <row r="23" spans="1:13">
      <c r="A23" s="1429" t="s">
        <v>439</v>
      </c>
      <c r="B23" s="1369"/>
      <c r="C23" s="1369" t="s">
        <v>68</v>
      </c>
      <c r="D23" s="1369"/>
      <c r="E23" s="1389" t="s">
        <v>965</v>
      </c>
      <c r="F23" s="1381" t="s">
        <v>433</v>
      </c>
      <c r="G23" s="1533">
        <v>0.09</v>
      </c>
      <c r="H23" s="1382"/>
    </row>
    <row r="24" spans="1:13">
      <c r="A24" s="1370"/>
      <c r="B24" t="s">
        <v>433</v>
      </c>
      <c r="C24" s="1360">
        <v>0.04</v>
      </c>
      <c r="D24" s="1424">
        <f>PMT(C24/12,C25*12,C30)*12</f>
        <v>-6524805.4870283753</v>
      </c>
      <c r="E24" s="1383"/>
      <c r="G24" s="1376"/>
      <c r="H24" s="1384"/>
      <c r="K24" s="1424"/>
    </row>
    <row r="25" spans="1:13">
      <c r="A25" s="1370"/>
      <c r="B25" t="s">
        <v>1104</v>
      </c>
      <c r="C25">
        <v>34</v>
      </c>
      <c r="E25" s="1383"/>
      <c r="G25" s="1376"/>
      <c r="H25" s="1384"/>
    </row>
    <row r="26" spans="1:13" ht="16.5" thickBot="1">
      <c r="A26" s="1370"/>
      <c r="B26" t="s">
        <v>440</v>
      </c>
      <c r="C26">
        <v>1.2</v>
      </c>
      <c r="E26" s="1383"/>
      <c r="G26" s="1377"/>
      <c r="H26" s="1384"/>
    </row>
    <row r="27" spans="1:13" ht="16.5" thickTop="1">
      <c r="A27" s="1370"/>
      <c r="B27" t="s">
        <v>441</v>
      </c>
      <c r="C27" s="51">
        <f>'Cash Flow'!E21/Data!C26</f>
        <v>6524805.4870282933</v>
      </c>
      <c r="D27" s="40" t="s">
        <v>444</v>
      </c>
      <c r="E27" s="1383"/>
      <c r="G27" s="1378"/>
      <c r="H27" s="1384"/>
    </row>
    <row r="28" spans="1:13">
      <c r="A28" s="1370"/>
      <c r="B28" t="s">
        <v>442</v>
      </c>
      <c r="C28" s="482">
        <v>0.6</v>
      </c>
      <c r="D28" s="1516">
        <f>'Cash Flow'!E15/0.05*C28</f>
        <v>124102497.59999999</v>
      </c>
      <c r="E28" s="1383"/>
      <c r="F28" t="s">
        <v>1049</v>
      </c>
      <c r="G28" s="1379"/>
      <c r="H28" s="55">
        <v>1</v>
      </c>
    </row>
    <row r="29" spans="1:13">
      <c r="A29" s="1370"/>
      <c r="B29" t="s">
        <v>443</v>
      </c>
      <c r="C29">
        <v>34</v>
      </c>
      <c r="E29" s="1383"/>
      <c r="F29" t="s">
        <v>437</v>
      </c>
      <c r="G29" s="1379">
        <v>15</v>
      </c>
      <c r="H29" s="1384"/>
    </row>
    <row r="30" spans="1:13">
      <c r="A30" s="1370"/>
      <c r="B30" t="s">
        <v>438</v>
      </c>
      <c r="C30" s="1431">
        <v>121158801.74069557</v>
      </c>
      <c r="D30" s="1375">
        <f>-PV($C$24/12,$C$29*12,C27/12)</f>
        <v>121158801.74069557</v>
      </c>
      <c r="E30" s="1383"/>
      <c r="F30" t="s">
        <v>438</v>
      </c>
      <c r="G30" s="1380"/>
      <c r="H30" s="1375">
        <f>PV(G23,G29,-'Cash Flow'!E41*H28,)</f>
        <v>10518884.81926769</v>
      </c>
    </row>
    <row r="31" spans="1:13" ht="16.5" thickBot="1">
      <c r="A31" s="1371"/>
      <c r="B31" s="1372" t="s">
        <v>110</v>
      </c>
      <c r="C31" s="1373">
        <v>0.01</v>
      </c>
      <c r="D31" s="1372"/>
      <c r="E31" s="1385"/>
      <c r="F31" s="1386" t="s">
        <v>110</v>
      </c>
      <c r="G31" s="1387">
        <v>0.01</v>
      </c>
      <c r="H31" s="1388"/>
    </row>
    <row r="32" spans="1:13">
      <c r="A32" s="1368" t="s">
        <v>1036</v>
      </c>
      <c r="E32" s="1362"/>
      <c r="G32" s="53"/>
    </row>
    <row r="33" spans="1:10">
      <c r="A33" s="1361"/>
      <c r="B33" t="s">
        <v>433</v>
      </c>
      <c r="C33" s="1360">
        <v>4.4999999999999998E-2</v>
      </c>
      <c r="E33" s="1362"/>
      <c r="I33" s="54"/>
    </row>
    <row r="34" spans="1:10">
      <c r="A34" s="1361"/>
      <c r="B34" t="s">
        <v>1104</v>
      </c>
      <c r="C34">
        <v>30</v>
      </c>
      <c r="E34" s="1363">
        <f>Data!M19</f>
        <v>0</v>
      </c>
      <c r="I34" s="318"/>
    </row>
    <row r="35" spans="1:10">
      <c r="A35" s="1361"/>
      <c r="B35" t="s">
        <v>440</v>
      </c>
      <c r="C35">
        <v>1.2</v>
      </c>
      <c r="E35" s="1362"/>
      <c r="I35" s="54"/>
    </row>
    <row r="36" spans="1:10">
      <c r="A36" s="1361"/>
      <c r="B36" t="s">
        <v>441</v>
      </c>
      <c r="C36" s="51">
        <f>'Cash Flow'!E21/Data!C35</f>
        <v>6524805.4870282933</v>
      </c>
      <c r="E36" s="1364">
        <f>-PV($C$33,$C$34,E34)</f>
        <v>0</v>
      </c>
      <c r="I36" s="1353"/>
    </row>
    <row r="37" spans="1:10" ht="16.5" thickBot="1">
      <c r="A37" s="1361"/>
      <c r="B37" t="s">
        <v>442</v>
      </c>
      <c r="C37" s="482">
        <v>0.8</v>
      </c>
      <c r="E37" s="1362"/>
    </row>
    <row r="38" spans="1:10" ht="16.5" thickBot="1">
      <c r="A38" s="1361"/>
      <c r="B38" t="s">
        <v>438</v>
      </c>
      <c r="C38" s="1431">
        <v>107119373.72294137</v>
      </c>
      <c r="D38" s="516" t="s">
        <v>1041</v>
      </c>
      <c r="E38" s="1390">
        <f>C37*GapCalc!D24</f>
        <v>106424000</v>
      </c>
    </row>
    <row r="39" spans="1:10">
      <c r="A39" s="1361"/>
      <c r="B39" t="s">
        <v>110</v>
      </c>
      <c r="C39" s="54">
        <f>C21</f>
        <v>0.01</v>
      </c>
      <c r="D39" t="s">
        <v>1055</v>
      </c>
      <c r="E39" s="1375">
        <f>PV($C$33/12,$C$34*12,-C36/12)</f>
        <v>107311931.10227266</v>
      </c>
      <c r="I39" s="48"/>
    </row>
    <row r="40" spans="1:10" ht="16.5" thickBot="1">
      <c r="A40" s="1365"/>
      <c r="B40" s="1366"/>
      <c r="C40" s="1366"/>
      <c r="D40" s="1366"/>
      <c r="E40" s="1367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4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3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10880604</v>
      </c>
      <c r="F12" s="89">
        <f>E12*(1+$D$12)</f>
        <v>11152619.1</v>
      </c>
      <c r="G12" s="89">
        <f t="shared" ref="G12:AH12" si="0">F12*(1+$D$12)</f>
        <v>11431434.577499999</v>
      </c>
      <c r="H12" s="89">
        <f t="shared" si="0"/>
        <v>11717220.441937497</v>
      </c>
      <c r="I12" s="89">
        <f t="shared" si="0"/>
        <v>12010150.952985933</v>
      </c>
      <c r="J12" s="89">
        <f t="shared" si="0"/>
        <v>12310404.72681058</v>
      </c>
      <c r="K12" s="89">
        <f t="shared" si="0"/>
        <v>12618164.844980843</v>
      </c>
      <c r="L12" s="89">
        <f t="shared" si="0"/>
        <v>12933618.966105362</v>
      </c>
      <c r="M12" s="89">
        <f t="shared" si="0"/>
        <v>13256959.440257994</v>
      </c>
      <c r="N12" s="89">
        <f t="shared" si="0"/>
        <v>13588383.426264443</v>
      </c>
      <c r="O12" s="89">
        <f t="shared" si="0"/>
        <v>13928093.011921052</v>
      </c>
      <c r="P12" s="89">
        <f t="shared" si="0"/>
        <v>14276295.337219076</v>
      </c>
      <c r="Q12" s="89">
        <f t="shared" si="0"/>
        <v>14633202.720649552</v>
      </c>
      <c r="R12" s="89">
        <f t="shared" si="0"/>
        <v>14999032.788665788</v>
      </c>
      <c r="S12" s="90">
        <f t="shared" si="0"/>
        <v>15374008.608382432</v>
      </c>
      <c r="T12" s="89">
        <f t="shared" si="0"/>
        <v>15758358.82359199</v>
      </c>
      <c r="U12" s="89">
        <f t="shared" si="0"/>
        <v>16152317.794181788</v>
      </c>
      <c r="V12" s="89">
        <f t="shared" si="0"/>
        <v>16556125.739036331</v>
      </c>
      <c r="W12" s="89">
        <f t="shared" si="0"/>
        <v>16970028.882512238</v>
      </c>
      <c r="X12" s="89">
        <f t="shared" si="0"/>
        <v>17394279.604575042</v>
      </c>
      <c r="Y12" s="89">
        <f t="shared" si="0"/>
        <v>17829136.594689418</v>
      </c>
      <c r="Z12" s="89">
        <f t="shared" si="0"/>
        <v>18274865.009556651</v>
      </c>
      <c r="AA12" s="89">
        <f t="shared" si="0"/>
        <v>18731736.634795565</v>
      </c>
      <c r="AB12" s="89">
        <f t="shared" si="0"/>
        <v>19200030.050665453</v>
      </c>
      <c r="AC12" s="89">
        <f t="shared" si="0"/>
        <v>19680030.801932089</v>
      </c>
      <c r="AD12" s="89">
        <f t="shared" si="0"/>
        <v>20172031.571980391</v>
      </c>
      <c r="AE12" s="89">
        <f t="shared" si="0"/>
        <v>20676332.361279897</v>
      </c>
      <c r="AF12" s="89">
        <f t="shared" si="0"/>
        <v>21193240.670311894</v>
      </c>
      <c r="AG12" s="89">
        <f t="shared" si="0"/>
        <v>21723071.687069688</v>
      </c>
      <c r="AH12" s="89">
        <f t="shared" si="0"/>
        <v>22266148.47924643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-544309.20000000007</v>
      </c>
      <c r="F14" s="100">
        <f t="shared" ref="F14:AH14" si="2">-((F12+F13)*$C$14)</f>
        <v>-557916.93000000005</v>
      </c>
      <c r="G14" s="100">
        <f t="shared" si="2"/>
        <v>-571864.85325000004</v>
      </c>
      <c r="H14" s="100">
        <f t="shared" si="2"/>
        <v>-586161.47458124987</v>
      </c>
      <c r="I14" s="100">
        <f t="shared" si="2"/>
        <v>-600815.5114457811</v>
      </c>
      <c r="J14" s="100">
        <f t="shared" si="2"/>
        <v>-615835.89923192549</v>
      </c>
      <c r="K14" s="100">
        <f t="shared" si="2"/>
        <v>-631231.79671272356</v>
      </c>
      <c r="L14" s="100">
        <f t="shared" si="2"/>
        <v>-647012.5916305416</v>
      </c>
      <c r="M14" s="100">
        <f t="shared" si="2"/>
        <v>-663187.90642130503</v>
      </c>
      <c r="N14" s="100">
        <f t="shared" si="2"/>
        <v>-679767.60408183758</v>
      </c>
      <c r="O14" s="100">
        <f t="shared" si="2"/>
        <v>-696761.79418388335</v>
      </c>
      <c r="P14" s="100">
        <f t="shared" si="2"/>
        <v>-714180.83903848042</v>
      </c>
      <c r="Q14" s="100">
        <f t="shared" si="2"/>
        <v>-732035.36001444235</v>
      </c>
      <c r="R14" s="100">
        <f t="shared" si="2"/>
        <v>-750336.24401480332</v>
      </c>
      <c r="S14" s="101">
        <f t="shared" si="2"/>
        <v>-769094.65011517331</v>
      </c>
      <c r="T14" s="100">
        <f t="shared" si="2"/>
        <v>-788322.01636805246</v>
      </c>
      <c r="U14" s="100">
        <f t="shared" si="2"/>
        <v>-808030.06677725376</v>
      </c>
      <c r="V14" s="100">
        <f t="shared" si="2"/>
        <v>-828230.81844668498</v>
      </c>
      <c r="W14" s="100">
        <f t="shared" si="2"/>
        <v>-848936.58890785207</v>
      </c>
      <c r="X14" s="100">
        <f t="shared" si="2"/>
        <v>-870160.00363054825</v>
      </c>
      <c r="Y14" s="100">
        <f t="shared" si="2"/>
        <v>-891914.00372131192</v>
      </c>
      <c r="Z14" s="100">
        <f t="shared" si="2"/>
        <v>-914211.85381434474</v>
      </c>
      <c r="AA14" s="100">
        <f t="shared" si="2"/>
        <v>-937067.15015970322</v>
      </c>
      <c r="AB14" s="100">
        <f t="shared" si="2"/>
        <v>-960493.82891369564</v>
      </c>
      <c r="AC14" s="100">
        <f t="shared" si="2"/>
        <v>-984506.17463653802</v>
      </c>
      <c r="AD14" s="100">
        <f t="shared" si="2"/>
        <v>-1009118.8290024514</v>
      </c>
      <c r="AE14" s="100">
        <f t="shared" si="2"/>
        <v>-1034346.7997275125</v>
      </c>
      <c r="AF14" s="100">
        <f t="shared" si="2"/>
        <v>-1060205.4697207005</v>
      </c>
      <c r="AG14" s="100">
        <f t="shared" si="2"/>
        <v>-1086710.6064637178</v>
      </c>
      <c r="AH14" s="100">
        <f t="shared" si="2"/>
        <v>-1113878.3716253105</v>
      </c>
    </row>
    <row r="15" spans="1:34">
      <c r="A15" s="76"/>
      <c r="B15" s="102" t="s">
        <v>312</v>
      </c>
      <c r="C15" s="76"/>
      <c r="D15" s="76"/>
      <c r="E15" s="95">
        <f>SUM(E12:E14)</f>
        <v>10341874.800000001</v>
      </c>
      <c r="F15" s="95">
        <f t="shared" ref="F15:AH15" si="3">SUM(F12:F14)</f>
        <v>10600421.67</v>
      </c>
      <c r="G15" s="103">
        <f t="shared" si="3"/>
        <v>10865432.211749999</v>
      </c>
      <c r="H15" s="104">
        <f t="shared" si="3"/>
        <v>11137068.017043747</v>
      </c>
      <c r="I15" s="104">
        <f t="shared" si="3"/>
        <v>11415494.717469839</v>
      </c>
      <c r="J15" s="95">
        <f t="shared" si="3"/>
        <v>11700882.085406585</v>
      </c>
      <c r="K15" s="103">
        <f t="shared" si="3"/>
        <v>11993404.137541749</v>
      </c>
      <c r="L15" s="95">
        <f t="shared" si="3"/>
        <v>12293239.24098029</v>
      </c>
      <c r="M15" s="95">
        <f t="shared" si="3"/>
        <v>12600570.222004794</v>
      </c>
      <c r="N15" s="95">
        <f t="shared" si="3"/>
        <v>12915584.477554914</v>
      </c>
      <c r="O15" s="95">
        <f t="shared" si="3"/>
        <v>13238474.089493783</v>
      </c>
      <c r="P15" s="95">
        <f t="shared" si="3"/>
        <v>13569435.941731127</v>
      </c>
      <c r="Q15" s="95">
        <f t="shared" si="3"/>
        <v>13908671.840274403</v>
      </c>
      <c r="R15" s="95">
        <f t="shared" si="3"/>
        <v>14256388.636281261</v>
      </c>
      <c r="S15" s="96">
        <f t="shared" si="3"/>
        <v>14612798.352188293</v>
      </c>
      <c r="T15" s="95">
        <f t="shared" si="3"/>
        <v>14978118.310992997</v>
      </c>
      <c r="U15" s="95">
        <f t="shared" si="3"/>
        <v>15352571.268767821</v>
      </c>
      <c r="V15" s="95">
        <f t="shared" si="3"/>
        <v>15736385.550487014</v>
      </c>
      <c r="W15" s="95">
        <f t="shared" si="3"/>
        <v>16129795.189249188</v>
      </c>
      <c r="X15" s="95">
        <f t="shared" si="3"/>
        <v>16533040.068980414</v>
      </c>
      <c r="Y15" s="95">
        <f t="shared" si="3"/>
        <v>16946366.070704926</v>
      </c>
      <c r="Z15" s="95">
        <f t="shared" si="3"/>
        <v>17370025.222472548</v>
      </c>
      <c r="AA15" s="95">
        <f t="shared" si="3"/>
        <v>17804275.853034362</v>
      </c>
      <c r="AB15" s="95">
        <f t="shared" si="3"/>
        <v>18249382.749360215</v>
      </c>
      <c r="AC15" s="95">
        <f t="shared" si="3"/>
        <v>18705617.31809422</v>
      </c>
      <c r="AD15" s="95">
        <f t="shared" si="3"/>
        <v>19173257.751046576</v>
      </c>
      <c r="AE15" s="95">
        <f t="shared" si="3"/>
        <v>19652589.194822736</v>
      </c>
      <c r="AF15" s="95">
        <f t="shared" si="3"/>
        <v>20143903.924693309</v>
      </c>
      <c r="AG15" s="95">
        <f t="shared" si="3"/>
        <v>20647501.522810634</v>
      </c>
      <c r="AH15" s="95">
        <f t="shared" si="3"/>
        <v>21163689.060880899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7">
        <v>6000</v>
      </c>
      <c r="D18" s="88">
        <v>3.5000000000000003E-2</v>
      </c>
      <c r="E18" s="95">
        <f>-C18*'Rental Income'!D15</f>
        <v>-1506000</v>
      </c>
      <c r="F18" s="89">
        <f>E18*(1+$D$18)</f>
        <v>-1558709.9999999998</v>
      </c>
      <c r="G18" s="94">
        <f t="shared" ref="G18:AH18" si="5">F18*(1+$D$18)</f>
        <v>-1613264.8499999996</v>
      </c>
      <c r="H18" s="106">
        <f t="shared" si="5"/>
        <v>-1669729.1197499994</v>
      </c>
      <c r="I18" s="106">
        <f t="shared" si="5"/>
        <v>-1728169.6389412491</v>
      </c>
      <c r="J18" s="89">
        <f t="shared" si="5"/>
        <v>-1788655.5763041927</v>
      </c>
      <c r="K18" s="94">
        <f t="shared" si="5"/>
        <v>-1851258.5214748392</v>
      </c>
      <c r="L18" s="89">
        <f t="shared" si="5"/>
        <v>-1916052.5697264585</v>
      </c>
      <c r="M18" s="89">
        <f t="shared" si="5"/>
        <v>-1983114.4096668845</v>
      </c>
      <c r="N18" s="89">
        <f t="shared" si="5"/>
        <v>-2052523.4140052253</v>
      </c>
      <c r="O18" s="89">
        <f t="shared" si="5"/>
        <v>-2124361.7334954082</v>
      </c>
      <c r="P18" s="89">
        <f t="shared" si="5"/>
        <v>-2198714.3941677473</v>
      </c>
      <c r="Q18" s="89">
        <f t="shared" si="5"/>
        <v>-2275669.3979636184</v>
      </c>
      <c r="R18" s="89">
        <f t="shared" si="5"/>
        <v>-2355317.8268923447</v>
      </c>
      <c r="S18" s="90">
        <f t="shared" si="5"/>
        <v>-2437753.9508335767</v>
      </c>
      <c r="T18" s="89">
        <f t="shared" si="5"/>
        <v>-2523075.3391127517</v>
      </c>
      <c r="U18" s="89">
        <f t="shared" si="5"/>
        <v>-2611382.9759816979</v>
      </c>
      <c r="V18" s="89">
        <f t="shared" si="5"/>
        <v>-2702781.3801410571</v>
      </c>
      <c r="W18" s="89">
        <f t="shared" si="5"/>
        <v>-2797378.7284459937</v>
      </c>
      <c r="X18" s="89">
        <f t="shared" si="5"/>
        <v>-2895286.9839416035</v>
      </c>
      <c r="Y18" s="89">
        <f t="shared" si="5"/>
        <v>-2996622.0283795595</v>
      </c>
      <c r="Z18" s="89">
        <f t="shared" si="5"/>
        <v>-3101503.7993728439</v>
      </c>
      <c r="AA18" s="89">
        <f t="shared" si="5"/>
        <v>-3210056.432350893</v>
      </c>
      <c r="AB18" s="89">
        <f t="shared" si="5"/>
        <v>-3322408.407483174</v>
      </c>
      <c r="AC18" s="89">
        <f t="shared" si="5"/>
        <v>-3438692.701745085</v>
      </c>
      <c r="AD18" s="89">
        <f t="shared" si="5"/>
        <v>-3559046.9463061625</v>
      </c>
      <c r="AE18" s="89">
        <f t="shared" si="5"/>
        <v>-3683613.5894268779</v>
      </c>
      <c r="AF18" s="89">
        <f t="shared" si="5"/>
        <v>-3812540.0650568185</v>
      </c>
      <c r="AG18" s="89">
        <f t="shared" si="5"/>
        <v>-3945978.9673338067</v>
      </c>
      <c r="AH18" s="89">
        <f t="shared" si="5"/>
        <v>-4084088.2311904896</v>
      </c>
    </row>
    <row r="19" spans="1:34">
      <c r="A19" s="86"/>
      <c r="B19" s="87" t="s">
        <v>315</v>
      </c>
      <c r="C19" s="1713" t="s">
        <v>1102</v>
      </c>
      <c r="D19" s="88">
        <v>1.2500000000000001E-2</v>
      </c>
      <c r="E19" s="95">
        <f>IF(C19="Abatement", 0, -'Tax Calc'!B10)</f>
        <v>-930808.21556604933</v>
      </c>
      <c r="F19" s="89">
        <f>E19*(1+$D$19)</f>
        <v>-942443.31826062489</v>
      </c>
      <c r="G19" s="89">
        <f t="shared" ref="G19:AH19" si="6">F19*(1+$D$19)</f>
        <v>-954223.85973888263</v>
      </c>
      <c r="H19" s="89">
        <f t="shared" si="6"/>
        <v>-966151.65798561857</v>
      </c>
      <c r="I19" s="89">
        <f t="shared" si="6"/>
        <v>-978228.55371043878</v>
      </c>
      <c r="J19" s="89">
        <f t="shared" si="6"/>
        <v>-990456.41063181916</v>
      </c>
      <c r="K19" s="89">
        <f t="shared" si="6"/>
        <v>-1002837.1157647169</v>
      </c>
      <c r="L19" s="89">
        <f t="shared" si="6"/>
        <v>-1015372.5797117758</v>
      </c>
      <c r="M19" s="89">
        <f t="shared" si="6"/>
        <v>-1028064.7369581729</v>
      </c>
      <c r="N19" s="89">
        <f t="shared" si="6"/>
        <v>-1040915.5461701499</v>
      </c>
      <c r="O19" s="89">
        <f t="shared" si="6"/>
        <v>-1053926.9904972767</v>
      </c>
      <c r="P19" s="89">
        <f t="shared" si="6"/>
        <v>-1067101.0778784927</v>
      </c>
      <c r="Q19" s="89">
        <f t="shared" si="6"/>
        <v>-1080439.8413519738</v>
      </c>
      <c r="R19" s="89">
        <f t="shared" si="6"/>
        <v>-1093945.3393688735</v>
      </c>
      <c r="S19" s="90">
        <f t="shared" si="6"/>
        <v>-1107619.6561109843</v>
      </c>
      <c r="T19" s="89">
        <f t="shared" si="6"/>
        <v>-1121464.9018123716</v>
      </c>
      <c r="U19" s="89">
        <f t="shared" si="6"/>
        <v>-1135483.2130850262</v>
      </c>
      <c r="V19" s="89">
        <f t="shared" si="6"/>
        <v>-1149676.7532485891</v>
      </c>
      <c r="W19" s="89">
        <f t="shared" si="6"/>
        <v>-1164047.7126641965</v>
      </c>
      <c r="X19" s="89">
        <f t="shared" si="6"/>
        <v>-1178598.3090724989</v>
      </c>
      <c r="Y19" s="89">
        <f t="shared" si="6"/>
        <v>-1193330.7879359052</v>
      </c>
      <c r="Z19" s="89">
        <f t="shared" si="6"/>
        <v>-1208247.422785104</v>
      </c>
      <c r="AA19" s="89">
        <f t="shared" si="6"/>
        <v>-1223350.5155699179</v>
      </c>
      <c r="AB19" s="89">
        <f t="shared" si="6"/>
        <v>-1238642.3970145418</v>
      </c>
      <c r="AC19" s="89">
        <f t="shared" si="6"/>
        <v>-1254125.4269772235</v>
      </c>
      <c r="AD19" s="89">
        <f t="shared" si="6"/>
        <v>-1269801.9948144387</v>
      </c>
      <c r="AE19" s="89">
        <f t="shared" si="6"/>
        <v>-1285674.5197496191</v>
      </c>
      <c r="AF19" s="89">
        <f t="shared" si="6"/>
        <v>-1301745.4512464893</v>
      </c>
      <c r="AG19" s="89">
        <f t="shared" si="6"/>
        <v>-1318017.2693870703</v>
      </c>
      <c r="AH19" s="89">
        <f t="shared" si="6"/>
        <v>-1334492.4852544086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-75300</v>
      </c>
      <c r="F20" s="108">
        <f>+E20</f>
        <v>-75300</v>
      </c>
      <c r="G20" s="108">
        <f>F20</f>
        <v>-75300</v>
      </c>
      <c r="H20" s="108">
        <f>G20</f>
        <v>-75300</v>
      </c>
      <c r="I20" s="108">
        <f>H20</f>
        <v>-75300</v>
      </c>
      <c r="J20" s="108">
        <f t="shared" ref="J20:AH20" si="7">I20</f>
        <v>-75300</v>
      </c>
      <c r="K20" s="108">
        <f t="shared" si="7"/>
        <v>-75300</v>
      </c>
      <c r="L20" s="108">
        <f t="shared" si="7"/>
        <v>-75300</v>
      </c>
      <c r="M20" s="108">
        <f t="shared" si="7"/>
        <v>-75300</v>
      </c>
      <c r="N20" s="108">
        <f t="shared" si="7"/>
        <v>-75300</v>
      </c>
      <c r="O20" s="108">
        <f>N20</f>
        <v>-75300</v>
      </c>
      <c r="P20" s="108">
        <f t="shared" si="7"/>
        <v>-75300</v>
      </c>
      <c r="Q20" s="108">
        <f t="shared" si="7"/>
        <v>-75300</v>
      </c>
      <c r="R20" s="108">
        <f t="shared" si="7"/>
        <v>-75300</v>
      </c>
      <c r="S20" s="109">
        <f t="shared" si="7"/>
        <v>-75300</v>
      </c>
      <c r="T20" s="108">
        <f t="shared" si="7"/>
        <v>-75300</v>
      </c>
      <c r="U20" s="108">
        <f t="shared" si="7"/>
        <v>-75300</v>
      </c>
      <c r="V20" s="108">
        <f t="shared" si="7"/>
        <v>-75300</v>
      </c>
      <c r="W20" s="108">
        <f t="shared" si="7"/>
        <v>-75300</v>
      </c>
      <c r="X20" s="108">
        <f t="shared" si="7"/>
        <v>-75300</v>
      </c>
      <c r="Y20" s="108">
        <f t="shared" si="7"/>
        <v>-75300</v>
      </c>
      <c r="Z20" s="108">
        <f t="shared" si="7"/>
        <v>-75300</v>
      </c>
      <c r="AA20" s="108">
        <f t="shared" si="7"/>
        <v>-75300</v>
      </c>
      <c r="AB20" s="108">
        <f t="shared" si="7"/>
        <v>-75300</v>
      </c>
      <c r="AC20" s="108">
        <f t="shared" si="7"/>
        <v>-75300</v>
      </c>
      <c r="AD20" s="108">
        <f t="shared" si="7"/>
        <v>-75300</v>
      </c>
      <c r="AE20" s="108">
        <f t="shared" si="7"/>
        <v>-75300</v>
      </c>
      <c r="AF20" s="108">
        <f t="shared" si="7"/>
        <v>-75300</v>
      </c>
      <c r="AG20" s="108">
        <f t="shared" si="7"/>
        <v>-75300</v>
      </c>
      <c r="AH20" s="108">
        <f t="shared" si="7"/>
        <v>-75300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7829766.5844339514</v>
      </c>
      <c r="F21" s="95">
        <f t="shared" si="8"/>
        <v>8023968.3517393749</v>
      </c>
      <c r="G21" s="95">
        <f t="shared" si="8"/>
        <v>8222643.5020111166</v>
      </c>
      <c r="H21" s="95">
        <f t="shared" si="8"/>
        <v>8425887.23930813</v>
      </c>
      <c r="I21" s="95">
        <f t="shared" si="8"/>
        <v>8633796.5248181522</v>
      </c>
      <c r="J21" s="95">
        <f t="shared" si="8"/>
        <v>8846470.0984705742</v>
      </c>
      <c r="K21" s="95">
        <f t="shared" si="8"/>
        <v>9064008.5003021937</v>
      </c>
      <c r="L21" s="95">
        <f t="shared" si="8"/>
        <v>9286514.0915420558</v>
      </c>
      <c r="M21" s="95">
        <f t="shared" si="8"/>
        <v>9514091.0753797367</v>
      </c>
      <c r="N21" s="95">
        <f t="shared" si="8"/>
        <v>9746845.5173795372</v>
      </c>
      <c r="O21" s="95">
        <f t="shared" si="8"/>
        <v>9984885.3655010983</v>
      </c>
      <c r="P21" s="95">
        <f t="shared" si="8"/>
        <v>10228320.469684888</v>
      </c>
      <c r="Q21" s="95">
        <f t="shared" si="8"/>
        <v>10477262.600958809</v>
      </c>
      <c r="R21" s="95">
        <f t="shared" si="8"/>
        <v>10731825.470020043</v>
      </c>
      <c r="S21" s="96">
        <f t="shared" si="8"/>
        <v>10992124.745243732</v>
      </c>
      <c r="T21" s="95">
        <f t="shared" si="8"/>
        <v>11258278.070067875</v>
      </c>
      <c r="U21" s="95">
        <f t="shared" si="8"/>
        <v>11530405.079701098</v>
      </c>
      <c r="V21" s="95">
        <f t="shared" si="8"/>
        <v>11808627.417097367</v>
      </c>
      <c r="W21" s="95">
        <f t="shared" si="8"/>
        <v>12093068.748138998</v>
      </c>
      <c r="X21" s="95">
        <f t="shared" si="8"/>
        <v>12383854.775966313</v>
      </c>
      <c r="Y21" s="95">
        <f t="shared" si="8"/>
        <v>12681113.254389461</v>
      </c>
      <c r="Z21" s="95">
        <f t="shared" si="8"/>
        <v>12984974.000314601</v>
      </c>
      <c r="AA21" s="95">
        <f t="shared" si="8"/>
        <v>13295568.905113552</v>
      </c>
      <c r="AB21" s="95">
        <f t="shared" si="8"/>
        <v>13613031.9448625</v>
      </c>
      <c r="AC21" s="95">
        <f t="shared" si="8"/>
        <v>13937499.189371912</v>
      </c>
      <c r="AD21" s="95">
        <f t="shared" si="8"/>
        <v>14269108.809925975</v>
      </c>
      <c r="AE21" s="95">
        <f t="shared" si="8"/>
        <v>14608001.085646238</v>
      </c>
      <c r="AF21" s="95">
        <f t="shared" si="8"/>
        <v>14954318.40839</v>
      </c>
      <c r="AG21" s="95">
        <f t="shared" si="8"/>
        <v>15308205.286089757</v>
      </c>
      <c r="AH21" s="95">
        <f t="shared" si="8"/>
        <v>15669808.344436003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-6524805.4870282933</v>
      </c>
      <c r="F22" s="95">
        <f t="shared" ref="F22:AH22" si="9">$E$22</f>
        <v>-6524805.4870282933</v>
      </c>
      <c r="G22" s="95">
        <f t="shared" si="9"/>
        <v>-6524805.4870282933</v>
      </c>
      <c r="H22" s="95">
        <f t="shared" si="9"/>
        <v>-6524805.4870282933</v>
      </c>
      <c r="I22" s="95">
        <f t="shared" si="9"/>
        <v>-6524805.4870282933</v>
      </c>
      <c r="J22" s="95">
        <f t="shared" si="9"/>
        <v>-6524805.4870282933</v>
      </c>
      <c r="K22" s="95">
        <f t="shared" si="9"/>
        <v>-6524805.4870282933</v>
      </c>
      <c r="L22" s="95">
        <f t="shared" si="9"/>
        <v>-6524805.4870282933</v>
      </c>
      <c r="M22" s="95">
        <f t="shared" si="9"/>
        <v>-6524805.4870282933</v>
      </c>
      <c r="N22" s="95">
        <f t="shared" si="9"/>
        <v>-6524805.4870282933</v>
      </c>
      <c r="O22" s="95">
        <f t="shared" si="9"/>
        <v>-6524805.4870282933</v>
      </c>
      <c r="P22" s="95">
        <f t="shared" si="9"/>
        <v>-6524805.4870282933</v>
      </c>
      <c r="Q22" s="95">
        <f t="shared" si="9"/>
        <v>-6524805.4870282933</v>
      </c>
      <c r="R22" s="95">
        <f t="shared" si="9"/>
        <v>-6524805.4870282933</v>
      </c>
      <c r="S22" s="96">
        <f t="shared" si="9"/>
        <v>-6524805.4870282933</v>
      </c>
      <c r="T22" s="95">
        <f t="shared" si="9"/>
        <v>-6524805.4870282933</v>
      </c>
      <c r="U22" s="95">
        <f t="shared" si="9"/>
        <v>-6524805.4870282933</v>
      </c>
      <c r="V22" s="95">
        <f t="shared" si="9"/>
        <v>-6524805.4870282933</v>
      </c>
      <c r="W22" s="95">
        <f t="shared" si="9"/>
        <v>-6524805.4870282933</v>
      </c>
      <c r="X22" s="95">
        <f t="shared" si="9"/>
        <v>-6524805.4870282933</v>
      </c>
      <c r="Y22" s="95">
        <f t="shared" si="9"/>
        <v>-6524805.4870282933</v>
      </c>
      <c r="Z22" s="95">
        <f t="shared" si="9"/>
        <v>-6524805.4870282933</v>
      </c>
      <c r="AA22" s="95">
        <f t="shared" si="9"/>
        <v>-6524805.4870282933</v>
      </c>
      <c r="AB22" s="95">
        <f t="shared" si="9"/>
        <v>-6524805.4870282933</v>
      </c>
      <c r="AC22" s="95">
        <f t="shared" si="9"/>
        <v>-6524805.4870282933</v>
      </c>
      <c r="AD22" s="95">
        <f t="shared" si="9"/>
        <v>-6524805.4870282933</v>
      </c>
      <c r="AE22" s="95">
        <f t="shared" si="9"/>
        <v>-6524805.4870282933</v>
      </c>
      <c r="AF22" s="95">
        <f t="shared" si="9"/>
        <v>-6524805.4870282933</v>
      </c>
      <c r="AG22" s="95">
        <f t="shared" si="9"/>
        <v>-6524805.4870282933</v>
      </c>
      <c r="AH22" s="95">
        <f t="shared" si="9"/>
        <v>-6524805.4870282933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1304961.0974056581</v>
      </c>
      <c r="F25" s="119">
        <f t="shared" ref="F25:AH25" si="11">+F21+F22+F23</f>
        <v>1499162.8647110816</v>
      </c>
      <c r="G25" s="119">
        <f t="shared" si="11"/>
        <v>1697838.0149828233</v>
      </c>
      <c r="H25" s="119">
        <f t="shared" si="11"/>
        <v>1901081.7522798367</v>
      </c>
      <c r="I25" s="119">
        <f t="shared" si="11"/>
        <v>2108991.0377898589</v>
      </c>
      <c r="J25" s="119">
        <f t="shared" si="11"/>
        <v>2321664.6114422809</v>
      </c>
      <c r="K25" s="119">
        <f t="shared" si="11"/>
        <v>2539203.0132739004</v>
      </c>
      <c r="L25" s="119">
        <f t="shared" si="11"/>
        <v>2761708.6045137625</v>
      </c>
      <c r="M25" s="119">
        <f t="shared" si="11"/>
        <v>2989285.5883514434</v>
      </c>
      <c r="N25" s="119">
        <f t="shared" si="11"/>
        <v>3222040.0303512439</v>
      </c>
      <c r="O25" s="119">
        <f t="shared" si="11"/>
        <v>3460079.878472805</v>
      </c>
      <c r="P25" s="119">
        <f t="shared" si="11"/>
        <v>3703514.9826565944</v>
      </c>
      <c r="Q25" s="119">
        <f t="shared" si="11"/>
        <v>3952457.1139305159</v>
      </c>
      <c r="R25" s="119">
        <f t="shared" si="11"/>
        <v>4207019.9829917494</v>
      </c>
      <c r="S25" s="160">
        <f t="shared" si="11"/>
        <v>4467319.2582154386</v>
      </c>
      <c r="T25" s="119">
        <f t="shared" si="11"/>
        <v>4733472.5830395818</v>
      </c>
      <c r="U25" s="119">
        <f t="shared" si="11"/>
        <v>5005599.5926728044</v>
      </c>
      <c r="V25" s="119">
        <f t="shared" si="11"/>
        <v>5283821.930069074</v>
      </c>
      <c r="W25" s="119">
        <f t="shared" si="11"/>
        <v>5568263.2611107044</v>
      </c>
      <c r="X25" s="119">
        <f t="shared" si="11"/>
        <v>5859049.2889380194</v>
      </c>
      <c r="Y25" s="119">
        <f t="shared" si="11"/>
        <v>6156307.7673611678</v>
      </c>
      <c r="Z25" s="119">
        <f t="shared" si="11"/>
        <v>6460168.5132863075</v>
      </c>
      <c r="AA25" s="119">
        <f t="shared" si="11"/>
        <v>6770763.4180852585</v>
      </c>
      <c r="AB25" s="119">
        <f t="shared" si="11"/>
        <v>7088226.4578342065</v>
      </c>
      <c r="AC25" s="119">
        <f t="shared" si="11"/>
        <v>7412693.7023436185</v>
      </c>
      <c r="AD25" s="119">
        <f t="shared" si="11"/>
        <v>7744303.322897682</v>
      </c>
      <c r="AE25" s="119">
        <f t="shared" si="11"/>
        <v>8083195.5986179449</v>
      </c>
      <c r="AF25" s="119">
        <f t="shared" si="11"/>
        <v>8429512.9213617072</v>
      </c>
      <c r="AG25" s="119">
        <f t="shared" si="11"/>
        <v>8783399.7990614641</v>
      </c>
      <c r="AH25" s="119">
        <f t="shared" si="11"/>
        <v>9145002.8574077096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1.2297636102243212</v>
      </c>
      <c r="G27" s="122">
        <f t="shared" si="12"/>
        <v>1.2602128168200919</v>
      </c>
      <c r="H27" s="122">
        <f t="shared" si="12"/>
        <v>1.2913622108826541</v>
      </c>
      <c r="I27" s="122">
        <f t="shared" si="12"/>
        <v>1.3232266528071466</v>
      </c>
      <c r="J27" s="122">
        <f t="shared" si="12"/>
        <v>1.3558212756009187</v>
      </c>
      <c r="K27" s="122">
        <f t="shared" si="12"/>
        <v>1.3891614881580745</v>
      </c>
      <c r="L27" s="122">
        <f t="shared" si="12"/>
        <v>1.4232629784909612</v>
      </c>
      <c r="M27" s="122">
        <f t="shared" si="12"/>
        <v>1.4581417169131436</v>
      </c>
      <c r="N27" s="122">
        <f t="shared" si="12"/>
        <v>1.4938139591681092</v>
      </c>
      <c r="O27" s="122">
        <f t="shared" si="12"/>
        <v>1.530296249497652</v>
      </c>
      <c r="P27" s="122">
        <f t="shared" si="12"/>
        <v>1.5676054236435715</v>
      </c>
      <c r="Q27" s="122">
        <f t="shared" si="12"/>
        <v>1.6057586117759739</v>
      </c>
      <c r="R27" s="122">
        <f t="shared" si="12"/>
        <v>1.6447732413411493</v>
      </c>
      <c r="S27" s="161">
        <f t="shared" si="12"/>
        <v>1.6846670398216068</v>
      </c>
      <c r="T27" s="122">
        <f t="shared" si="12"/>
        <v>1.7254580374005035</v>
      </c>
      <c r="U27" s="122">
        <f t="shared" si="12"/>
        <v>1.7671645695223004</v>
      </c>
      <c r="V27" s="122">
        <f t="shared" si="12"/>
        <v>1.8098052793410671</v>
      </c>
      <c r="W27" s="122">
        <f t="shared" si="12"/>
        <v>1.8533991200474478</v>
      </c>
      <c r="X27" s="122">
        <f t="shared" si="12"/>
        <v>1.8979653570648447</v>
      </c>
      <c r="Y27" s="122">
        <f t="shared" si="12"/>
        <v>1.9435235701049294</v>
      </c>
      <c r="Z27" s="122">
        <f t="shared" si="12"/>
        <v>1.9900936550720956</v>
      </c>
      <c r="AA27" s="122">
        <f t="shared" si="12"/>
        <v>2.037695825805987</v>
      </c>
      <c r="AB27" s="122">
        <f t="shared" si="12"/>
        <v>2.086350615650693</v>
      </c>
      <c r="AC27" s="122">
        <f t="shared" si="12"/>
        <v>2.1360788788386871</v>
      </c>
      <c r="AD27" s="122">
        <f t="shared" si="12"/>
        <v>2.1869017916769815</v>
      </c>
      <c r="AE27" s="122">
        <f t="shared" si="12"/>
        <v>2.2388408535224267</v>
      </c>
      <c r="AF27" s="122">
        <f t="shared" si="12"/>
        <v>2.2919178875324464</v>
      </c>
      <c r="AG27" s="122">
        <f t="shared" si="12"/>
        <v>2.3461550411768433</v>
      </c>
      <c r="AH27" s="122">
        <f t="shared" si="12"/>
        <v>2.4015747864957087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1304961.0974056581</v>
      </c>
      <c r="F41" s="129">
        <f t="shared" ref="F41:S41" si="20">F25+F37</f>
        <v>1499162.8647110816</v>
      </c>
      <c r="G41" s="129">
        <f t="shared" si="20"/>
        <v>1697838.0149828233</v>
      </c>
      <c r="H41" s="129">
        <f t="shared" si="20"/>
        <v>1901081.7522798367</v>
      </c>
      <c r="I41" s="129">
        <f t="shared" si="20"/>
        <v>2108991.0377898589</v>
      </c>
      <c r="J41" s="129">
        <f t="shared" si="20"/>
        <v>2321664.6114422809</v>
      </c>
      <c r="K41" s="129">
        <f t="shared" si="20"/>
        <v>2539203.0132739004</v>
      </c>
      <c r="L41" s="129">
        <f t="shared" si="20"/>
        <v>2761708.6045137625</v>
      </c>
      <c r="M41" s="129">
        <f t="shared" si="20"/>
        <v>2989285.5883514434</v>
      </c>
      <c r="N41" s="129">
        <f t="shared" si="20"/>
        <v>3222040.0303512439</v>
      </c>
      <c r="O41" s="129">
        <f t="shared" si="20"/>
        <v>3460079.878472805</v>
      </c>
      <c r="P41" s="129">
        <f t="shared" si="20"/>
        <v>3703514.9826565944</v>
      </c>
      <c r="Q41" s="129">
        <f t="shared" si="20"/>
        <v>3952457.1139305159</v>
      </c>
      <c r="R41" s="129">
        <f t="shared" si="20"/>
        <v>4207019.9829917494</v>
      </c>
      <c r="S41" s="130">
        <f t="shared" si="20"/>
        <v>4467319.2582154386</v>
      </c>
      <c r="T41" s="130">
        <f t="shared" ref="T41:AH41" si="21">T25+T37</f>
        <v>4733472.5830395818</v>
      </c>
      <c r="U41" s="130">
        <f t="shared" si="21"/>
        <v>5005599.5926728044</v>
      </c>
      <c r="V41" s="130">
        <f t="shared" si="21"/>
        <v>5283821.930069074</v>
      </c>
      <c r="W41" s="130">
        <f t="shared" si="21"/>
        <v>5568263.2611107044</v>
      </c>
      <c r="X41" s="130">
        <f t="shared" si="21"/>
        <v>5859049.2889380194</v>
      </c>
      <c r="Y41" s="130">
        <f t="shared" si="21"/>
        <v>6156307.7673611678</v>
      </c>
      <c r="Z41" s="130">
        <f t="shared" si="21"/>
        <v>6460168.5132863075</v>
      </c>
      <c r="AA41" s="130">
        <f t="shared" si="21"/>
        <v>6770763.4180852585</v>
      </c>
      <c r="AB41" s="130">
        <f t="shared" si="21"/>
        <v>7088226.4578342065</v>
      </c>
      <c r="AC41" s="130">
        <f t="shared" si="21"/>
        <v>7412693.7023436185</v>
      </c>
      <c r="AD41" s="130">
        <f t="shared" si="21"/>
        <v>7744303.322897682</v>
      </c>
      <c r="AE41" s="130">
        <f t="shared" si="21"/>
        <v>8083195.5986179449</v>
      </c>
      <c r="AF41" s="130">
        <f t="shared" si="21"/>
        <v>8429512.9213617072</v>
      </c>
      <c r="AG41" s="130">
        <f t="shared" si="21"/>
        <v>8783399.7990614641</v>
      </c>
      <c r="AH41" s="130">
        <f t="shared" si="21"/>
        <v>9145002.8574077096</v>
      </c>
    </row>
    <row r="42" spans="1:34">
      <c r="A42" s="86"/>
      <c r="B42" s="110" t="s">
        <v>330</v>
      </c>
      <c r="C42" s="323">
        <f>GapCalc!I33</f>
        <v>0.85</v>
      </c>
      <c r="D42" s="131" t="s">
        <v>1051</v>
      </c>
      <c r="E42" s="129">
        <f>((E41*$C$42))</f>
        <v>1109216.9327948093</v>
      </c>
      <c r="F42" s="129">
        <f t="shared" ref="F42:S42" si="22">((F41*$C$42))</f>
        <v>1274288.4350044194</v>
      </c>
      <c r="G42" s="129">
        <f t="shared" si="22"/>
        <v>1443162.3127353997</v>
      </c>
      <c r="H42" s="129">
        <f t="shared" si="22"/>
        <v>1615919.4894378611</v>
      </c>
      <c r="I42" s="129">
        <f t="shared" si="22"/>
        <v>1792642.38212138</v>
      </c>
      <c r="J42" s="129">
        <f t="shared" si="22"/>
        <v>1973414.9197259387</v>
      </c>
      <c r="K42" s="129">
        <f t="shared" si="22"/>
        <v>2158322.5612828154</v>
      </c>
      <c r="L42" s="129">
        <f t="shared" si="22"/>
        <v>2347452.313836698</v>
      </c>
      <c r="M42" s="129">
        <f t="shared" si="22"/>
        <v>2540892.7500987267</v>
      </c>
      <c r="N42" s="129">
        <f t="shared" si="22"/>
        <v>2738734.0257985573</v>
      </c>
      <c r="O42" s="129">
        <f t="shared" si="22"/>
        <v>2941067.896701884</v>
      </c>
      <c r="P42" s="129">
        <f t="shared" si="22"/>
        <v>3147987.7352581052</v>
      </c>
      <c r="Q42" s="129">
        <f t="shared" si="22"/>
        <v>3359588.5468409383</v>
      </c>
      <c r="R42" s="129">
        <f t="shared" si="22"/>
        <v>3575966.985542987</v>
      </c>
      <c r="S42" s="129">
        <f t="shared" si="22"/>
        <v>3797221.3694831226</v>
      </c>
      <c r="T42" s="129">
        <f t="shared" ref="T42:AH42" si="23">((T41*$C$42))</f>
        <v>4023451.6955836443</v>
      </c>
      <c r="U42" s="129">
        <f t="shared" si="23"/>
        <v>4254759.6537718838</v>
      </c>
      <c r="V42" s="129">
        <f t="shared" si="23"/>
        <v>4491248.6405587131</v>
      </c>
      <c r="W42" s="129">
        <f t="shared" si="23"/>
        <v>4733023.7719440982</v>
      </c>
      <c r="X42" s="129">
        <f t="shared" si="23"/>
        <v>4980191.8955973163</v>
      </c>
      <c r="Y42" s="129">
        <f t="shared" si="23"/>
        <v>5232861.6022569928</v>
      </c>
      <c r="Z42" s="129">
        <f t="shared" si="23"/>
        <v>5491143.2362933615</v>
      </c>
      <c r="AA42" s="129">
        <f t="shared" si="23"/>
        <v>5755148.9053724697</v>
      </c>
      <c r="AB42" s="129">
        <f t="shared" si="23"/>
        <v>6024992.4891590755</v>
      </c>
      <c r="AC42" s="129">
        <f t="shared" si="23"/>
        <v>6300789.6469920753</v>
      </c>
      <c r="AD42" s="129">
        <f t="shared" si="23"/>
        <v>6582657.8244630294</v>
      </c>
      <c r="AE42" s="129">
        <f t="shared" si="23"/>
        <v>6870716.2588252528</v>
      </c>
      <c r="AF42" s="129">
        <f t="shared" si="23"/>
        <v>7165085.9831574513</v>
      </c>
      <c r="AG42" s="129">
        <f t="shared" si="23"/>
        <v>7465889.8292022441</v>
      </c>
      <c r="AH42" s="129">
        <f t="shared" si="23"/>
        <v>7773252.4287965531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1051</v>
      </c>
      <c r="E43" s="108">
        <f>$C$43*(E41)</f>
        <v>195744.16461084873</v>
      </c>
      <c r="F43" s="108">
        <f t="shared" ref="F43:S43" si="24">$C$43*(F41)</f>
        <v>224874.42970666228</v>
      </c>
      <c r="G43" s="108">
        <f t="shared" si="24"/>
        <v>254675.70224742353</v>
      </c>
      <c r="H43" s="108">
        <f t="shared" si="24"/>
        <v>285162.26284197555</v>
      </c>
      <c r="I43" s="108">
        <f t="shared" si="24"/>
        <v>316348.65566847887</v>
      </c>
      <c r="J43" s="108">
        <f t="shared" si="24"/>
        <v>348249.69171634217</v>
      </c>
      <c r="K43" s="108">
        <f t="shared" si="24"/>
        <v>380880.45199108514</v>
      </c>
      <c r="L43" s="108">
        <f t="shared" si="24"/>
        <v>414256.29067706445</v>
      </c>
      <c r="M43" s="108">
        <f t="shared" si="24"/>
        <v>448392.83825271658</v>
      </c>
      <c r="N43" s="108">
        <f t="shared" si="24"/>
        <v>483306.00455268665</v>
      </c>
      <c r="O43" s="108">
        <f t="shared" si="24"/>
        <v>519011.98177092086</v>
      </c>
      <c r="P43" s="108">
        <f t="shared" si="24"/>
        <v>555527.24739848927</v>
      </c>
      <c r="Q43" s="108">
        <f t="shared" si="24"/>
        <v>592868.56708957744</v>
      </c>
      <c r="R43" s="108">
        <f t="shared" si="24"/>
        <v>631052.99744876253</v>
      </c>
      <c r="S43" s="108">
        <f t="shared" si="24"/>
        <v>670097.88873231586</v>
      </c>
      <c r="T43" s="108">
        <f t="shared" ref="T43:AH43" si="25">$C$43*(T41)</f>
        <v>710020.88745593734</v>
      </c>
      <c r="U43" s="108">
        <f t="shared" si="25"/>
        <v>750839.9389009208</v>
      </c>
      <c r="V43" s="108">
        <f t="shared" si="25"/>
        <v>792573.28951036127</v>
      </c>
      <c r="W43" s="108">
        <f t="shared" si="25"/>
        <v>835239.48916660575</v>
      </c>
      <c r="X43" s="108">
        <f t="shared" si="25"/>
        <v>878857.3933407031</v>
      </c>
      <c r="Y43" s="108">
        <f t="shared" si="25"/>
        <v>923446.16510417534</v>
      </c>
      <c r="Z43" s="108">
        <f t="shared" si="25"/>
        <v>969025.27699294628</v>
      </c>
      <c r="AA43" s="108">
        <f t="shared" si="25"/>
        <v>1015614.5127127889</v>
      </c>
      <c r="AB43" s="108">
        <f t="shared" si="25"/>
        <v>1063233.9686751312</v>
      </c>
      <c r="AC43" s="108">
        <f t="shared" si="25"/>
        <v>1111904.055351543</v>
      </c>
      <c r="AD43" s="108">
        <f t="shared" si="25"/>
        <v>1161645.4984346526</v>
      </c>
      <c r="AE43" s="108">
        <f t="shared" si="25"/>
        <v>1212479.3397926919</v>
      </c>
      <c r="AF43" s="108">
        <f t="shared" si="25"/>
        <v>1264426.9382042564</v>
      </c>
      <c r="AG43" s="108">
        <f t="shared" si="25"/>
        <v>1317509.9698592199</v>
      </c>
      <c r="AH43" s="108">
        <f t="shared" si="25"/>
        <v>1371750.4286111565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1052</v>
      </c>
      <c r="E46" s="1528">
        <f>E21/Data!$C$38</f>
        <v>7.3093842059656092E-2</v>
      </c>
      <c r="F46" s="1528">
        <f>F21/Data!$C$38</f>
        <v>7.4906789247040848E-2</v>
      </c>
      <c r="G46" s="1528">
        <f>G21/Data!$C$38</f>
        <v>7.6761497161835099E-2</v>
      </c>
      <c r="H46" s="1528">
        <f>H21/Data!$C$38</f>
        <v>7.8658854570054199E-2</v>
      </c>
      <c r="I46" s="1528">
        <f>I21/Data!$C$38</f>
        <v>8.0599766641177475E-2</v>
      </c>
      <c r="J46" s="1528">
        <f>J21/Data!$C$38</f>
        <v>8.2585155149912506E-2</v>
      </c>
      <c r="K46" s="1528">
        <f>K21/Data!$C$38</f>
        <v>8.4615958675652594E-2</v>
      </c>
      <c r="L46" s="1528">
        <f>L21/Data!$C$38</f>
        <v>8.6693132799311692E-2</v>
      </c>
      <c r="M46" s="1528">
        <f>M21/Data!$C$38</f>
        <v>8.8817650297204245E-2</v>
      </c>
      <c r="N46" s="1528">
        <f>N21/Data!$C$38</f>
        <v>9.0990501331619442E-2</v>
      </c>
      <c r="O46" s="1528">
        <f>O21/Data!$C$38</f>
        <v>9.3212693637721222E-2</v>
      </c>
      <c r="P46" s="1528">
        <f>P21/Data!$C$38</f>
        <v>9.5485252706386248E-2</v>
      </c>
      <c r="Q46" s="1528">
        <f>Q21/Data!$C$38</f>
        <v>9.7809221962571385E-2</v>
      </c>
      <c r="R46" s="1528">
        <f>R21/Data!$C$38</f>
        <v>0.10018566293878216</v>
      </c>
      <c r="S46" s="1528">
        <f>S21/Data!$C$38</f>
        <v>0.10261565544319075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3.2973192940131867E-2</v>
      </c>
      <c r="F47" s="142">
        <f>F41/GapCalc!$H$33</f>
        <v>3.788019925273902E-2</v>
      </c>
      <c r="G47" s="142">
        <f>G41/GapCalc!$H$33</f>
        <v>4.2900237072520414E-2</v>
      </c>
      <c r="H47" s="142">
        <f>H41/GapCalc!$H$33</f>
        <v>4.8035711974485744E-2</v>
      </c>
      <c r="I47" s="142">
        <f>I41/GapCalc!$H$33</f>
        <v>5.3289073932015318E-2</v>
      </c>
      <c r="J47" s="142">
        <f>J41/GapCalc!$H$33</f>
        <v>5.8662817862964664E-2</v>
      </c>
      <c r="K47" s="142">
        <f>K41/GapCalc!$H$33</f>
        <v>6.4159484169525188E-2</v>
      </c>
      <c r="L47" s="142">
        <f>L41/GapCalc!$H$33</f>
        <v>6.9781659270986784E-2</v>
      </c>
      <c r="M47" s="142">
        <f>M41/GapCalc!$H$33</f>
        <v>7.5531976128501849E-2</v>
      </c>
      <c r="N47" s="142">
        <f>N41/GapCalc!$H$33</f>
        <v>8.141311476090235E-2</v>
      </c>
      <c r="O47" s="142">
        <f>O41/GapCalc!$H$33</f>
        <v>8.7427802750571978E-2</v>
      </c>
      <c r="P47" s="142">
        <f>P41/GapCalc!$H$33</f>
        <v>9.3578815738323884E-2</v>
      </c>
      <c r="Q47" s="142">
        <f>Q41/GapCalc!$H$33</f>
        <v>9.9868977906178158E-2</v>
      </c>
      <c r="R47" s="142">
        <f>R41/GapCalc!$H$33</f>
        <v>0.10630116244687968</v>
      </c>
      <c r="S47" s="142">
        <f>S41/GapCalc!$H$33</f>
        <v>0.11287829201893398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2.8027213999112083E-2</v>
      </c>
      <c r="F48" s="142">
        <f>F43/GapCalc!$H$32</f>
        <v>3.2198169364828166E-2</v>
      </c>
      <c r="G48" s="142">
        <f>G43/GapCalc!$H$32</f>
        <v>3.6465201511642349E-2</v>
      </c>
      <c r="H48" s="142">
        <f>H43/GapCalc!$H$32</f>
        <v>4.0830355178312884E-2</v>
      </c>
      <c r="I48" s="142">
        <f>I43/GapCalc!$H$32</f>
        <v>4.5295712842213016E-2</v>
      </c>
      <c r="J48" s="142">
        <f>J43/GapCalc!$H$32</f>
        <v>4.9863395183519961E-2</v>
      </c>
      <c r="K48" s="142">
        <f>K43/GapCalc!$H$32</f>
        <v>5.453556154409641E-2</v>
      </c>
      <c r="L48" s="142">
        <f>L43/GapCalc!$H$32</f>
        <v>5.9314410380338765E-2</v>
      </c>
      <c r="M48" s="142">
        <f>M43/GapCalc!$H$32</f>
        <v>6.4202179709226578E-2</v>
      </c>
      <c r="N48" s="142">
        <f>N43/GapCalc!$H$32</f>
        <v>6.9201147546766983E-2</v>
      </c>
      <c r="O48" s="142">
        <f>O43/GapCalc!$H$32</f>
        <v>7.4313632337986185E-2</v>
      </c>
      <c r="P48" s="142">
        <f>P43/GapCalc!$H$32</f>
        <v>7.954199337757531E-2</v>
      </c>
      <c r="Q48" s="142">
        <f>Q43/GapCalc!$H$32</f>
        <v>8.488863122025142E-2</v>
      </c>
      <c r="R48" s="142">
        <f>R43/GapCalc!$H$32</f>
        <v>9.0355988079847724E-2</v>
      </c>
      <c r="S48" s="142">
        <f>S43/GapCalc!$H$32</f>
        <v>9.5946548216093885E-2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7"/>
      <c r="C50" s="1638"/>
      <c r="D50" s="1638"/>
      <c r="E50" s="1560">
        <v>1</v>
      </c>
      <c r="F50" s="1560">
        <v>2</v>
      </c>
      <c r="G50" s="1561">
        <v>3</v>
      </c>
      <c r="H50" s="1561">
        <v>4</v>
      </c>
      <c r="I50" s="1562">
        <v>5</v>
      </c>
      <c r="J50" s="1562">
        <v>6</v>
      </c>
      <c r="K50" s="1561">
        <v>7</v>
      </c>
      <c r="L50" s="1561">
        <v>8</v>
      </c>
      <c r="M50" s="1562">
        <v>9</v>
      </c>
      <c r="N50" s="1562">
        <v>10</v>
      </c>
      <c r="O50" s="1561">
        <v>11</v>
      </c>
      <c r="P50" s="1561">
        <v>12</v>
      </c>
      <c r="Q50" s="1562">
        <v>13</v>
      </c>
      <c r="R50" s="1562">
        <v>14</v>
      </c>
      <c r="S50" s="1561">
        <v>15</v>
      </c>
      <c r="T50" s="1562">
        <v>16</v>
      </c>
      <c r="U50" s="1562">
        <v>17</v>
      </c>
      <c r="V50" s="1561">
        <v>18</v>
      </c>
      <c r="W50" s="1562">
        <v>19</v>
      </c>
      <c r="X50" s="1562">
        <v>20</v>
      </c>
      <c r="Y50" s="1561">
        <v>21</v>
      </c>
      <c r="Z50" s="1562">
        <v>22</v>
      </c>
      <c r="AA50" s="1562">
        <v>23</v>
      </c>
      <c r="AB50" s="1561">
        <v>24</v>
      </c>
      <c r="AC50" s="1562">
        <v>25</v>
      </c>
      <c r="AD50" s="1562">
        <v>26</v>
      </c>
      <c r="AE50" s="1561">
        <v>27</v>
      </c>
      <c r="AF50" s="1562">
        <v>28</v>
      </c>
      <c r="AG50" s="1562">
        <v>29</v>
      </c>
      <c r="AH50" s="1561">
        <v>30</v>
      </c>
    </row>
    <row r="51" spans="1:34">
      <c r="A51" s="76"/>
      <c r="B51" s="1534"/>
      <c r="C51" s="1538"/>
      <c r="D51" s="1639"/>
      <c r="G51" s="1534"/>
      <c r="H51" s="1535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4"/>
      <c r="C52" s="1538"/>
      <c r="D52" s="1640"/>
      <c r="G52" s="1534"/>
      <c r="H52" s="1536"/>
    </row>
    <row r="53" spans="1:34">
      <c r="B53" s="1534"/>
      <c r="C53" s="1538"/>
      <c r="D53" s="1640"/>
      <c r="G53" s="1537"/>
      <c r="H53" s="1536"/>
    </row>
    <row r="54" spans="1:34">
      <c r="B54" s="1534"/>
      <c r="C54" s="1538"/>
      <c r="D54" s="1641"/>
      <c r="G54" s="1534"/>
      <c r="H54" s="1538"/>
    </row>
    <row r="55" spans="1:34">
      <c r="B55" s="1539"/>
      <c r="C55" s="1538"/>
      <c r="D55" s="1640"/>
      <c r="G55" s="1539"/>
      <c r="H55" s="1538"/>
    </row>
    <row r="56" spans="1:34">
      <c r="B56" s="1539"/>
      <c r="C56" s="1642"/>
      <c r="D56" s="1639"/>
      <c r="G56" s="1539"/>
      <c r="H56" s="1540"/>
    </row>
    <row r="57" spans="1:34">
      <c r="B57" s="1534"/>
      <c r="C57" s="1643"/>
      <c r="D57" s="1537"/>
      <c r="G57" s="1534"/>
      <c r="H57" s="1541"/>
    </row>
    <row r="58" spans="1:34">
      <c r="B58" s="1539"/>
      <c r="C58" s="1541"/>
      <c r="D58" s="1537"/>
      <c r="G58" s="1534"/>
      <c r="H58" s="1541"/>
    </row>
    <row r="59" spans="1:34">
      <c r="B59" s="1638"/>
      <c r="C59" s="1638"/>
      <c r="D59" s="1537"/>
      <c r="G59" s="1537"/>
      <c r="H59" s="1537"/>
    </row>
    <row r="61" spans="1:34">
      <c r="C61" s="1636"/>
    </row>
    <row r="64" spans="1:34" ht="13.5" thickBot="1">
      <c r="B64" s="70" t="s">
        <v>1060</v>
      </c>
      <c r="G64" s="70" t="s">
        <v>1072</v>
      </c>
    </row>
    <row r="65" spans="2:10" ht="13.5" thickBot="1">
      <c r="B65" s="1517" t="s">
        <v>1042</v>
      </c>
      <c r="C65" s="1518"/>
      <c r="D65" s="1542"/>
      <c r="E65" s="70" t="s">
        <v>1058</v>
      </c>
      <c r="G65" s="1517" t="s">
        <v>1042</v>
      </c>
      <c r="H65" s="1518"/>
      <c r="I65" s="1542"/>
      <c r="J65" s="70" t="s">
        <v>1058</v>
      </c>
    </row>
    <row r="66" spans="2:10">
      <c r="B66" s="1519" t="s">
        <v>1056</v>
      </c>
      <c r="C66" s="1564">
        <f>C70/1.63</f>
        <v>39176025.858894736</v>
      </c>
      <c r="D66" s="1543"/>
      <c r="E66" s="1563" t="s">
        <v>285</v>
      </c>
      <c r="G66" s="1519" t="s">
        <v>1075</v>
      </c>
      <c r="H66" s="1564">
        <f>H70/1.63</f>
        <v>6913416.3280402478</v>
      </c>
      <c r="I66" s="1543"/>
      <c r="J66" s="1563" t="s">
        <v>285</v>
      </c>
    </row>
    <row r="67" spans="2:10" ht="15">
      <c r="B67" s="1520" t="s">
        <v>1057</v>
      </c>
      <c r="C67" s="1579">
        <f>SUMIFS(E42:AH42, E50:AH50, "&lt;=" &amp; VALUE(RIGHT(E66, LEN(E66)-FIND(" ", E66))))</f>
        <v>11366967.033102622</v>
      </c>
      <c r="D67" s="1544" t="s">
        <v>68</v>
      </c>
      <c r="G67" s="1520" t="s">
        <v>1076</v>
      </c>
      <c r="H67" s="1559">
        <f>SUMIFS(E43:AH43, E50:AH50, "&lt;=" &amp; VALUE(RIGHT(E66, LEN(E66)-FIND(" ", E66))))</f>
        <v>2005935.3587828164</v>
      </c>
      <c r="I67" s="1544" t="s">
        <v>68</v>
      </c>
    </row>
    <row r="68" spans="2:10">
      <c r="B68" s="1520" t="s">
        <v>1080</v>
      </c>
      <c r="C68" s="1567">
        <f>IF(GapCalc!D41*C42&lt; 0,0,GapCalc!D41*C42)</f>
        <v>29485906.479591232</v>
      </c>
      <c r="D68" s="1544" t="s">
        <v>68</v>
      </c>
      <c r="G68" s="1520" t="s">
        <v>1081</v>
      </c>
      <c r="H68" s="1567">
        <f>IF(GapCalc!D41*C43&lt; 0,0,GapCalc!D41*C43)</f>
        <v>5203395.261104336</v>
      </c>
      <c r="I68" s="1544" t="s">
        <v>68</v>
      </c>
    </row>
    <row r="69" spans="2:10">
      <c r="B69" s="1520" t="s">
        <v>1061</v>
      </c>
      <c r="C69" s="1567">
        <f>'Debt Calc'!E60</f>
        <v>23004048.637304556</v>
      </c>
      <c r="D69" s="1545">
        <v>0.9</v>
      </c>
      <c r="G69" s="1520" t="s">
        <v>1077</v>
      </c>
      <c r="H69" s="1567">
        <f>'Debt Calc'!E59*C43</f>
        <v>4059537.9948184518</v>
      </c>
      <c r="I69" s="1545">
        <v>0.9</v>
      </c>
    </row>
    <row r="70" spans="2:10">
      <c r="B70" s="1522" t="s">
        <v>1044</v>
      </c>
      <c r="C70" s="1576">
        <f>C67+C68+C69</f>
        <v>63856922.149998412</v>
      </c>
      <c r="D70" s="1544" t="s">
        <v>68</v>
      </c>
      <c r="G70" s="1522" t="s">
        <v>1044</v>
      </c>
      <c r="H70" s="1576">
        <f>H67+H68+H69</f>
        <v>11268868.614705604</v>
      </c>
      <c r="I70" s="1544" t="s">
        <v>68</v>
      </c>
    </row>
    <row r="71" spans="2:10">
      <c r="B71" s="1522" t="s">
        <v>1045</v>
      </c>
      <c r="C71" s="1570">
        <f>C70/C66</f>
        <v>1.63</v>
      </c>
      <c r="D71" s="1546"/>
      <c r="G71" s="1522" t="s">
        <v>1045</v>
      </c>
      <c r="H71" s="1570">
        <f>H70/H66</f>
        <v>1.63</v>
      </c>
      <c r="I71" s="1546"/>
    </row>
    <row r="72" spans="2:10">
      <c r="B72" s="1520" t="s">
        <v>1046</v>
      </c>
      <c r="C72" s="1523">
        <f>(C70-C66)/C66</f>
        <v>0.62999999999999978</v>
      </c>
      <c r="D72" s="1547"/>
      <c r="G72" s="1520" t="s">
        <v>1046</v>
      </c>
      <c r="H72" s="1523">
        <f>(H70-H66)/H66</f>
        <v>0.63</v>
      </c>
      <c r="I72" s="1547"/>
    </row>
    <row r="73" spans="2:10">
      <c r="B73" s="1522" t="s">
        <v>1047</v>
      </c>
      <c r="C73" s="1565">
        <f>C72/7</f>
        <v>8.9999999999999969E-2</v>
      </c>
      <c r="D73" s="1547"/>
      <c r="G73" s="1522" t="s">
        <v>1047</v>
      </c>
      <c r="H73" s="1565">
        <f>H72/7</f>
        <v>0.09</v>
      </c>
      <c r="I73" s="1547"/>
    </row>
    <row r="74" spans="2:10" ht="13.5" thickBot="1">
      <c r="B74" s="1577" t="s">
        <v>1082</v>
      </c>
      <c r="C74" s="1580">
        <f>GapCalc!H33</f>
        <v>39576424.999999993</v>
      </c>
      <c r="D74" s="1548"/>
      <c r="F74" s="1558"/>
      <c r="G74" s="1577" t="s">
        <v>1084</v>
      </c>
      <c r="H74" s="1580">
        <f>GapCalc!H32</f>
        <v>6984075</v>
      </c>
      <c r="I74" s="1548"/>
    </row>
    <row r="75" spans="2:10">
      <c r="B75" s="70" t="s">
        <v>1083</v>
      </c>
      <c r="C75" s="1578">
        <f>(C70-C74)/C74</f>
        <v>0.61350910674722192</v>
      </c>
      <c r="G75" s="70" t="s">
        <v>1083</v>
      </c>
      <c r="H75" s="1578">
        <f>(H70-H74)/H74</f>
        <v>0.61350910674722192</v>
      </c>
    </row>
    <row r="76" spans="2:10">
      <c r="B76" s="70" t="s">
        <v>1047</v>
      </c>
      <c r="C76" s="1578">
        <f>C75/7</f>
        <v>8.7644158106745987E-2</v>
      </c>
      <c r="G76" s="70" t="s">
        <v>1047</v>
      </c>
      <c r="H76" s="1578">
        <f>H75/7</f>
        <v>8.7644158106745987E-2</v>
      </c>
    </row>
    <row r="78" spans="2:10" ht="13.5" thickBot="1">
      <c r="B78" s="70" t="s">
        <v>1063</v>
      </c>
    </row>
    <row r="79" spans="2:10" ht="13.5" thickBot="1">
      <c r="B79" s="1517" t="s">
        <v>1042</v>
      </c>
      <c r="C79" s="1518"/>
      <c r="D79" s="1542"/>
      <c r="E79" s="70" t="s">
        <v>1058</v>
      </c>
    </row>
    <row r="80" spans="2:10">
      <c r="B80" s="1519" t="s">
        <v>1056</v>
      </c>
      <c r="C80" s="1564">
        <f>C84/1.8</f>
        <v>26933307.001348801</v>
      </c>
      <c r="D80" s="1543"/>
      <c r="E80" s="1563" t="s">
        <v>288</v>
      </c>
    </row>
    <row r="81" spans="2:10" ht="15">
      <c r="B81" s="1520" t="s">
        <v>1057</v>
      </c>
      <c r="C81" s="1559">
        <f>SUMIFS(E42:AH42, E50:AH50, "&lt;=" &amp; VALUE(RIGHT(E80, LEN(E80)-FIND(" ", E80))))</f>
        <v>18994046.122836605</v>
      </c>
      <c r="D81" s="1544" t="s">
        <v>68</v>
      </c>
    </row>
    <row r="82" spans="2:10">
      <c r="B82" s="1520" t="s">
        <v>1061</v>
      </c>
      <c r="C82" s="1567">
        <f>C68</f>
        <v>29485906.479591232</v>
      </c>
      <c r="D82" s="1544" t="s">
        <v>68</v>
      </c>
    </row>
    <row r="83" spans="2:10">
      <c r="B83" s="1520" t="s">
        <v>1043</v>
      </c>
      <c r="C83" s="1521"/>
      <c r="D83" s="1545">
        <v>0.9</v>
      </c>
    </row>
    <row r="84" spans="2:10">
      <c r="B84" s="1522" t="s">
        <v>1044</v>
      </c>
      <c r="C84" s="1576">
        <f>C81+C82+C83</f>
        <v>48479952.60242784</v>
      </c>
      <c r="D84" s="1544" t="s">
        <v>68</v>
      </c>
    </row>
    <row r="85" spans="2:10">
      <c r="B85" s="1522" t="s">
        <v>1045</v>
      </c>
      <c r="C85" s="1566">
        <v>1.8</v>
      </c>
      <c r="D85" s="1546"/>
    </row>
    <row r="86" spans="2:10">
      <c r="B86" s="1520" t="s">
        <v>1046</v>
      </c>
      <c r="C86" s="1523">
        <f>(C84-C80)/C80</f>
        <v>0.79999999999999993</v>
      </c>
      <c r="D86" s="1547"/>
    </row>
    <row r="87" spans="2:10">
      <c r="B87" s="1522" t="s">
        <v>1047</v>
      </c>
      <c r="C87" s="1565">
        <f>C86/10</f>
        <v>7.9999999999999988E-2</v>
      </c>
      <c r="D87" s="1547"/>
    </row>
    <row r="88" spans="2:10" ht="13.5" thickBot="1">
      <c r="B88" s="1524"/>
      <c r="C88" s="1525"/>
      <c r="D88" s="1548"/>
    </row>
    <row r="91" spans="2:10" ht="13.5" thickBot="1">
      <c r="B91" s="70" t="s">
        <v>1060</v>
      </c>
      <c r="G91" s="70" t="s">
        <v>1072</v>
      </c>
    </row>
    <row r="92" spans="2:10" ht="13.5" thickBot="1">
      <c r="B92" s="1517" t="s">
        <v>1042</v>
      </c>
      <c r="C92" s="1518"/>
      <c r="D92" s="1542"/>
      <c r="E92" s="70" t="s">
        <v>1058</v>
      </c>
      <c r="G92" s="1517" t="s">
        <v>1042</v>
      </c>
      <c r="H92" s="1518"/>
      <c r="I92" s="1542"/>
      <c r="J92" s="70" t="s">
        <v>1058</v>
      </c>
    </row>
    <row r="93" spans="2:10">
      <c r="B93" s="1519" t="s">
        <v>1056</v>
      </c>
      <c r="C93" s="1564">
        <f>C97/1.63</f>
        <v>55897619.807856657</v>
      </c>
      <c r="D93" s="1543"/>
      <c r="E93" s="1563" t="s">
        <v>288</v>
      </c>
      <c r="G93" s="1519" t="s">
        <v>1075</v>
      </c>
      <c r="H93" s="1564">
        <f>H97/1.63</f>
        <v>7739155.6737350132</v>
      </c>
      <c r="I93" s="1543"/>
      <c r="J93" s="1563" t="s">
        <v>288</v>
      </c>
    </row>
    <row r="94" spans="2:10" ht="15">
      <c r="B94" s="1520" t="s">
        <v>1057</v>
      </c>
      <c r="C94" s="1579">
        <f>SUMIFS(E42:AH42, E50:AH50, "&lt;=" &amp; VALUE(RIGHT(E93, LEN(E93)-FIND(" ", E93))))</f>
        <v>18994046.122836605</v>
      </c>
      <c r="D94" s="1544" t="s">
        <v>68</v>
      </c>
      <c r="G94" s="1520" t="s">
        <v>1076</v>
      </c>
      <c r="H94" s="1559">
        <f>SUMIFS(E43:AH43, E50:AH50, "&lt;=" &amp; VALUE(RIGHT(J93, LEN(J93)-FIND(" ", J93))))</f>
        <v>3351890.4922652841</v>
      </c>
      <c r="I94" s="1544" t="s">
        <v>68</v>
      </c>
    </row>
    <row r="95" spans="2:10">
      <c r="B95" s="1520" t="s">
        <v>1080</v>
      </c>
      <c r="C95" s="1567">
        <f>IF(GapCalc!D41*C42&lt; 0,0,GapCalc!D41*C42)</f>
        <v>29485906.479591232</v>
      </c>
      <c r="D95" s="1544" t="s">
        <v>68</v>
      </c>
      <c r="G95" s="1520" t="s">
        <v>1081</v>
      </c>
      <c r="H95" s="1567">
        <f>IF(GapCalc!D41*C43&lt; 0,0,GapCalc!D41*C43)</f>
        <v>5203395.261104336</v>
      </c>
      <c r="I95" s="1544" t="s">
        <v>68</v>
      </c>
    </row>
    <row r="96" spans="2:10">
      <c r="B96" s="1520" t="s">
        <v>1061</v>
      </c>
      <c r="C96" s="1567">
        <f>'Debt Calc'!H60</f>
        <v>42633167.684378497</v>
      </c>
      <c r="D96" s="1545">
        <v>0.9</v>
      </c>
      <c r="G96" s="1520" t="s">
        <v>1077</v>
      </c>
      <c r="H96" s="1567">
        <f>'Debt Calc'!E59*C43</f>
        <v>4059537.9948184518</v>
      </c>
      <c r="I96" s="1545">
        <v>0.9</v>
      </c>
    </row>
    <row r="97" spans="2:9">
      <c r="B97" s="1522" t="s">
        <v>1044</v>
      </c>
      <c r="C97" s="1576">
        <f>C94+C95+C96</f>
        <v>91113120.286806345</v>
      </c>
      <c r="D97" s="1544" t="s">
        <v>68</v>
      </c>
      <c r="G97" s="1522" t="s">
        <v>1044</v>
      </c>
      <c r="H97" s="1576">
        <f>H94+H95+H96</f>
        <v>12614823.748188071</v>
      </c>
      <c r="I97" s="1544" t="s">
        <v>68</v>
      </c>
    </row>
    <row r="98" spans="2:9">
      <c r="B98" s="1522" t="s">
        <v>1045</v>
      </c>
      <c r="C98" s="1570">
        <f>C97/C93</f>
        <v>1.63</v>
      </c>
      <c r="D98" s="1546"/>
      <c r="G98" s="1522" t="s">
        <v>1045</v>
      </c>
      <c r="H98" s="1570">
        <f>H97/H93</f>
        <v>1.63</v>
      </c>
      <c r="I98" s="1546"/>
    </row>
    <row r="99" spans="2:9">
      <c r="B99" s="1520" t="s">
        <v>1046</v>
      </c>
      <c r="C99" s="1523">
        <f>(C97-C93)/C93</f>
        <v>0.62999999999999989</v>
      </c>
      <c r="D99" s="1547"/>
      <c r="G99" s="1520" t="s">
        <v>1046</v>
      </c>
      <c r="H99" s="1523">
        <f>(H97-H93)/H93</f>
        <v>0.62999999999999989</v>
      </c>
      <c r="I99" s="1547"/>
    </row>
    <row r="100" spans="2:9">
      <c r="B100" s="1522" t="s">
        <v>1047</v>
      </c>
      <c r="C100" s="1565">
        <f>C99/7</f>
        <v>8.9999999999999983E-2</v>
      </c>
      <c r="D100" s="1547"/>
      <c r="G100" s="1522" t="s">
        <v>1047</v>
      </c>
      <c r="H100" s="1565">
        <f>H99/7</f>
        <v>8.9999999999999983E-2</v>
      </c>
      <c r="I100" s="1547"/>
    </row>
    <row r="101" spans="2:9" ht="13.5" thickBot="1">
      <c r="B101" s="1577" t="s">
        <v>1082</v>
      </c>
      <c r="C101" s="1580">
        <f>GapCalc!H33</f>
        <v>39576424.999999993</v>
      </c>
      <c r="D101" s="1548"/>
      <c r="G101" s="1577" t="s">
        <v>1084</v>
      </c>
      <c r="H101" s="1580">
        <f>GapCalc!H32</f>
        <v>6984075</v>
      </c>
      <c r="I101" s="1548"/>
    </row>
    <row r="102" spans="2:9">
      <c r="B102" s="70" t="s">
        <v>1083</v>
      </c>
      <c r="C102" s="1578">
        <f>(C97-C101)/C101</f>
        <v>1.3022069397831251</v>
      </c>
      <c r="G102" s="70" t="s">
        <v>1083</v>
      </c>
      <c r="H102" s="1578">
        <f>(H97-H101)/H101</f>
        <v>0.80622684438355419</v>
      </c>
    </row>
    <row r="103" spans="2:9">
      <c r="B103" s="70" t="s">
        <v>1047</v>
      </c>
      <c r="C103" s="1578">
        <f>C102/10</f>
        <v>0.13022069397831251</v>
      </c>
      <c r="G103" s="70" t="s">
        <v>1047</v>
      </c>
      <c r="H103" s="1578">
        <f>H102/10</f>
        <v>8.0622684438355421E-2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3" zoomScale="70" zoomScaleNormal="70" workbookViewId="0">
      <selection activeCell="G51" sqref="G51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49"/>
      <c r="F10" s="855"/>
      <c r="G10" s="944"/>
      <c r="H10" s="872"/>
      <c r="I10" s="1550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203810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1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40762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244572</v>
      </c>
      <c r="D14" s="884"/>
      <c r="E14" s="855"/>
      <c r="F14" s="855"/>
      <c r="G14" s="855"/>
      <c r="H14" s="872"/>
      <c r="I14" s="1552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3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0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244572</v>
      </c>
      <c r="D19" s="855"/>
      <c r="E19" s="855"/>
      <c r="F19" s="855"/>
      <c r="G19" s="855"/>
      <c r="H19" s="872"/>
      <c r="I19" s="1554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244572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2"/>
      <c r="M45" s="1392"/>
      <c r="N45" s="1392"/>
      <c r="O45" s="1392"/>
      <c r="P45" s="1392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6" t="s">
        <v>970</v>
      </c>
      <c r="M46" s="1398">
        <f>'Rental Income'!D15</f>
        <v>251</v>
      </c>
      <c r="N46" s="1393"/>
      <c r="O46" s="1393"/>
      <c r="P46" s="1393"/>
      <c r="Q46" s="855"/>
    </row>
    <row r="47" spans="1:18">
      <c r="A47" s="889"/>
      <c r="B47" s="888" t="s">
        <v>674</v>
      </c>
      <c r="C47" s="916">
        <f>ROUNDDOWN(M46*M47,1)</f>
        <v>125.5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7" t="s">
        <v>971</v>
      </c>
      <c r="M47" s="1399">
        <v>0.5</v>
      </c>
      <c r="N47" s="1394"/>
      <c r="O47" s="1395"/>
      <c r="P47" s="1394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125.5</v>
      </c>
      <c r="D49" s="876"/>
      <c r="E49" s="855" t="s">
        <v>577</v>
      </c>
      <c r="F49" s="855"/>
      <c r="G49" s="923">
        <v>143</v>
      </c>
      <c r="H49" s="884">
        <f>C53*D53</f>
        <v>50068.038461538468</v>
      </c>
      <c r="I49" s="884">
        <f>G49*H49</f>
        <v>7159729.5000000009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50068.038461538468</v>
      </c>
      <c r="I51" s="930">
        <f>SUM(I48:I50)</f>
        <v>7159729.5000000009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126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7159729.5000000009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126</v>
      </c>
      <c r="D55" s="855"/>
      <c r="E55" s="855"/>
      <c r="F55" s="937"/>
      <c r="G55" s="855"/>
      <c r="H55" s="872" t="s">
        <v>685</v>
      </c>
      <c r="I55" s="939">
        <f>SUM(I53:I54)</f>
        <v>7159729.5000000009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-0.5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6524805.4870282933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121158801.74069557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121158800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55910746.067138895</v>
      </c>
    </row>
    <row r="15" spans="2:36">
      <c r="B15" s="556"/>
      <c r="C15" s="560" t="s">
        <v>634</v>
      </c>
      <c r="H15" s="561">
        <f>12*PMT(Data!C24/12,Data!C29*12,-'Debt Calc'!H14)</f>
        <v>6524805.3932861146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-38338826.533660904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-38338826.533660904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121158800</v>
      </c>
      <c r="E21" s="561">
        <f>$H$15</f>
        <v>6524805.3932861146</v>
      </c>
      <c r="F21" s="561">
        <f>E21-G21</f>
        <v>0</v>
      </c>
      <c r="G21" s="561">
        <f>D21-H21</f>
        <v>6524805.393286109</v>
      </c>
      <c r="H21" s="561">
        <f>D21-E21</f>
        <v>114633994.60671389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114633994.60671389</v>
      </c>
      <c r="E22" s="561">
        <f t="shared" ref="E22:E50" si="1">$H$15</f>
        <v>6524805.3932861146</v>
      </c>
      <c r="F22" s="561">
        <f t="shared" ref="F22:F50" si="2">E22-G22</f>
        <v>0</v>
      </c>
      <c r="G22" s="561">
        <f t="shared" ref="G22:G50" si="3">D22-H22</f>
        <v>6524805.393286109</v>
      </c>
      <c r="H22" s="561">
        <f t="shared" ref="H22:H39" si="4">D22-E22</f>
        <v>108109189.21342778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108109189.21342778</v>
      </c>
      <c r="E23" s="561">
        <f t="shared" si="1"/>
        <v>6524805.3932861146</v>
      </c>
      <c r="F23" s="561">
        <f t="shared" si="2"/>
        <v>0</v>
      </c>
      <c r="G23" s="561">
        <f t="shared" si="3"/>
        <v>6524805.393286109</v>
      </c>
      <c r="H23" s="561">
        <f t="shared" si="4"/>
        <v>101584383.82014167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101584383.82014167</v>
      </c>
      <c r="E24" s="561">
        <f t="shared" si="1"/>
        <v>6524805.3932861146</v>
      </c>
      <c r="F24" s="561">
        <f t="shared" si="2"/>
        <v>0</v>
      </c>
      <c r="G24" s="561">
        <f t="shared" si="3"/>
        <v>6524805.393286109</v>
      </c>
      <c r="H24" s="561">
        <f t="shared" si="4"/>
        <v>95059578.426855564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95059578.426855564</v>
      </c>
      <c r="E25" s="561">
        <f t="shared" si="1"/>
        <v>6524805.3932861146</v>
      </c>
      <c r="F25" s="561">
        <f t="shared" si="2"/>
        <v>0</v>
      </c>
      <c r="G25" s="561">
        <f t="shared" si="3"/>
        <v>6524805.393286109</v>
      </c>
      <c r="H25" s="561">
        <f t="shared" si="4"/>
        <v>88534773.033569455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88534773.033569455</v>
      </c>
      <c r="E26" s="561">
        <f t="shared" si="1"/>
        <v>6524805.3932861146</v>
      </c>
      <c r="F26" s="561">
        <f t="shared" si="2"/>
        <v>0</v>
      </c>
      <c r="G26" s="561">
        <f t="shared" si="3"/>
        <v>6524805.393286109</v>
      </c>
      <c r="H26" s="561">
        <f t="shared" si="4"/>
        <v>82009967.640283346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82009967.640283346</v>
      </c>
      <c r="E27" s="561">
        <f t="shared" si="1"/>
        <v>6524805.3932861146</v>
      </c>
      <c r="F27" s="561">
        <f t="shared" si="2"/>
        <v>0</v>
      </c>
      <c r="G27" s="561">
        <f t="shared" si="3"/>
        <v>6524805.393286109</v>
      </c>
      <c r="H27" s="561">
        <f t="shared" si="4"/>
        <v>75485162.246997237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75485162.246997237</v>
      </c>
      <c r="E28" s="561">
        <f t="shared" si="1"/>
        <v>6524805.3932861146</v>
      </c>
      <c r="F28" s="561">
        <f t="shared" si="2"/>
        <v>0</v>
      </c>
      <c r="G28" s="561">
        <f t="shared" si="3"/>
        <v>6524805.393286109</v>
      </c>
      <c r="H28" s="561">
        <f t="shared" si="4"/>
        <v>68960356.853711128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68960356.853711128</v>
      </c>
      <c r="E29" s="561">
        <f t="shared" si="1"/>
        <v>6524805.3932861146</v>
      </c>
      <c r="F29" s="561">
        <f t="shared" si="2"/>
        <v>0</v>
      </c>
      <c r="G29" s="561">
        <f t="shared" si="3"/>
        <v>6524805.3932861164</v>
      </c>
      <c r="H29" s="561">
        <f t="shared" si="4"/>
        <v>62435551.460425012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62435551.460425012</v>
      </c>
      <c r="E30" s="561">
        <f t="shared" si="1"/>
        <v>6524805.3932861146</v>
      </c>
      <c r="F30" s="561">
        <f t="shared" si="2"/>
        <v>0</v>
      </c>
      <c r="G30" s="561">
        <f t="shared" si="3"/>
        <v>6524805.3932861164</v>
      </c>
      <c r="H30" s="561">
        <f>D30-E30</f>
        <v>55910746.067138895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55910746.067138895</v>
      </c>
      <c r="E31" s="561">
        <f t="shared" si="1"/>
        <v>6524805.3932861146</v>
      </c>
      <c r="F31" s="561">
        <f t="shared" si="2"/>
        <v>0</v>
      </c>
      <c r="G31" s="561">
        <f t="shared" si="3"/>
        <v>6524805.3932861164</v>
      </c>
      <c r="H31" s="561">
        <f t="shared" si="4"/>
        <v>49385940.673852779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49385940.673852779</v>
      </c>
      <c r="E32" s="561">
        <f t="shared" si="1"/>
        <v>6524805.3932861146</v>
      </c>
      <c r="F32" s="561">
        <f t="shared" si="2"/>
        <v>0</v>
      </c>
      <c r="G32" s="561">
        <f t="shared" si="3"/>
        <v>6524805.3932861164</v>
      </c>
      <c r="H32" s="561">
        <f t="shared" si="4"/>
        <v>42861135.280566663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42861135.280566663</v>
      </c>
      <c r="E33" s="561">
        <f t="shared" si="1"/>
        <v>6524805.3932861146</v>
      </c>
      <c r="F33" s="561">
        <f t="shared" si="2"/>
        <v>0</v>
      </c>
      <c r="G33" s="561">
        <f t="shared" si="3"/>
        <v>6524805.3932861164</v>
      </c>
      <c r="H33" s="561">
        <f t="shared" si="4"/>
        <v>36336329.887280546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36336329.887280546</v>
      </c>
      <c r="E34" s="561">
        <f t="shared" si="1"/>
        <v>6524805.3932861146</v>
      </c>
      <c r="F34" s="561">
        <f t="shared" si="2"/>
        <v>0</v>
      </c>
      <c r="G34" s="561">
        <f t="shared" si="3"/>
        <v>6524805.3932861164</v>
      </c>
      <c r="H34" s="561">
        <f t="shared" si="4"/>
        <v>29811524.49399443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29811524.49399443</v>
      </c>
      <c r="E35" s="561">
        <f t="shared" si="1"/>
        <v>6524805.3932861146</v>
      </c>
      <c r="F35" s="561">
        <f t="shared" si="2"/>
        <v>0</v>
      </c>
      <c r="G35" s="561">
        <f t="shared" si="3"/>
        <v>6524805.3932861164</v>
      </c>
      <c r="H35" s="561">
        <f t="shared" si="4"/>
        <v>23286719.100708313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23286719.100708313</v>
      </c>
      <c r="E36" s="561">
        <f t="shared" si="1"/>
        <v>6524805.3932861146</v>
      </c>
      <c r="F36" s="561">
        <f t="shared" si="2"/>
        <v>0</v>
      </c>
      <c r="G36" s="561">
        <f t="shared" si="3"/>
        <v>6524805.3932861146</v>
      </c>
      <c r="H36" s="561">
        <f t="shared" si="4"/>
        <v>16761913.707422199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16761913.707422199</v>
      </c>
      <c r="E37" s="561">
        <f t="shared" si="1"/>
        <v>6524805.3932861146</v>
      </c>
      <c r="F37" s="561">
        <f t="shared" si="2"/>
        <v>0</v>
      </c>
      <c r="G37" s="561">
        <f t="shared" si="3"/>
        <v>6524805.3932861146</v>
      </c>
      <c r="H37" s="561">
        <f t="shared" si="4"/>
        <v>10237108.314136084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10237108.314136084</v>
      </c>
      <c r="E38" s="561">
        <f t="shared" si="1"/>
        <v>6524805.3932861146</v>
      </c>
      <c r="F38" s="561">
        <f t="shared" si="2"/>
        <v>0</v>
      </c>
      <c r="G38" s="561">
        <f t="shared" si="3"/>
        <v>6524805.3932861146</v>
      </c>
      <c r="H38" s="561">
        <f>D38-E38</f>
        <v>3712302.9208499696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3712302.9208499696</v>
      </c>
      <c r="E39" s="561">
        <f t="shared" si="1"/>
        <v>6524805.3932861146</v>
      </c>
      <c r="F39" s="561">
        <f t="shared" si="2"/>
        <v>0</v>
      </c>
      <c r="G39" s="561">
        <f t="shared" si="3"/>
        <v>6524805.3932861146</v>
      </c>
      <c r="H39" s="561">
        <f t="shared" si="4"/>
        <v>-2812502.4724361449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-2812502.4724361449</v>
      </c>
      <c r="E40" s="561">
        <f t="shared" si="1"/>
        <v>6524805.3932861146</v>
      </c>
      <c r="F40" s="561">
        <f t="shared" si="2"/>
        <v>9337307.8657222595</v>
      </c>
      <c r="G40" s="561">
        <f t="shared" si="3"/>
        <v>-2812502.4724361449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6524805.3932861146</v>
      </c>
      <c r="F41" s="561">
        <f t="shared" si="2"/>
        <v>6524805.3932861146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6524805.3932861146</v>
      </c>
      <c r="F42" s="561">
        <f t="shared" si="2"/>
        <v>6524805.3932861146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6524805.3932861146</v>
      </c>
      <c r="F43" s="561">
        <f t="shared" si="2"/>
        <v>6524805.3932861146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6524805.3932861146</v>
      </c>
      <c r="F44" s="561">
        <f t="shared" si="2"/>
        <v>6524805.3932861146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6524805.3932861146</v>
      </c>
      <c r="F45" s="561">
        <f t="shared" si="2"/>
        <v>6524805.3932861146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6524805.3932861146</v>
      </c>
      <c r="F46" s="561">
        <f t="shared" si="2"/>
        <v>6524805.3932861146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6524805.3932861146</v>
      </c>
      <c r="F47" s="561">
        <f t="shared" si="2"/>
        <v>6524805.3932861146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6524805.3932861146</v>
      </c>
      <c r="F48" s="561">
        <f t="shared" si="2"/>
        <v>6524805.3932861146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6524805.3932861146</v>
      </c>
      <c r="F49" s="561">
        <f t="shared" si="2"/>
        <v>6524805.3932861146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6524805.3932861146</v>
      </c>
      <c r="F50" s="561">
        <f t="shared" si="2"/>
        <v>6524805.3932861146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1079</v>
      </c>
      <c r="E54" s="1657"/>
      <c r="F54" s="561"/>
      <c r="G54" s="1658" t="s">
        <v>1090</v>
      </c>
      <c r="H54" s="1659"/>
    </row>
    <row r="55" spans="2:28">
      <c r="D55" s="1655" t="s">
        <v>1066</v>
      </c>
      <c r="E55" s="1664">
        <f>'Cash Flow'!K15/0.05</f>
        <v>239868082.75083497</v>
      </c>
      <c r="F55" s="561"/>
      <c r="G55" s="1663" t="s">
        <v>1066</v>
      </c>
      <c r="H55" s="1667">
        <f>'Cash Flow'!N15/0.05</f>
        <v>258311689.55109826</v>
      </c>
    </row>
    <row r="56" spans="2:28">
      <c r="D56" s="1653" t="s">
        <v>1067</v>
      </c>
      <c r="E56" s="1665">
        <f>'Cash Flow'!K21/1.2</f>
        <v>7553340.4169184947</v>
      </c>
      <c r="F56" s="561"/>
      <c r="G56" s="1661" t="s">
        <v>1067</v>
      </c>
      <c r="H56" s="1668">
        <f>'Cash Flow'!N21/1.2</f>
        <v>8122371.264482948</v>
      </c>
    </row>
    <row r="57" spans="2:28">
      <c r="D57" s="1653" t="s">
        <v>1068</v>
      </c>
      <c r="E57" s="1665">
        <f>E55*0.6</f>
        <v>143920849.65050098</v>
      </c>
      <c r="F57" s="561"/>
      <c r="G57" s="1661" t="s">
        <v>1068</v>
      </c>
      <c r="H57" s="1668">
        <f>H55*0.6</f>
        <v>154987013.73065895</v>
      </c>
    </row>
    <row r="58" spans="2:28">
      <c r="D58" s="1653" t="s">
        <v>1069</v>
      </c>
      <c r="E58" s="1665">
        <f>-PV(6.5%,34,E56)</f>
        <v>102548748.87912025</v>
      </c>
      <c r="F58" s="561"/>
      <c r="G58" s="1661" t="s">
        <v>1069</v>
      </c>
      <c r="H58" s="1668">
        <f>-PV(6.5%,30,H56)</f>
        <v>106067413.9311136</v>
      </c>
    </row>
    <row r="59" spans="2:28">
      <c r="D59" s="1652" t="s">
        <v>1070</v>
      </c>
      <c r="E59" s="1665">
        <f>E58-H27</f>
        <v>27063586.632123008</v>
      </c>
      <c r="F59" s="561"/>
      <c r="G59" s="1660" t="s">
        <v>1070</v>
      </c>
      <c r="H59" s="1668">
        <f>H58-H30</f>
        <v>50156667.863974705</v>
      </c>
    </row>
    <row r="60" spans="2:28" ht="13.5" thickBot="1">
      <c r="D60" s="1654" t="s">
        <v>1071</v>
      </c>
      <c r="E60" s="1666">
        <f>E59*GapCalc!I33</f>
        <v>23004048.637304556</v>
      </c>
      <c r="F60" s="561"/>
      <c r="G60" s="1662" t="s">
        <v>1071</v>
      </c>
      <c r="H60" s="1669">
        <f>H59*GapCalc!I33</f>
        <v>42633167.684378497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0" t="s">
        <v>973</v>
      </c>
      <c r="C3" s="1414">
        <f>'Development Budget'!E18</f>
        <v>16380000</v>
      </c>
      <c r="D3" s="1401" t="s">
        <v>975</v>
      </c>
      <c r="E3" s="1412">
        <v>1.199398E-2</v>
      </c>
    </row>
    <row r="4" spans="1:5" ht="31.5">
      <c r="B4" s="1402" t="s">
        <v>974</v>
      </c>
      <c r="C4" s="1415">
        <f>SUM('Development Budget'!G31+'Development Budget'!G32)</f>
        <v>80531329.5</v>
      </c>
      <c r="D4" s="1403" t="s">
        <v>976</v>
      </c>
      <c r="E4" s="1413">
        <v>1.199398E-2</v>
      </c>
    </row>
    <row r="5" spans="1:5">
      <c r="B5" s="1314"/>
      <c r="C5" s="1314"/>
      <c r="D5" s="1314"/>
      <c r="E5" s="1314"/>
    </row>
    <row r="6" spans="1:5" ht="31.5">
      <c r="A6" s="1406"/>
      <c r="B6" s="1401" t="s">
        <v>977</v>
      </c>
      <c r="C6" s="1401" t="s">
        <v>978</v>
      </c>
      <c r="D6" s="1404" t="s">
        <v>979</v>
      </c>
      <c r="E6" s="1314"/>
    </row>
    <row r="7" spans="1:5">
      <c r="A7" s="1407"/>
      <c r="B7" s="1416">
        <f>C3*E3</f>
        <v>196461.39239999998</v>
      </c>
      <c r="C7" s="1416">
        <f>C4*E4</f>
        <v>965891.15539640991</v>
      </c>
      <c r="D7" s="1408">
        <f>(1-'Rental Income'!O19)</f>
        <v>0.80079681274900394</v>
      </c>
    </row>
    <row r="8" spans="1:5">
      <c r="A8" s="1409" t="s">
        <v>980</v>
      </c>
      <c r="B8" s="1416">
        <f>B7*D7</f>
        <v>157325.65686215137</v>
      </c>
      <c r="C8" s="1416">
        <f>C7*D7</f>
        <v>773482.55870389799</v>
      </c>
      <c r="D8" s="1410"/>
    </row>
    <row r="9" spans="1:5">
      <c r="A9" s="1407"/>
      <c r="B9" s="1416"/>
      <c r="C9" s="1416"/>
      <c r="D9" s="1410"/>
    </row>
    <row r="10" spans="1:5">
      <c r="A10" s="1411" t="s">
        <v>981</v>
      </c>
      <c r="B10" s="1417">
        <f>SUM(B8:C8)</f>
        <v>930808.21556604933</v>
      </c>
      <c r="C10" s="1417"/>
      <c r="D10" s="1405"/>
    </row>
    <row r="12" spans="1:5">
      <c r="A12" t="s">
        <v>990</v>
      </c>
    </row>
    <row r="13" spans="1:5">
      <c r="A13" t="s">
        <v>991</v>
      </c>
      <c r="B13">
        <v>6</v>
      </c>
      <c r="C13" s="1424">
        <f>C3*(E3/12)*B13</f>
        <v>98230.696200000006</v>
      </c>
    </row>
    <row r="14" spans="1:5">
      <c r="A14" t="s">
        <v>992</v>
      </c>
      <c r="B14">
        <v>24</v>
      </c>
      <c r="C14" s="1424">
        <f>C3*(E3/12)*B14</f>
        <v>392922.78480000002</v>
      </c>
    </row>
    <row r="15" spans="1:5">
      <c r="A15" s="40" t="s">
        <v>994</v>
      </c>
      <c r="C15" s="1427">
        <f>SUM(C13+C14)</f>
        <v>491153.48100000003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251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10880604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-544309.20000000007</v>
      </c>
      <c r="E18" s="50"/>
      <c r="F18" s="55">
        <v>0.05</v>
      </c>
    </row>
    <row r="19" spans="1:25">
      <c r="A19" s="40" t="s">
        <v>165</v>
      </c>
      <c r="D19" s="57">
        <f>SUM(D15:D18)</f>
        <v>10341874.800000001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1882.5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130911.5</v>
      </c>
      <c r="E22" s="48">
        <v>1043</v>
      </c>
      <c r="F22" s="453" t="s">
        <v>172</v>
      </c>
      <c r="N22" s="428">
        <f>D22*0.8</f>
        <v>104729.20000000001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38764.44</v>
      </c>
      <c r="Y22" s="688">
        <f>T22/5</f>
        <v>154.44</v>
      </c>
    </row>
    <row r="23" spans="1:25">
      <c r="B23" t="s">
        <v>174</v>
      </c>
      <c r="D23" s="48">
        <f>(E23*$D$10-20)/2</f>
        <v>167407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23373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120941.28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1506</v>
      </c>
      <c r="Y25" s="688">
        <f>T25/5</f>
        <v>6</v>
      </c>
    </row>
    <row r="26" spans="1:25">
      <c r="A26" s="40" t="s">
        <v>183</v>
      </c>
      <c r="D26" s="51">
        <f>SUM(D22:D25)</f>
        <v>442632.78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46686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25100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100400</v>
      </c>
      <c r="Y30">
        <v>400</v>
      </c>
    </row>
    <row r="31" spans="1:25">
      <c r="B31" t="s">
        <v>192</v>
      </c>
      <c r="D31" s="48">
        <f>E31*$D$10</f>
        <v>41164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196854.04</v>
      </c>
    </row>
    <row r="32" spans="1:25">
      <c r="A32" s="42"/>
      <c r="B32" s="43" t="s">
        <v>194</v>
      </c>
      <c r="C32" s="43"/>
      <c r="D32" s="50">
        <f>E32*$D$10</f>
        <v>7530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120480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11295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29283.333333333336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133030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11295</v>
      </c>
      <c r="Y36" s="688">
        <f>T36/6</f>
        <v>45</v>
      </c>
    </row>
    <row r="37" spans="1:25">
      <c r="B37" t="s">
        <v>202</v>
      </c>
      <c r="D37" s="48">
        <f>E37*$D$10</f>
        <v>198290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31375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105671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83248.333333333343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436991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92619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66716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99396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34136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213350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13805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389727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8">
        <f>'Tax Calc'!B10</f>
        <v>930808.21556604933</v>
      </c>
      <c r="Y56" s="1308">
        <f>X56/'Rental Income'!D15</f>
        <v>3708.3992652033839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438.01686884462151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7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1938.0168688446215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210840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159.36254980079681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1003392.3488993827</v>
      </c>
    </row>
    <row r="65" spans="1:25">
      <c r="B65" t="s">
        <v>250</v>
      </c>
      <c r="D65" s="48">
        <f>E65*$D$10</f>
        <v>37650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300490</v>
      </c>
      <c r="E67" s="48">
        <f>SUM(E62:E66)</f>
        <v>1334.3625498007968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75300</v>
      </c>
      <c r="E69" s="426">
        <v>300</v>
      </c>
    </row>
    <row r="70" spans="1:25">
      <c r="V70" s="40" t="s">
        <v>256</v>
      </c>
      <c r="X70" s="1306">
        <f>SUM(X68,X64,X54,X39,X31)</f>
        <v>1449735.7222327159</v>
      </c>
      <c r="Y70" s="1306">
        <f>X70/D10</f>
        <v>5775.8395308076333</v>
      </c>
    </row>
    <row r="71" spans="1:25">
      <c r="A71" s="40" t="s">
        <v>257</v>
      </c>
      <c r="D71" s="48">
        <f>E71*$D$10</f>
        <v>125500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2160398.0140800001</v>
      </c>
      <c r="E73" s="52">
        <f>E71+E69+E67+E54+E59+E45+E43+E41+E33+E26</f>
        <v>11625.379418645418</v>
      </c>
      <c r="G73" s="147"/>
      <c r="H73">
        <f>('Operating Budget'!D73-'Operating Budget'!D69-'Operating Budget'!D57)*-1</f>
        <v>-2085098.0140800001</v>
      </c>
      <c r="Y73" s="1308">
        <f>Y70-6000</f>
        <v>-224.16046919236669</v>
      </c>
    </row>
    <row r="75" spans="1:25">
      <c r="A75" s="44" t="s">
        <v>260</v>
      </c>
      <c r="B75" s="45"/>
      <c r="C75" s="45"/>
      <c r="D75" s="52">
        <f>D19-D73</f>
        <v>8181476.7859200006</v>
      </c>
      <c r="E75" s="52">
        <f>D75/D10</f>
        <v>32595.525043505979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244572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100814161.87499999</v>
      </c>
      <c r="C7" s="465">
        <f>'Dev Summary_5-20'!B8</f>
        <v>3190331</v>
      </c>
      <c r="D7" s="465">
        <f t="shared" ref="D7:D14" si="0">B7-C7</f>
        <v>97623830.874999985</v>
      </c>
      <c r="E7" s="477">
        <f t="shared" ref="E7:E15" si="1">D7/B7</f>
        <v>0.96835433692385686</v>
      </c>
      <c r="F7" s="477"/>
      <c r="G7" s="472" t="e">
        <f t="shared" ref="G7:G14" si="2">B7/$B$15</f>
        <v>#REF!</v>
      </c>
      <c r="I7" s="147">
        <f>B7/$H$4</f>
        <v>916492.380681818</v>
      </c>
      <c r="J7" s="53">
        <f>B7/$H$5</f>
        <v>412.20647447377451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367142.69850430451</v>
      </c>
      <c r="C9" s="446">
        <f>'Dev Summary_5-20'!B10</f>
        <v>50000</v>
      </c>
      <c r="D9" s="446">
        <f t="shared" si="0"/>
        <v>317142.69850430451</v>
      </c>
      <c r="E9" s="477">
        <f t="shared" si="1"/>
        <v>0.86381317072709318</v>
      </c>
      <c r="F9" s="477"/>
      <c r="G9" s="473" t="e">
        <f t="shared" si="2"/>
        <v>#REF!</v>
      </c>
      <c r="I9" s="53">
        <f t="shared" si="3"/>
        <v>3337.6608954936773</v>
      </c>
      <c r="J9" s="53">
        <f t="shared" si="4"/>
        <v>1.5011640682674408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0.13084081579248646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491153.48100000003</v>
      </c>
      <c r="C12" s="446">
        <f>'Dev Summary_5-20'!B13</f>
        <v>2500000</v>
      </c>
      <c r="D12" s="446">
        <f t="shared" si="0"/>
        <v>-2008846.5189999999</v>
      </c>
      <c r="E12" s="477">
        <f t="shared" si="1"/>
        <v>-4.0900586002362056</v>
      </c>
      <c r="F12" s="477"/>
      <c r="G12" s="473" t="e">
        <f t="shared" si="2"/>
        <v>#REF!</v>
      </c>
      <c r="I12" s="53">
        <f t="shared" si="3"/>
        <v>4465.0316454545455</v>
      </c>
      <c r="J12" s="53">
        <f t="shared" si="4"/>
        <v>2.0082163166674847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3961399</v>
      </c>
      <c r="C14" s="467">
        <f>'Dev Summary_5-20'!B14</f>
        <v>282276.62941911275</v>
      </c>
      <c r="D14" s="467">
        <f t="shared" si="0"/>
        <v>3679122.3705808874</v>
      </c>
      <c r="E14" s="478">
        <f t="shared" si="1"/>
        <v>0.92874319667897309</v>
      </c>
      <c r="F14" s="478"/>
      <c r="G14" s="474" t="e">
        <f t="shared" si="2"/>
        <v>#REF!</v>
      </c>
      <c r="I14" s="53">
        <f t="shared" si="3"/>
        <v>36012.718181818185</v>
      </c>
      <c r="J14" s="53">
        <f t="shared" si="4"/>
        <v>16.197271151235629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121158801.74069557</v>
      </c>
      <c r="C21" s="48">
        <v>18731659</v>
      </c>
      <c r="D21" s="48">
        <f>B21-C21</f>
        <v>102427142.74069557</v>
      </c>
      <c r="E21" s="55">
        <f>D21/B21</f>
        <v>0.84539580508488721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34689301.740695566</v>
      </c>
      <c r="C28" s="50"/>
      <c r="D28" s="50">
        <f t="shared" si="5"/>
        <v>34689301.740695566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4" t="s">
        <v>1004</v>
      </c>
      <c r="B1" s="1445"/>
      <c r="C1" s="1445"/>
      <c r="D1" s="1445"/>
      <c r="E1" s="1445"/>
      <c r="F1" s="1445"/>
      <c r="G1" s="1445"/>
      <c r="H1" s="1445"/>
      <c r="I1" s="1445"/>
      <c r="J1" s="1445"/>
      <c r="K1" s="1446"/>
    </row>
    <row r="2" spans="1:11" ht="18.75" thickBot="1">
      <c r="A2" s="1447" t="s">
        <v>1005</v>
      </c>
      <c r="B2" s="1448"/>
      <c r="C2" s="1448"/>
      <c r="D2" s="1448"/>
      <c r="E2" s="1448"/>
      <c r="F2" s="1448"/>
      <c r="G2" s="1448"/>
      <c r="H2" s="1448"/>
      <c r="I2" s="1448"/>
      <c r="J2" s="1448"/>
      <c r="K2" s="1449"/>
    </row>
    <row r="3" spans="1:11">
      <c r="A3" s="1450" t="s">
        <v>1006</v>
      </c>
      <c r="B3" s="1451" t="s">
        <v>1089</v>
      </c>
      <c r="C3" s="1452"/>
      <c r="D3" s="1452" t="s">
        <v>1007</v>
      </c>
      <c r="E3" s="1452"/>
      <c r="F3" s="1452"/>
      <c r="G3" s="1452"/>
      <c r="H3" s="1452"/>
      <c r="I3" s="1452"/>
      <c r="J3" s="1452"/>
      <c r="K3" s="1453"/>
    </row>
    <row r="4" spans="1:11">
      <c r="A4" s="1454" t="s">
        <v>1008</v>
      </c>
      <c r="B4" s="1455" t="s">
        <v>1009</v>
      </c>
      <c r="C4" s="1456"/>
      <c r="D4" s="1456"/>
      <c r="E4" s="1456" t="s">
        <v>1010</v>
      </c>
      <c r="F4" s="1456"/>
      <c r="G4" s="1457"/>
      <c r="H4" s="1456"/>
      <c r="I4" s="1456"/>
      <c r="J4" s="1456"/>
      <c r="K4" s="1458"/>
    </row>
    <row r="5" spans="1:11" ht="16.5" thickBot="1">
      <c r="A5" s="1454"/>
      <c r="B5" s="1456"/>
      <c r="C5" s="1456" t="s">
        <v>1011</v>
      </c>
      <c r="D5" s="1456"/>
      <c r="E5" s="1456"/>
      <c r="F5" s="1456"/>
      <c r="G5" s="1456"/>
      <c r="H5" s="1456"/>
      <c r="I5" s="1459" t="s">
        <v>1012</v>
      </c>
      <c r="J5" s="1456"/>
      <c r="K5" s="1458"/>
    </row>
    <row r="6" spans="1:11" ht="16.5" thickBot="1">
      <c r="A6" s="1460" t="s">
        <v>1013</v>
      </c>
      <c r="B6" s="1461"/>
      <c r="C6" s="1462">
        <v>20</v>
      </c>
      <c r="D6" s="1461"/>
      <c r="E6" s="1461" t="s">
        <v>1014</v>
      </c>
      <c r="F6" s="1461"/>
      <c r="G6" s="1461"/>
      <c r="H6" s="1463">
        <f>'Development Budget'!G46+'Development Budget'!G47</f>
        <v>110895578.06249999</v>
      </c>
      <c r="I6" s="1464"/>
      <c r="J6" s="1465"/>
      <c r="K6" s="1466"/>
    </row>
    <row r="7" spans="1:11">
      <c r="A7" s="1467" t="s">
        <v>1015</v>
      </c>
      <c r="B7" s="1468"/>
      <c r="C7" s="1469"/>
      <c r="D7" s="1468"/>
      <c r="E7" s="1468"/>
      <c r="F7" s="1468"/>
      <c r="G7" s="1468"/>
      <c r="H7" s="1468"/>
      <c r="I7" s="1468"/>
      <c r="J7" s="1468"/>
      <c r="K7" s="1470"/>
    </row>
    <row r="8" spans="1:11">
      <c r="A8" s="1471" t="s">
        <v>1016</v>
      </c>
      <c r="B8" s="1469"/>
      <c r="C8" s="1469"/>
      <c r="D8" s="1472">
        <f>SUM(H6/1000)*0.9+500</f>
        <v>100306.02025624999</v>
      </c>
      <c r="E8" s="1469"/>
      <c r="F8" s="1469"/>
      <c r="G8" s="1469"/>
      <c r="H8" s="1469"/>
      <c r="I8" s="1469"/>
      <c r="J8" s="1469"/>
      <c r="K8" s="1473"/>
    </row>
    <row r="9" spans="1:11">
      <c r="A9" s="1471"/>
      <c r="B9" s="1469"/>
      <c r="C9" s="1469"/>
      <c r="D9" s="1472"/>
      <c r="E9" s="1469"/>
      <c r="F9" s="1469"/>
      <c r="G9" s="1469"/>
      <c r="H9" s="1469"/>
      <c r="I9" s="1469"/>
      <c r="J9" s="1469"/>
      <c r="K9" s="1473"/>
    </row>
    <row r="10" spans="1:11">
      <c r="A10" s="1471" t="s">
        <v>1017</v>
      </c>
      <c r="B10" s="1469"/>
      <c r="C10" s="1469"/>
      <c r="D10" s="1472"/>
      <c r="E10" s="1469"/>
      <c r="F10" s="1469"/>
      <c r="G10" s="1469"/>
      <c r="H10" s="1469"/>
      <c r="I10" s="1469"/>
      <c r="J10" s="1469"/>
      <c r="K10" s="1473"/>
    </row>
    <row r="11" spans="1:11">
      <c r="A11" s="1474">
        <v>4000000</v>
      </c>
      <c r="B11" s="1469"/>
      <c r="C11" s="1469"/>
      <c r="D11" s="1472">
        <f>SUM(D8*0.9)</f>
        <v>90275.418230625</v>
      </c>
      <c r="E11" s="1469"/>
      <c r="F11" s="1469"/>
      <c r="G11" s="1469"/>
      <c r="H11" s="1469"/>
      <c r="I11" s="1469"/>
      <c r="J11" s="1469"/>
      <c r="K11" s="1473"/>
    </row>
    <row r="12" spans="1:11">
      <c r="A12" s="1471"/>
      <c r="B12" s="1469"/>
      <c r="C12" s="1469"/>
      <c r="D12" s="1472"/>
      <c r="E12" s="1469"/>
      <c r="F12" s="1469"/>
      <c r="G12" s="1469"/>
      <c r="H12" s="1469"/>
      <c r="I12" s="1469"/>
      <c r="J12" s="1469"/>
      <c r="K12" s="1473"/>
    </row>
    <row r="13" spans="1:11">
      <c r="A13" s="1471" t="s">
        <v>1018</v>
      </c>
      <c r="B13" s="1469"/>
      <c r="C13" s="1469"/>
      <c r="D13" s="1472">
        <f>SUM(A14+A15+A16)/100*0.415/12*C6</f>
        <v>799155.66493229149</v>
      </c>
      <c r="E13" s="1469"/>
      <c r="F13" s="1469"/>
      <c r="G13" s="1469"/>
      <c r="H13" s="1469"/>
      <c r="I13" s="1469"/>
      <c r="J13" s="1469"/>
      <c r="K13" s="1473"/>
    </row>
    <row r="14" spans="1:11">
      <c r="A14" s="1475">
        <f>H6</f>
        <v>110895578.06249999</v>
      </c>
      <c r="B14" s="1469" t="s">
        <v>1019</v>
      </c>
      <c r="C14" s="1469"/>
      <c r="D14" s="1472"/>
      <c r="E14" s="1469"/>
      <c r="F14" s="1469"/>
      <c r="G14" s="1469"/>
      <c r="H14" s="1469"/>
      <c r="I14" s="1469"/>
      <c r="J14" s="1469"/>
      <c r="K14" s="1473"/>
    </row>
    <row r="15" spans="1:11">
      <c r="A15" s="1476">
        <v>4495000</v>
      </c>
      <c r="B15" s="1469" t="s">
        <v>1020</v>
      </c>
      <c r="C15" s="1469"/>
      <c r="D15" s="1472"/>
      <c r="E15" s="1469"/>
      <c r="F15" s="1469"/>
      <c r="G15" s="1469"/>
      <c r="H15" s="1469"/>
      <c r="I15" s="1469"/>
      <c r="J15" s="1469"/>
      <c r="K15" s="1473"/>
    </row>
    <row r="16" spans="1:11">
      <c r="A16" s="1476">
        <v>150000</v>
      </c>
      <c r="B16" s="1469" t="s">
        <v>1021</v>
      </c>
      <c r="C16" s="1469"/>
      <c r="D16" s="1472"/>
      <c r="E16" s="1469"/>
      <c r="F16" s="1469"/>
      <c r="G16" s="1469"/>
      <c r="H16" s="1469"/>
      <c r="I16" s="1469"/>
      <c r="J16" s="1469"/>
      <c r="K16" s="1473"/>
    </row>
    <row r="17" spans="1:11">
      <c r="A17" s="1475" t="s">
        <v>1022</v>
      </c>
      <c r="B17" s="1469"/>
      <c r="C17" s="1469"/>
      <c r="D17" s="1472">
        <f>SUM(H6/1000)*0.23</f>
        <v>25505.982954374998</v>
      </c>
      <c r="E17" s="1469"/>
      <c r="F17" s="1469"/>
      <c r="G17" s="1469"/>
      <c r="H17" s="1469"/>
      <c r="I17" s="1469"/>
      <c r="J17" s="1469"/>
      <c r="K17" s="1473"/>
    </row>
    <row r="18" spans="1:11" ht="16.5" thickBot="1">
      <c r="A18" s="1471"/>
      <c r="B18" s="1469"/>
      <c r="C18" s="1469"/>
      <c r="D18" s="1472"/>
      <c r="E18" s="1469"/>
      <c r="F18" s="1469"/>
      <c r="G18" s="1469"/>
      <c r="H18" s="1469"/>
      <c r="I18" s="1469"/>
      <c r="J18" s="1469"/>
      <c r="K18" s="1473"/>
    </row>
    <row r="19" spans="1:11" ht="16.5" thickBot="1">
      <c r="A19" s="1471" t="s">
        <v>1023</v>
      </c>
      <c r="B19" s="1469"/>
      <c r="C19" s="1469"/>
      <c r="D19" s="1472"/>
      <c r="E19" s="1477">
        <f>SUM(D8:D17)</f>
        <v>1015243.0863735415</v>
      </c>
      <c r="F19" s="1469"/>
      <c r="G19" s="1478" t="s">
        <v>1024</v>
      </c>
      <c r="H19" s="1469"/>
      <c r="I19" s="1469"/>
      <c r="J19" s="1469"/>
      <c r="K19" s="1473"/>
    </row>
    <row r="20" spans="1:11" ht="16.5" thickBot="1">
      <c r="A20" s="1479"/>
      <c r="B20" s="1480"/>
      <c r="C20" s="1480"/>
      <c r="D20" s="1481"/>
      <c r="E20" s="1480"/>
      <c r="F20" s="1480"/>
      <c r="G20" s="1480"/>
      <c r="H20" s="1480"/>
      <c r="I20" s="1480"/>
      <c r="J20" s="1480"/>
      <c r="K20" s="1482"/>
    </row>
    <row r="21" spans="1:11" ht="18.75" thickBot="1">
      <c r="A21" s="1483" t="s">
        <v>1025</v>
      </c>
      <c r="B21" s="1484"/>
      <c r="C21" s="1484"/>
      <c r="D21" s="1484"/>
      <c r="E21" s="1484"/>
      <c r="F21" s="1484"/>
      <c r="G21" s="1484"/>
      <c r="H21" s="1484"/>
      <c r="I21" s="1484"/>
      <c r="J21" s="1484"/>
      <c r="K21" s="1485"/>
    </row>
    <row r="22" spans="1:11">
      <c r="A22" s="1486"/>
      <c r="B22" s="1487"/>
      <c r="C22" s="1487"/>
      <c r="D22" s="1487" t="str">
        <f>D3</f>
        <v>(Estimator created on 09.15.20)</v>
      </c>
      <c r="E22" s="1487"/>
      <c r="F22" s="1487"/>
      <c r="G22" s="1487"/>
      <c r="H22" s="1487"/>
      <c r="I22" s="1487"/>
      <c r="J22" s="1487"/>
      <c r="K22" s="1488"/>
    </row>
    <row r="23" spans="1:11">
      <c r="A23" s="1489" t="s">
        <v>1026</v>
      </c>
      <c r="B23" s="1490" t="str">
        <f>B3</f>
        <v>St. James UMC</v>
      </c>
      <c r="C23" s="1490"/>
      <c r="D23" s="1490"/>
      <c r="E23" s="1490" t="s">
        <v>1027</v>
      </c>
      <c r="F23" s="1490"/>
      <c r="G23" s="1491"/>
      <c r="H23" s="1491"/>
      <c r="I23" s="1490"/>
      <c r="J23" s="1490"/>
      <c r="K23" s="1492"/>
    </row>
    <row r="24" spans="1:11" ht="16.5" thickBot="1">
      <c r="A24" s="1489"/>
      <c r="B24" s="1493" t="s">
        <v>1009</v>
      </c>
      <c r="C24" s="1490"/>
      <c r="D24" s="1490"/>
      <c r="E24" s="1490"/>
      <c r="F24" s="1490"/>
      <c r="G24" s="1490"/>
      <c r="H24" s="1490"/>
      <c r="I24" s="1494" t="s">
        <v>1012</v>
      </c>
      <c r="J24" s="1490"/>
      <c r="K24" s="1492"/>
    </row>
    <row r="25" spans="1:11" ht="16.5" thickBot="1">
      <c r="A25" s="1495" t="s">
        <v>1028</v>
      </c>
      <c r="B25" s="1496"/>
      <c r="C25" s="1497">
        <v>50</v>
      </c>
      <c r="D25" s="1496"/>
      <c r="E25" s="1496" t="s">
        <v>1029</v>
      </c>
      <c r="F25" s="1496"/>
      <c r="G25" s="1496"/>
      <c r="H25" s="1498">
        <f>SUM(H6*0.8)</f>
        <v>88716462.449999988</v>
      </c>
      <c r="I25" s="1499"/>
      <c r="J25" s="1500"/>
      <c r="K25" s="1501"/>
    </row>
    <row r="26" spans="1:11">
      <c r="A26" s="1502" t="s">
        <v>1015</v>
      </c>
      <c r="B26" s="1503"/>
      <c r="C26" s="1504"/>
      <c r="D26" s="1503"/>
      <c r="E26" s="1503"/>
      <c r="F26" s="1503"/>
      <c r="G26" s="1503"/>
      <c r="H26" s="1503"/>
      <c r="I26" s="1503"/>
      <c r="J26" s="1503"/>
      <c r="K26" s="1505"/>
    </row>
    <row r="27" spans="1:11">
      <c r="A27" s="1506" t="s">
        <v>1016</v>
      </c>
      <c r="B27" s="1504"/>
      <c r="C27" s="1504"/>
      <c r="D27" s="1507">
        <f>SUM(C25*75+300)</f>
        <v>4050</v>
      </c>
      <c r="E27" s="1504"/>
      <c r="F27" s="1504"/>
      <c r="G27" s="1504"/>
      <c r="H27" s="1504"/>
      <c r="I27" s="1504"/>
      <c r="J27" s="1504"/>
      <c r="K27" s="1508"/>
    </row>
    <row r="28" spans="1:11">
      <c r="A28" s="1506"/>
      <c r="B28" s="1504"/>
      <c r="C28" s="1504"/>
      <c r="D28" s="1507"/>
      <c r="E28" s="1504"/>
      <c r="F28" s="1504"/>
      <c r="G28" s="1504"/>
      <c r="H28" s="1504"/>
      <c r="I28" s="1504"/>
      <c r="J28" s="1504"/>
      <c r="K28" s="1508"/>
    </row>
    <row r="29" spans="1:11">
      <c r="A29" s="1506" t="s">
        <v>1017</v>
      </c>
      <c r="B29" s="1504"/>
      <c r="C29" s="1504"/>
      <c r="D29" s="1507"/>
      <c r="E29" s="1504"/>
      <c r="F29" s="1504"/>
      <c r="G29" s="1504"/>
      <c r="H29" s="1504"/>
      <c r="I29" s="1504"/>
      <c r="J29" s="1504"/>
      <c r="K29" s="1508"/>
    </row>
    <row r="30" spans="1:11">
      <c r="A30" s="1506" t="s">
        <v>1030</v>
      </c>
      <c r="B30" s="1504"/>
      <c r="C30" s="1504"/>
      <c r="D30" s="1507">
        <f>SUM(D27*0.75)</f>
        <v>3037.5</v>
      </c>
      <c r="E30" s="1504"/>
      <c r="F30" s="1504"/>
      <c r="G30" s="1504"/>
      <c r="H30" s="1504"/>
      <c r="I30" s="1504"/>
      <c r="J30" s="1504"/>
      <c r="K30" s="1508"/>
    </row>
    <row r="31" spans="1:11">
      <c r="A31" s="1506"/>
      <c r="B31" s="1504"/>
      <c r="C31" s="1504"/>
      <c r="D31" s="1507"/>
      <c r="E31" s="1504"/>
      <c r="F31" s="1504"/>
      <c r="G31" s="1504"/>
      <c r="H31" s="1504"/>
      <c r="I31" s="1504"/>
      <c r="J31" s="1504"/>
      <c r="K31" s="1508"/>
    </row>
    <row r="32" spans="1:11">
      <c r="A32" s="1506" t="s">
        <v>1031</v>
      </c>
      <c r="B32" s="1504"/>
      <c r="C32" s="1504"/>
      <c r="D32" s="1507">
        <f>SUM(A33+A34+A35)/100*0.135+500</f>
        <v>121523.16818749999</v>
      </c>
      <c r="E32" s="1504" t="s">
        <v>1032</v>
      </c>
      <c r="F32" s="1504"/>
      <c r="G32" s="1504"/>
      <c r="H32" s="1504"/>
      <c r="I32" s="1504"/>
      <c r="J32" s="1504"/>
      <c r="K32" s="1508"/>
    </row>
    <row r="33" spans="1:11">
      <c r="A33" s="1509">
        <f>H25</f>
        <v>88716462.449999988</v>
      </c>
      <c r="B33" s="1504" t="s">
        <v>1033</v>
      </c>
      <c r="C33" s="1504"/>
      <c r="D33" s="1507"/>
      <c r="E33" s="1504"/>
      <c r="F33" s="1504"/>
      <c r="G33" s="1504"/>
      <c r="H33" s="1504"/>
      <c r="I33" s="1504"/>
      <c r="J33" s="1504"/>
      <c r="K33" s="1508"/>
    </row>
    <row r="34" spans="1:11">
      <c r="A34" s="1509">
        <v>780328.8</v>
      </c>
      <c r="B34" s="1504" t="s">
        <v>160</v>
      </c>
      <c r="C34" s="1504"/>
      <c r="D34" s="1507"/>
      <c r="E34" s="1504"/>
      <c r="F34" s="1504"/>
      <c r="G34" s="1504"/>
      <c r="H34" s="1504"/>
      <c r="I34" s="1504"/>
      <c r="J34" s="1504"/>
      <c r="K34" s="1508"/>
    </row>
    <row r="35" spans="1:11" ht="16.5" thickBot="1">
      <c r="A35" s="1509">
        <f>A16</f>
        <v>150000</v>
      </c>
      <c r="B35" s="1504" t="s">
        <v>1034</v>
      </c>
      <c r="C35" s="1504"/>
      <c r="D35" s="1507"/>
      <c r="E35" s="1504"/>
      <c r="F35" s="1504"/>
      <c r="G35" s="1504"/>
      <c r="H35" s="1504"/>
      <c r="I35" s="1504"/>
      <c r="J35" s="1504"/>
      <c r="K35" s="1508"/>
    </row>
    <row r="36" spans="1:11" ht="16.5" thickBot="1">
      <c r="A36" s="1506" t="s">
        <v>1035</v>
      </c>
      <c r="B36" s="1504"/>
      <c r="C36" s="1504"/>
      <c r="D36" s="1507"/>
      <c r="E36" s="1510">
        <f>SUM(D27:D34)</f>
        <v>128610.66818749999</v>
      </c>
      <c r="F36" s="1504"/>
      <c r="G36" s="1504"/>
      <c r="H36" s="1504"/>
      <c r="I36" s="1504"/>
      <c r="J36" s="1504"/>
      <c r="K36" s="1508"/>
    </row>
    <row r="37" spans="1:11">
      <c r="A37" s="1511"/>
      <c r="B37" s="1512"/>
      <c r="C37" s="1512"/>
      <c r="D37" s="1512"/>
      <c r="E37" s="1512"/>
      <c r="F37" s="1512"/>
      <c r="G37" s="1512"/>
      <c r="H37" s="1512"/>
      <c r="I37" s="1512"/>
      <c r="J37" s="1512"/>
      <c r="K37" s="1513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1207969.9424999999</v>
      </c>
      <c r="E10" s="748">
        <f>'PreDev Flow of Funds'!Y10+'PreDev Flow of Funds'!Y12</f>
        <v>1395966</v>
      </c>
      <c r="F10" s="748">
        <f>(D10-E10)/18</f>
        <v>-10444.225416666673</v>
      </c>
      <c r="G10" s="748">
        <f>$F$10</f>
        <v>-10444.225416666673</v>
      </c>
      <c r="H10" s="748">
        <f t="shared" ref="H10:W10" si="2">$F$10</f>
        <v>-10444.225416666673</v>
      </c>
      <c r="I10" s="748">
        <f t="shared" si="2"/>
        <v>-10444.225416666673</v>
      </c>
      <c r="J10" s="748">
        <f t="shared" si="2"/>
        <v>-10444.225416666673</v>
      </c>
      <c r="K10" s="748">
        <f t="shared" si="2"/>
        <v>-10444.225416666673</v>
      </c>
      <c r="L10" s="748">
        <f t="shared" si="2"/>
        <v>-10444.225416666673</v>
      </c>
      <c r="M10" s="748">
        <f t="shared" si="2"/>
        <v>-10444.225416666673</v>
      </c>
      <c r="N10" s="748">
        <f t="shared" si="2"/>
        <v>-10444.225416666673</v>
      </c>
      <c r="O10" s="748">
        <f t="shared" si="2"/>
        <v>-10444.225416666673</v>
      </c>
      <c r="P10" s="748">
        <f t="shared" si="2"/>
        <v>-10444.225416666673</v>
      </c>
      <c r="Q10" s="748">
        <f t="shared" si="2"/>
        <v>-10444.225416666673</v>
      </c>
      <c r="R10" s="748">
        <f t="shared" si="2"/>
        <v>-10444.225416666673</v>
      </c>
      <c r="S10" s="748">
        <f t="shared" si="2"/>
        <v>-10444.225416666673</v>
      </c>
      <c r="T10" s="748">
        <f t="shared" si="2"/>
        <v>-10444.225416666673</v>
      </c>
      <c r="U10" s="748">
        <f t="shared" si="2"/>
        <v>-10444.225416666673</v>
      </c>
      <c r="V10" s="748">
        <f t="shared" si="2"/>
        <v>-10444.225416666673</v>
      </c>
      <c r="W10" s="748">
        <f t="shared" si="2"/>
        <v>-10444.225416666673</v>
      </c>
      <c r="X10" s="748"/>
      <c r="Y10" s="748">
        <f>SUM(E10:W10)</f>
        <v>1207969.9425000013</v>
      </c>
    </row>
    <row r="11" spans="1:25" ht="15">
      <c r="A11" s="402"/>
      <c r="B11" s="403" t="s">
        <v>388</v>
      </c>
      <c r="C11" s="748"/>
      <c r="D11" s="748">
        <f>'Development Budget'!G41</f>
        <v>1207969.9424999999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100814161.87499999</v>
      </c>
      <c r="E13" s="748">
        <f>'PreDev Flow of Funds'!Y14</f>
        <v>69798.3</v>
      </c>
      <c r="F13" s="748">
        <f>(D13-E13)/18</f>
        <v>5596909.0874999994</v>
      </c>
      <c r="G13" s="748">
        <f>$F$13</f>
        <v>5596909.0874999994</v>
      </c>
      <c r="H13" s="748">
        <f t="shared" ref="H13:W13" si="5">$F$13</f>
        <v>5596909.0874999994</v>
      </c>
      <c r="I13" s="748">
        <f t="shared" si="5"/>
        <v>5596909.0874999994</v>
      </c>
      <c r="J13" s="748">
        <f t="shared" si="5"/>
        <v>5596909.0874999994</v>
      </c>
      <c r="K13" s="748">
        <f t="shared" si="5"/>
        <v>5596909.0874999994</v>
      </c>
      <c r="L13" s="748">
        <f t="shared" si="5"/>
        <v>5596909.0874999994</v>
      </c>
      <c r="M13" s="748">
        <f t="shared" si="5"/>
        <v>5596909.0874999994</v>
      </c>
      <c r="N13" s="748">
        <f t="shared" si="5"/>
        <v>5596909.0874999994</v>
      </c>
      <c r="O13" s="748">
        <f t="shared" si="5"/>
        <v>5596909.0874999994</v>
      </c>
      <c r="P13" s="748">
        <f t="shared" si="5"/>
        <v>5596909.0874999994</v>
      </c>
      <c r="Q13" s="748">
        <f t="shared" si="5"/>
        <v>5596909.0874999994</v>
      </c>
      <c r="R13" s="748">
        <f t="shared" si="5"/>
        <v>5596909.0874999994</v>
      </c>
      <c r="S13" s="748">
        <f t="shared" si="5"/>
        <v>5596909.0874999994</v>
      </c>
      <c r="T13" s="748">
        <f t="shared" si="5"/>
        <v>5596909.0874999994</v>
      </c>
      <c r="U13" s="748">
        <f t="shared" si="5"/>
        <v>5596909.0874999994</v>
      </c>
      <c r="V13" s="748">
        <f t="shared" si="5"/>
        <v>5596909.0874999994</v>
      </c>
      <c r="W13" s="748">
        <f t="shared" si="5"/>
        <v>5596909.0874999994</v>
      </c>
      <c r="X13" s="748"/>
      <c r="Y13" s="748">
        <f t="shared" si="3"/>
        <v>100814161.87500003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100814161.87499999</v>
      </c>
      <c r="E15" s="748">
        <f>'PreDev Flow of Funds'!Y16+'PreDev Flow of Funds'!Y17+'PreDev Flow of Funds'!Y19</f>
        <v>72500</v>
      </c>
      <c r="F15" s="748">
        <f>(D15-E15)/18</f>
        <v>5596758.993055555</v>
      </c>
      <c r="G15" s="748">
        <f>$F$15</f>
        <v>5596758.993055555</v>
      </c>
      <c r="H15" s="748">
        <f t="shared" ref="H15:W15" si="7">$F$15</f>
        <v>5596758.993055555</v>
      </c>
      <c r="I15" s="748">
        <f t="shared" si="7"/>
        <v>5596758.993055555</v>
      </c>
      <c r="J15" s="748">
        <f t="shared" si="7"/>
        <v>5596758.993055555</v>
      </c>
      <c r="K15" s="748">
        <f t="shared" si="7"/>
        <v>5596758.993055555</v>
      </c>
      <c r="L15" s="748">
        <f t="shared" si="7"/>
        <v>5596758.993055555</v>
      </c>
      <c r="M15" s="748">
        <f t="shared" si="7"/>
        <v>5596758.993055555</v>
      </c>
      <c r="N15" s="748">
        <f t="shared" si="7"/>
        <v>5596758.993055555</v>
      </c>
      <c r="O15" s="748">
        <f t="shared" si="7"/>
        <v>5596758.993055555</v>
      </c>
      <c r="P15" s="748">
        <f t="shared" si="7"/>
        <v>5596758.993055555</v>
      </c>
      <c r="Q15" s="748">
        <f t="shared" si="7"/>
        <v>5596758.993055555</v>
      </c>
      <c r="R15" s="748">
        <f t="shared" si="7"/>
        <v>5596758.993055555</v>
      </c>
      <c r="S15" s="748">
        <f t="shared" si="7"/>
        <v>5596758.993055555</v>
      </c>
      <c r="T15" s="748">
        <f t="shared" si="7"/>
        <v>5596758.993055555</v>
      </c>
      <c r="U15" s="748">
        <f t="shared" si="7"/>
        <v>5596758.993055555</v>
      </c>
      <c r="V15" s="748">
        <f t="shared" si="7"/>
        <v>5596758.993055555</v>
      </c>
      <c r="W15" s="748">
        <f t="shared" si="7"/>
        <v>5596758.993055555</v>
      </c>
      <c r="X15" s="748"/>
      <c r="Y15" s="748">
        <f t="shared" si="3"/>
        <v>100814161.87499996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16555000</v>
      </c>
      <c r="E26" s="748">
        <v>0</v>
      </c>
      <c r="F26" s="748">
        <f>D26/2</f>
        <v>8277500</v>
      </c>
      <c r="G26" s="748">
        <f>F26</f>
        <v>8277500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16555000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80531329.5</v>
      </c>
      <c r="E33" s="748">
        <v>0</v>
      </c>
      <c r="F33" s="748">
        <f>D33</f>
        <v>80531329.5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80531329.5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252035.40468749998</v>
      </c>
      <c r="E43" s="748">
        <f>D43</f>
        <v>252035.40468749998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252035.40468749998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443035.40468749998</v>
      </c>
      <c r="E52" s="748">
        <f>D52</f>
        <v>443035.40468749998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443035.40468749998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3961399</v>
      </c>
      <c r="E58" s="748">
        <f>'PreDev Flow of Funds'!Y46</f>
        <v>96238.814999999988</v>
      </c>
      <c r="F58" s="748">
        <f>(D58-E58)/18</f>
        <v>214731.12138888889</v>
      </c>
      <c r="G58" s="748">
        <f>$F$58</f>
        <v>214731.12138888889</v>
      </c>
      <c r="H58" s="748">
        <f t="shared" ref="H58:W58" si="18">$F$58</f>
        <v>214731.12138888889</v>
      </c>
      <c r="I58" s="748">
        <f t="shared" si="18"/>
        <v>214731.12138888889</v>
      </c>
      <c r="J58" s="748">
        <f t="shared" si="18"/>
        <v>214731.12138888889</v>
      </c>
      <c r="K58" s="748">
        <f t="shared" si="18"/>
        <v>214731.12138888889</v>
      </c>
      <c r="L58" s="748">
        <f t="shared" si="18"/>
        <v>214731.12138888889</v>
      </c>
      <c r="M58" s="748">
        <f t="shared" si="18"/>
        <v>214731.12138888889</v>
      </c>
      <c r="N58" s="748">
        <f t="shared" si="18"/>
        <v>214731.12138888889</v>
      </c>
      <c r="O58" s="748">
        <f t="shared" si="18"/>
        <v>214731.12138888889</v>
      </c>
      <c r="P58" s="748">
        <f t="shared" si="18"/>
        <v>214731.12138888889</v>
      </c>
      <c r="Q58" s="748">
        <f t="shared" si="18"/>
        <v>214731.12138888889</v>
      </c>
      <c r="R58" s="748">
        <f t="shared" si="18"/>
        <v>214731.12138888889</v>
      </c>
      <c r="S58" s="748">
        <f t="shared" si="18"/>
        <v>214731.12138888889</v>
      </c>
      <c r="T58" s="748">
        <f t="shared" si="18"/>
        <v>214731.12138888889</v>
      </c>
      <c r="U58" s="748">
        <f t="shared" si="18"/>
        <v>214731.12138888889</v>
      </c>
      <c r="V58" s="748">
        <f t="shared" si="18"/>
        <v>214731.12138888889</v>
      </c>
      <c r="W58" s="748">
        <f t="shared" si="18"/>
        <v>214731.12138888889</v>
      </c>
      <c r="X58" s="748"/>
      <c r="Y58" s="748">
        <f t="shared" si="3"/>
        <v>3961399.0000000005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367142.69850430451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15540223.884374997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86469500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-8673267.5100000016</v>
      </c>
      <c r="E87" s="749">
        <f>E80-E84-E85-E86-E88-E89-E90-E91</f>
        <v>699070.80937499553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15540223.884374997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09">
        <f>544</f>
        <v>544</v>
      </c>
    </row>
    <row r="7" spans="3:6">
      <c r="D7" t="s">
        <v>945</v>
      </c>
      <c r="F7" s="1309"/>
    </row>
    <row r="8" spans="3:6">
      <c r="F8" s="1309">
        <v>0</v>
      </c>
    </row>
    <row r="9" spans="3:6">
      <c r="D9" t="s">
        <v>946</v>
      </c>
      <c r="F9" s="1309">
        <v>234</v>
      </c>
    </row>
    <row r="10" spans="3:6">
      <c r="F10" s="1309"/>
    </row>
    <row r="11" spans="3:6">
      <c r="D11" t="s">
        <v>947</v>
      </c>
      <c r="F11" s="1309"/>
    </row>
    <row r="12" spans="3:6">
      <c r="E12" t="s">
        <v>948</v>
      </c>
      <c r="F12" s="1309">
        <v>3437</v>
      </c>
    </row>
    <row r="13" spans="3:6">
      <c r="E13" t="s">
        <v>949</v>
      </c>
      <c r="F13" s="1309">
        <v>426</v>
      </c>
    </row>
    <row r="14" spans="3:6">
      <c r="E14" t="s">
        <v>950</v>
      </c>
      <c r="F14" s="1309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0" t="s">
        <v>60</v>
      </c>
      <c r="F17" s="1311">
        <f>SUM(F6:F16)</f>
        <v>7491</v>
      </c>
    </row>
    <row r="19" spans="3:6">
      <c r="D19" t="s">
        <v>952</v>
      </c>
    </row>
    <row r="20" spans="3:6">
      <c r="D20" t="s">
        <v>953</v>
      </c>
      <c r="F20" s="1312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09">
        <v>37.33</v>
      </c>
    </row>
    <row r="31" spans="3:6">
      <c r="D31" t="s">
        <v>957</v>
      </c>
      <c r="E31" s="1313">
        <v>10000000</v>
      </c>
      <c r="F31" s="1309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09">
        <v>1743.09</v>
      </c>
    </row>
    <row r="35" spans="4:6" ht="31.5">
      <c r="E35" s="1314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74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74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5" t="s">
        <v>590</v>
      </c>
      <c r="D74" s="1766"/>
      <c r="E74" s="1766"/>
      <c r="F74" s="1766"/>
      <c r="G74" s="1766"/>
      <c r="H74" s="1766"/>
      <c r="I74" s="1767"/>
      <c r="J74" s="1775" t="s">
        <v>583</v>
      </c>
      <c r="K74" s="1776"/>
      <c r="L74" s="1776"/>
      <c r="M74" s="1776"/>
      <c r="N74" s="1776"/>
      <c r="O74" s="1777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-882502.94437499985</v>
      </c>
      <c r="K103" s="162">
        <f>J103+(C116*0.25)/2</f>
        <v>-1765005.8887499997</v>
      </c>
      <c r="L103" s="162">
        <f>K103+((C116-K103)/4)</f>
        <v>-3088760.3053124994</v>
      </c>
      <c r="M103" s="162">
        <f>L103+((C116-K103)/4)</f>
        <v>-4412514.7218749989</v>
      </c>
      <c r="N103" s="162">
        <f>M103+((C116-K103)/4)</f>
        <v>-5736269.1384374984</v>
      </c>
      <c r="O103" s="162">
        <f>N103+((C116-K103)/4)</f>
        <v>-7060023.5549999978</v>
      </c>
      <c r="P103" s="162">
        <f>O103</f>
        <v>-7060023.5549999978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9372694.5633333344</v>
      </c>
      <c r="K104" s="371">
        <f>((C117-1033493)/6)+J104</f>
        <v>18745389.126666669</v>
      </c>
      <c r="L104" s="371">
        <f>((C117-1033493)/6)+K104</f>
        <v>28118083.690000005</v>
      </c>
      <c r="M104" s="371">
        <f>((C117-1033493)/6)+L104</f>
        <v>37490778.253333338</v>
      </c>
      <c r="N104" s="371">
        <f>((C117-1033493)/6)+M104</f>
        <v>46863472.81666667</v>
      </c>
      <c r="O104" s="371">
        <f>((C117-1033493)/6)+N104</f>
        <v>56236167.380000003</v>
      </c>
      <c r="P104" s="371">
        <f>(286645+100000+646848)+O104</f>
        <v>57269660.380000003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8490191.6189583354</v>
      </c>
      <c r="K110" s="371">
        <f t="shared" ref="K110:P110" si="9">SUM(K103:K104)</f>
        <v>16980383.237916671</v>
      </c>
      <c r="L110" s="371">
        <f t="shared" si="9"/>
        <v>25029323.384687506</v>
      </c>
      <c r="M110" s="371">
        <f t="shared" si="9"/>
        <v>33078263.531458341</v>
      </c>
      <c r="N110" s="371">
        <f t="shared" si="9"/>
        <v>41127203.678229168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0">
        <f>'PreDev Flow of Funds'!D47</f>
        <v>14824249.954999998</v>
      </c>
      <c r="D114" s="1769"/>
    </row>
    <row r="115" spans="2:19">
      <c r="B115" s="397" t="s">
        <v>601</v>
      </c>
      <c r="C115" s="1771">
        <f>M102</f>
        <v>1323400.22</v>
      </c>
      <c r="D115" s="1769"/>
    </row>
    <row r="116" spans="2:19">
      <c r="B116" s="397" t="s">
        <v>583</v>
      </c>
      <c r="C116" s="1771">
        <f>'Development Budget'!G37-Predevelopment!D27-Predevelopment!D28-Predevelopment!D29-Timeline!M102-Predevelopment!D17</f>
        <v>-7060023.5549999988</v>
      </c>
      <c r="D116" s="1769"/>
    </row>
    <row r="117" spans="2:19" ht="16.5" thickBot="1">
      <c r="B117" s="398" t="s">
        <v>602</v>
      </c>
      <c r="C117" s="1772">
        <f>C118-C114-C116-C115</f>
        <v>57269660.380000003</v>
      </c>
      <c r="D117" s="1773"/>
    </row>
    <row r="118" spans="2:19" ht="16.5" thickTop="1">
      <c r="B118" s="368" t="s">
        <v>586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1087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1088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1088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1088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1088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1088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1088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1088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1088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1088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1088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1088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1088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1088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1088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1088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1088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1088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1088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1088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1088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1088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1088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2024-05-10T00:10:32Z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