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B232CA27-3539-4105-A0D5-B26FAE0D37F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 iterateCount="32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<sst xmlns="http://schemas.openxmlformats.org/spreadsheetml/2006/main" count="1992" uniqueCount="1104">
  <si>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</si>
  <si>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</si>
  <si>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</si>
  <si>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</si>
  <si>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</si>
  <si>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</si>
  <si>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</si>
  <si>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</si>
  <si>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</si>
  <si>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</si>
  <si>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</si>
  <si>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</si>
  <si>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</si>
  <si>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</si>
  <si>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</si>
  <si>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</si>
  <si>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</si>
  <si>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</si>
  <si>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</si>
  <si>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</si>
  <si>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</si>
  <si>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</si>
  <si>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</si>
  <si>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</si>
  <si>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</si>
  <si>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</si>
  <si>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</si>
  <si>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</si>
  <si>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</si>
  <si>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</si>
  <si>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</si>
  <si>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</si>
  <si>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</si>
  <si>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</si>
  <si>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</si>
  <si>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</si>
  <si>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</si>
  <si>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</si>
  <si>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</si>
  <si>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</si>
  <si>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</si>
  <si>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</si>
  <si>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</si>
  <si>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</si>
  <si>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</si>
  <si>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</si>
  <si>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</si>
  <si>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</si>
  <si>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</si>
  <si>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</si>
  <si>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</si>
  <si>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</si>
  <si>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</si>
  <si>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</si>
  <si>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</si>
  <si>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</si>
  <si>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</si>
  <si>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</si>
  <si>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</si>
  <si>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</si>
  <si>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</si>
  <si>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</si>
  <si>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</si>
  <si>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</si>
  <si>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</si>
  <si>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</si>
  <si>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</si>
  <si>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</si>
  <si>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</si>
  <si>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</si>
  <si>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</si>
  <si>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</si>
  <si>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</si>
  <si>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</si>
  <si>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</si>
  <si>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</si>
  <si>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</si>
  <si>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</si>
  <si>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</si>
  <si>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</si>
  <si>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</si>
  <si>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</si>
  <si>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</si>
  <si>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</si>
  <si>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</si>
  <si>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</si>
  <si>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</si>
  <si>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</si>
  <si>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</si>
  <si>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</si>
  <si>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</si>
  <si>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</si>
  <si>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</si>
  <si>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</si>
  <si>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</si>
  <si>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</si>
  <si>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</si>
  <si>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</si>
  <si>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</si>
  <si>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</si>
  <si>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</si>
  <si>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</si>
  <si>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</si>
  <si>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</si>
  <si>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</si>
  <si>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</si>
  <si>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</si>
  <si>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</si>
  <si>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</si>
  <si>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</si>
  <si>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</si>
  <si>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</si>
  <si>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</si>
  <si>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</si>
  <si>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</si>
  <si>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</si>
  <si>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</si>
  <si>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</si>
  <si>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</si>
  <si>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</si>
  <si>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</si>
  <si>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</si>
  <si>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</si>
  <si>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</si>
  <si>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</si>
  <si>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</si>
  <si>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</si>
  <si>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</si>
  <si>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</si>
  <si>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</si>
  <si>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</si>
  <si>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</si>
  <si>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</si>
  <si>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</si>
  <si>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</si>
  <si>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</si>
  <si>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</si>
  <si>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</si>
  <si>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</si>
  <si>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</si>
  <si>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</si>
  <si>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</si>
  <si>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</si>
  <si>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</si>
  <si>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</si>
  <si>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</si>
  <si>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</si>
  <si>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</si>
  <si>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</si>
  <si>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</si>
  <si>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</si>
  <si>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</si>
  <si>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</si>
  <si>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</si>
  <si>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</si>
  <si>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</si>
  <si>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</si>
  <si>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</si>
  <si>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</si>
  <si>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</si>
  <si>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</si>
  <si>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</si>
  <si>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</si>
  <si>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</si>
  <si>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</si>
  <si>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</si>
  <si>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</si>
  <si>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</si>
  <si>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</si>
  <si>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</si>
  <si>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</si>
  <si>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</si>
  <si>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</si>
  <si>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</si>
  <si>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</si>
  <si>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</si>
  <si>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</si>
  <si>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</si>
  <si>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</si>
  <si>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</si>
  <si>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</si>
  <si>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</si>
  <si>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</si>
  <si>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</si>
  <si>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</si>
  <si>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</si>
  <si>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</si>
  <si>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</si>
  <si>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</si>
  <si>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</si>
  <si>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</si>
  <si>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</si>
  <si>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</si>
  <si>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</si>
  <si>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</si>
  <si>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</si>
  <si>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</si>
  <si>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</si>
  <si>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</si>
  <si>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</si>
  <si>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</si>
  <si>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</si>
  <si>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</si>
  <si>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</si>
  <si>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</si>
  <si>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</si>
  <si>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</si>
  <si>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</si>
  <si>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</si>
  <si>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</si>
  <si>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</si>
  <si>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</si>
  <si>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</si>
  <si>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</si>
  <si>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</si>
  <si>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</si>
  <si>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</si>
  <si>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</si>
  <si>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</si>
  <si>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</si>
  <si>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</si>
  <si>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</si>
  <si>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</si>
  <si>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</si>
  <si>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</si>
  <si>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</si>
  <si>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</si>
  <si>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</si>
  <si>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</si>
  <si>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</si>
  <si>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</si>
  <si>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</si>
  <si>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</si>
  <si>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</si>
  <si>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</si>
  <si>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</si>
  <si>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</si>
  <si>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</si>
  <si>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</si>
  <si>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</si>
  <si>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</si>
  <si>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</si>
  <si>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</si>
  <si>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</si>
  <si>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</si>
  <si>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</si>
  <si>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</si>
  <si>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</si>
  <si>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</si>
  <si>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</si>
  <si>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</si>
  <si>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</si>
  <si>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</si>
  <si>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</si>
  <si>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</si>
  <si>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</si>
  <si>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</si>
  <si>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</si>
  <si>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</si>
  <si>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</si>
  <si>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</si>
  <si>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</si>
  <si>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</si>
  <si>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</si>
  <si>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</si>
  <si>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</si>
  <si>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</si>
  <si>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</si>
  <si>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</si>
  <si>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</si>
  <si>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</si>
  <si>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</si>
  <si>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</si>
  <si>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</si>
  <si>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</si>
  <si>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</si>
  <si>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</si>
  <si>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</si>
  <si>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</si>
  <si>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</si>
  <si>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</si>
  <si>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</si>
  <si>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</si>
  <si>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</si>
  <si>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</si>
  <si>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</si>
  <si>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</si>
  <si>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</si>
  <si>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</si>
  <si>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</si>
  <si>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</si>
  <si>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</si>
  <si>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</si>
  <si>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</si>
  <si>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</si>
  <si>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</si>
  <si>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</si>
  <si>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</si>
  <si>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</si>
  <si>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</si>
  <si>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</si>
  <si>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</si>
  <si>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</si>
  <si>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</si>
  <si>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</si>
  <si>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</si>
  <si>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</si>
  <si>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</si>
  <si>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</si>
  <si>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</si>
  <si>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</si>
  <si>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</si>
  <si>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</si>
  <si>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</si>
  <si>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</si>
  <si>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</si>
  <si>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</si>
  <si>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</si>
  <si>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</si>
  <si>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</si>
  <si>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</si>
  <si>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</si>
  <si>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</si>
  <si>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</si>
  <si>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</si>
  <si>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</si>
  <si>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</si>
  <si>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</si>
  <si>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</si>
  <si>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</si>
  <si>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</si>
  <si>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</si>
  <si>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</si>
  <si>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</si>
  <si>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</si>
  <si>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</si>
  <si>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</si>
  <si>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</si>
  <si>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</si>
  <si>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</si>
  <si>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</si>
  <si>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</si>
  <si>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</si>
  <si>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</si>
  <si>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</si>
  <si>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</si>
  <si>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</si>
  <si>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</si>
  <si>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</si>
  <si>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</si>
  <si>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</si>
  <si>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</si>
  <si>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</si>
  <si>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</si>
  <si>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</si>
  <si>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</si>
  <si>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</si>
  <si>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</si>
  <si>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</si>
  <si>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</si>
  <si>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</si>
  <si>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</si>
  <si>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</si>
  <si>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</si>
  <si>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</si>
  <si>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</si>
  <si>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</si>
  <si>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</si>
  <si>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</si>
  <si>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</si>
  <si>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</si>
  <si>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</si>
  <si>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</si>
  <si>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</si>
  <si>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</si>
  <si>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</si>
  <si>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</si>
  <si>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</si>
  <si>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</si>
  <si>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</si>
  <si>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</si>
  <si>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</si>
  <si>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</si>
  <si>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</si>
  <si>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</si>
  <si>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</si>
  <si>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</si>
  <si>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</si>
  <si>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</si>
  <si>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</si>
  <si>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</si>
  <si>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</si>
  <si>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</si>
  <si>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</si>
  <si>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</si>
  <si>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</si>
  <si>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</si>
  <si>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</si>
  <si>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</si>
  <si>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</si>
  <si>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</si>
  <si>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</si>
  <si>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</si>
  <si>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</si>
  <si>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</si>
  <si>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</si>
  <si>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</si>
  <si>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</si>
  <si>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</si>
  <si>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</si>
  <si>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</si>
  <si>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</si>
  <si>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</si>
  <si>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</si>
  <si>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</si>
  <si>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</si>
  <si>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</si>
  <si>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</si>
  <si>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</si>
  <si>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</si>
  <si>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</si>
  <si>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</si>
  <si>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</si>
  <si>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</si>
  <si>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</si>
  <si>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</si>
  <si>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</si>
  <si>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</si>
  <si>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</si>
  <si>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</si>
  <si>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</si>
  <si>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</si>
  <si>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</si>
  <si>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</si>
  <si>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</si>
  <si>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</si>
  <si>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</si>
  <si>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</si>
  <si>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</si>
  <si>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</si>
  <si>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</si>
  <si>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</si>
  <si>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</si>
  <si>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</si>
  <si>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</si>
  <si>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</si>
  <si>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</si>
  <si>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</si>
  <si>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</si>
  <si>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</si>
  <si>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</si>
  <si>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</si>
  <si>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</si>
  <si>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</si>
  <si>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</si>
  <si>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</si>
  <si>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</si>
  <si>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</si>
  <si>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</si>
  <si>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</si>
  <si>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</si>
  <si>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</si>
  <si>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</si>
  <si>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</si>
  <si>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</si>
  <si>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</si>
  <si>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</si>
  <si>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</si>
  <si>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</si>
  <si>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</si>
  <si>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</si>
  <si>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</si>
  <si>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</si>
  <si>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</si>
  <si>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</si>
  <si>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</si>
  <si>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</si>
  <si>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</si>
  <si>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</si>
  <si>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</si>
  <si>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</si>
  <si>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</si>
  <si>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</si>
  <si>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</si>
  <si>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</si>
  <si>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</si>
  <si>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</si>
  <si>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</si>
  <si>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</si>
  <si>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</si>
  <si>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</si>
  <si>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</si>
  <si>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</si>
  <si>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</si>
  <si>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</si>
  <si>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</si>
  <si>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</si>
  <si>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</si>
  <si>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</si>
  <si>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</si>
  <si>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</si>
  <si>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</si>
  <si>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</si>
  <si>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</si>
  <si>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</si>
  <si>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</si>
  <si>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</si>
  <si>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</si>
  <si>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</si>
  <si>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</si>
  <si>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</si>
  <si>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</si>
  <si>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</si>
  <si>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</si>
  <si>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</si>
  <si>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</si>
  <si>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</si>
  <si>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</si>
  <si>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</si>
  <si>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</si>
  <si>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</si>
  <si>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</si>
  <si>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</si>
  <si>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</si>
  <si>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</si>
  <si>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</si>
  <si>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</si>
  <si>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</si>
  <si>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</si>
  <si>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</si>
  <si>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</si>
  <si>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</si>
  <si>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</si>
  <si>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</si>
  <si>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</si>
  <si>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</si>
  <si>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</si>
  <si>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</si>
  <si>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</si>
  <si>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</si>
  <si>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</si>
  <si>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</si>
  <si>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</si>
  <si>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</si>
  <si>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</si>
  <si>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</si>
  <si>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</si>
  <si>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</si>
  <si>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</si>
  <si>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</si>
  <si>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</si>
  <si>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</si>
  <si>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</si>
  <si>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</si>
  <si>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</si>
  <si>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</si>
  <si>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</si>
  <si>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</si>
  <si>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</si>
  <si>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</si>
  <si>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</si>
  <si>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</si>
  <si>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</si>
  <si>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</si>
  <si>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</si>
  <si>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</si>
  <si>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</si>
  <si>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</si>
  <si>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</si>
  <si>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</si>
  <si>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</si>
  <si>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</si>
  <si>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</si>
  <si>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</si>
  <si>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</si>
  <si>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</si>
  <si>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</si>
  <si>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</si>
  <si>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</si>
  <si>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</si>
  <si>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</si>
  <si>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</si>
  <si>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</si>
  <si>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</si>
  <si>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</si>
  <si>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</si>
  <si>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</si>
  <si>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</si>
  <si>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</si>
  <si>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</si>
  <si>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</si>
  <si>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</si>
  <si>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</si>
  <si>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</si>
  <si>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</si>
  <si>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</si>
  <si>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</si>
  <si>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</si>
  <si>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</si>
  <si>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</si>
  <si>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</si>
  <si>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</si>
  <si>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</si>
  <si>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</si>
  <si>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</si>
  <si>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</si>
  <si>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</si>
  <si>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</si>
  <si>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</si>
  <si>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</si>
  <si>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</si>
  <si>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</si>
  <si>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</si>
  <si>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</si>
  <si>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</si>
  <si>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</si>
  <si>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</si>
  <si>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</si>
  <si>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</si>
  <si>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</si>
  <si>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</si>
  <si>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</si>
  <si>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</si>
  <si>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</si>
  <si>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</si>
  <si>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</si>
  <si>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</si>
  <si>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</si>
  <si>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</si>
  <si>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</si>
  <si>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</si>
  <si>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</si>
  <si>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</si>
  <si>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</si>
  <si>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</si>
  <si>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</si>
  <si>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</si>
  <si>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</si>
  <si>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</si>
  <si>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</si>
  <si>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</si>
  <si>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</si>
  <si>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</si>
  <si>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</si>
  <si>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</si>
  <si>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</si>
  <si>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</si>
  <si>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</si>
  <si>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</si>
  <si>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</si>
  <si>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</si>
  <si>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</si>
  <si>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</si>
  <si>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</si>
  <si>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</si>
  <si>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</si>
  <si>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</si>
  <si>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</si>
  <si>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</si>
  <si>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</si>
  <si>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</si>
  <si>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</si>
  <si>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</si>
  <si>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</si>
  <si>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</si>
  <si>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</si>
  <si>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</si>
  <si>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</si>
  <si>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</si>
  <si>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</si>
  <si>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</si>
  <si>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</si>
  <si>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</si>
  <si>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</si>
  <si>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</si>
  <si>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</si>
  <si>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</si>
  <si>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</si>
  <si>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</si>
  <si>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</si>
  <si>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</si>
  <si>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</si>
  <si>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</si>
  <si>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</si>
  <si>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</si>
  <si>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</si>
  <si>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</si>
  <si>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</si>
  <si>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</si>
  <si>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</si>
  <si>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</si>
  <si>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</si>
  <si>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</si>
  <si>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</si>
  <si>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</si>
  <si>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</si>
  <si>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</si>
  <si>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</si>
  <si>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</si>
  <si>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</si>
  <si>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</si>
  <si>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</si>
  <si>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</si>
  <si>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</si>
  <si>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</si>
  <si>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</si>
  <si>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</si>
  <si>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</si>
  <si>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</si>
  <si>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</si>
  <si>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</si>
  <si>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</si>
  <si>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</si>
  <si>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</si>
  <si>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</si>
  <si>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</si>
  <si>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</si>
  <si>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</si>
  <si>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</si>
  <si>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</si>
  <si>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</si>
  <si>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</si>
  <si>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</si>
  <si>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</si>
  <si>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</si>
  <si>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</si>
  <si>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</si>
  <si>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</si>
  <si>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</si>
  <si>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</si>
  <si>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</si>
  <si>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</si>
  <si>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</si>
  <si>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</si>
  <si>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</si>
  <si>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</si>
  <si>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</si>
  <si>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</si>
  <si>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</si>
  <si>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</si>
  <si>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</si>
  <si>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</si>
  <si>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</si>
  <si>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</si>
  <si>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</si>
  <si>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</si>
  <si>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</si>
  <si>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</si>
  <si>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</si>
  <si>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</si>
  <si>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</si>
  <si>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</si>
  <si>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</si>
  <si>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</si>
  <si>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</si>
  <si>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</si>
  <si>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</si>
  <si>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</si>
  <si>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</si>
  <si>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</si>
  <si>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</si>
  <si>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</si>
  <si>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</si>
  <si>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</si>
  <si>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</si>
  <si>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</si>
  <si>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</si>
  <si>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</si>
  <si>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</si>
  <si>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</si>
  <si>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</si>
  <si>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</si>
  <si>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</si>
  <si>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</si>
  <si>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</si>
  <si>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</si>
  <si>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</si>
  <si>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</si>
  <si>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</si>
  <si>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</si>
  <si>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</si>
  <si>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</si>
  <si>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</si>
  <si>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</si>
  <si>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</si>
  <si>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</si>
  <si>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</si>
  <si>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</si>
  <si>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</si>
  <si>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</si>
  <si>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</si>
  <si>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</si>
  <si>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</si>
  <si>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</si>
  <si>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</si>
  <si>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</si>
  <si>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</si>
  <si>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</si>
  <si>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</si>
  <si>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</si>
  <si>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</si>
  <si>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</si>
  <si>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</si>
  <si>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</si>
  <si>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</si>
  <si>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</si>
  <si>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</si>
  <si>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</si>
  <si>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</si>
  <si>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</si>
  <si>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</si>
  <si>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</si>
  <si>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</si>
  <si>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</si>
  <si>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</si>
  <si>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</si>
  <si>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</si>
  <si>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</si>
  <si>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</si>
  <si>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</si>
  <si>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</si>
  <si>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</si>
  <si>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</si>
  <si>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</si>
  <si>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</si>
  <si>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</si>
  <si>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</si>
  <si>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</si>
  <si>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</si>
  <si>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</si>
  <si>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</si>
  <si>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</si>
  <si>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</si>
  <si>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</si>
  <si>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</si>
  <si>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</si>
  <si>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</si>
  <si>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</si>
  <si>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</si>
  <si>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</si>
  <si>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</si>
  <si>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</si>
  <si>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</si>
  <si>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</si>
  <si>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</si>
  <si>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</si>
  <si>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</si>
  <si>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</si>
  <si>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</si>
  <si>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</si>
  <si>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</si>
  <si>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</si>
  <si>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</si>
  <si>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</si>
  <si>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</si>
  <si>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</si>
  <si>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</si>
  <si>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</si>
  <si>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</si>
  <si>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</si>
  <si>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</si>
  <si>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</si>
  <si>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</si>
  <si>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</si>
  <si>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</si>
  <si>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</si>
  <si>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</si>
  <si>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</si>
  <si>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</si>
  <si>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</si>
  <si>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</si>
  <si>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</si>
  <si>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</si>
  <si>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</si>
  <si>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</si>
  <si>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</si>
  <si>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</si>
  <si>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</si>
  <si>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</si>
  <si>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</si>
  <si>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</si>
  <si>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</si>
  <si>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</si>
  <si>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</si>
  <si>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</si>
  <si>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</si>
  <si>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</si>
  <si>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</si>
  <si>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</si>
  <si>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</si>
  <si>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</si>
  <si>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</si>
  <si>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</si>
  <si>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</si>
  <si>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</si>
  <si>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</si>
  <si>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</si>
  <si>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</si>
  <si>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</si>
  <si>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</si>
  <si>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</si>
  <si>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</si>
  <si>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</si>
  <si>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</si>
  <si>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</si>
  <si>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</si>
  <si>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</si>
  <si>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</si>
  <si>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</si>
  <si>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</si>
  <si>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</si>
  <si>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</si>
  <si>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</si>
  <si>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</si>
  <si>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</si>
  <si>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</si>
  <si>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</si>
  <si>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</si>
  <si>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</si>
  <si>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</si>
  <si>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</si>
  <si>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</si>
  <si>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</si>
  <si>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</si>
  <si>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</si>
  <si>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</si>
  <si>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</si>
  <si>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</si>
  <si>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</si>
  <si>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</si>
  <si>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</si>
  <si>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</si>
  <si>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</si>
  <si>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</si>
  <si>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</si>
  <si>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</si>
  <si>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</si>
  <si>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</si>
  <si>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</si>
  <si>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</si>
  <si>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</si>
  <si>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</si>
  <si>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</si>
  <si>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</si>
  <si>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</si>
  <si>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</si>
  <si>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</si>
  <si>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</si>
  <si>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</si>
  <si>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</si>
  <si>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</si>
  <si>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</si>
  <si>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</si>
  <si>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</si>
  <si>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</si>
  <si>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</si>
  <si>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</si>
  <si>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</si>
  <si>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</si>
  <si>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</si>
  <si>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</si>
  <si>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</si>
  <si>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</si>
  <si>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</si>
  <si>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</si>
  <si>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</si>
  <si>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</si>
  <si>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</si>
  <si>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</si>
  <si>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</si>
  <si>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</si>
  <si>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</si>
  <si>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</si>
  <si>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</si>
  <si>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</si>
  <si>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</si>
  <si>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</si>
  <si>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</si>
  <si>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</si>
  <si>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</si>
  <si>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</si>
  <si>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</si>
  <si>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</si>
  <si>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</si>
  <si>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</si>
  <si>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</si>
  <si>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</si>
  <si>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</si>
  <si>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</si>
  <si>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</si>
  <si>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</si>
  <si>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</si>
  <si>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</si>
  <si>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</si>
  <si>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</si>
  <si>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</si>
  <si>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</si>
  <si>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</si>
  <si>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</si>
  <si>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</si>
  <si>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</si>
  <si>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</si>
  <si>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</si>
  <si>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</si>
  <si>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</si>
  <si>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</si>
  <si>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</si>
  <si>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</si>
  <si>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</si>
  <si>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</si>
  <si>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</si>
  <si>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</si>
  <si>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</si>
  <si>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</si>
  <si>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</si>
  <si>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</si>
  <si>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</si>
  <si>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</si>
  <si>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</si>
  <si>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</si>
  <si>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</si>
  <si>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</si>
  <si>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</si>
  <si>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</si>
  <si>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</si>
  <si>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</si>
  <si>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</si>
  <si>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</si>
  <si>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</si>
  <si>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</si>
  <si>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</si>
  <si>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</si>
  <si>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</si>
  <si>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</si>
  <si>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</si>
  <si>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</si>
  <si>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</si>
  <si>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</si>
  <si>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</si>
  <si>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</si>
  <si>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</si>
  <si>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</si>
  <si>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</si>
  <si>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</si>
  <si>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</si>
  <si>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</si>
  <si>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</si>
  <si>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</si>
  <si>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</si>
  <si>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</si>
  <si>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</si>
  <si>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</si>
  <si>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</si>
  <si>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</si>
  <si>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</si>
  <si>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</si>
  <si>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</si>
  <si>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</si>
  <si>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</si>
  <si>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</si>
  <si>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</si>
  <si>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</si>
  <si>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</si>
  <si>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</si>
  <si>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</si>
  <si>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</si>
  <si>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</si>
  <si>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</si>
  <si>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</si>
  <si>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</si>
  <si>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</si>
  <si>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</si>
  <si>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</si>
  <si>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</si>
  <si>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</si>
  <si>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</si>
  <si>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</si>
  <si>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</si>
  <si>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</si>
  <si>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</si>
  <si>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</si>
  <si>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</si>
  <si>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</si>
  <si>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</si>
  <si>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</si>
  <si>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</si>
  <si>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</si>
  <si>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</si>
  <si>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</si>
  <si>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</si>
  <si>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</si>
  <si>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</si>
  <si>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</si>
  <si>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</si>
  <si>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</si>
  <si>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</si>
  <si>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</si>
  <si>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</si>
  <si>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</si>
  <si>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</si>
  <si>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</si>
  <si>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</si>
  <si>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</si>
  <si>
    <t>40%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</si>
</sst>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9" fontId="15" fillId="0" borderId="0" xfId="3" applyFont="1" applyFill="1" applyBorder="1"/>
    <xf numFmtId="164" fontId="1" fillId="0" borderId="0" xfId="1" applyNumberFormat="1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" workbookViewId="0">
      <selection activeCell="G20" sqref="G20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982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1089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212112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212112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1093</v>
      </c>
      <c r="B14" s="1691"/>
      <c r="C14" s="1691"/>
      <c r="D14" s="1715" t="s">
        <v>1101</v>
      </c>
      <c r="E14" s="700"/>
    </row>
    <row r="15" spans="1:5">
      <c r="A15" s="1582" t="s">
        <v>1090</v>
      </c>
      <c r="B15" s="1678"/>
      <c r="C15" s="1685"/>
      <c r="D15" s="1679" cm="1">
        <f t="array" aca="1" ref="D15" ca="1">IF(D14="Year 7 Takeout", INDIRECT("GapCalc!K46"), INDIRECT("GapCalc!K58"))</f>
        <v>-0.12534578427982032</v>
      </c>
      <c r="E15" s="700"/>
    </row>
    <row r="16" spans="1:5">
      <c r="A16" s="1681" t="s">
        <v>1091</v>
      </c>
      <c r="B16" s="702"/>
      <c r="D16" s="1680" cm="1">
        <f t="array" aca="1" ref="D16" ca="1">IF(D14="Year 7 Takeout", INDIRECT("GapCalc!K51"), INDIRECT("GapCalc!K63"))</f>
        <v>-0.12534578427982032</v>
      </c>
      <c r="E16" s="700"/>
    </row>
    <row r="17" spans="1:6">
      <c r="A17" s="1686"/>
      <c r="B17" s="702"/>
      <c r="D17" s="1682"/>
      <c r="E17" s="1754" t="s">
        <v>960</v>
      </c>
    </row>
    <row r="18" spans="1:6">
      <c r="A18" s="1683" t="s">
        <v>1092</v>
      </c>
      <c r="B18" s="47"/>
      <c r="C18" s="47"/>
      <c r="D18" s="1684" cm="1">
        <f t="array" aca="1" ref="D18" ca="1">IF(D14="Year 7 Takeout", INDIRECT("GapCalc!I55"), INDIRECT("GapCalc!I67"))</f>
        <v>-104488183.53493711</v>
      </c>
      <c r="E18" s="1753">
        <f ca="1">-D18/D28</f>
        <v>0.76241054515319984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381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88641661.874999985</v>
      </c>
      <c r="E22" s="1531">
        <f t="shared" ref="E22:E28" si="0">D22/$D$10</f>
        <v>351752.62648809521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10109822.516846415</v>
      </c>
      <c r="E25" s="1531">
        <f t="shared" si="0"/>
        <v>40118.343320819105</v>
      </c>
    </row>
    <row r="26" spans="1:6">
      <c r="A26" s="64"/>
      <c r="B26" s="4" t="s">
        <v>20</v>
      </c>
      <c r="C26" s="4"/>
      <c r="D26" s="1531">
        <f>'Development Budget'!G181</f>
        <v>1841198.0000000002</v>
      </c>
      <c r="E26" s="1531">
        <f t="shared" si="0"/>
        <v>7306.3412698412703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13102053.313562736</v>
      </c>
      <c r="E27" s="1532">
        <f t="shared" si="0"/>
        <v>51992.275053820384</v>
      </c>
    </row>
    <row r="28" spans="1:6" ht="16.5" thickTop="1">
      <c r="A28" s="4"/>
      <c r="B28" s="4"/>
      <c r="C28" s="150" t="s">
        <v>14</v>
      </c>
      <c r="D28" s="1533">
        <f>SUM(D21:D27)</f>
        <v>137049761.70540914</v>
      </c>
      <c r="E28" s="1531">
        <f t="shared" si="0"/>
        <v>543848.26073575055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381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89148665.503889993</v>
      </c>
      <c r="E32" s="1586">
        <f t="shared" si="1"/>
        <v>353764.54565035709</v>
      </c>
    </row>
    <row r="33" spans="1:5">
      <c r="A33" s="64"/>
      <c r="B33" s="4" t="s">
        <v>1050</v>
      </c>
      <c r="C33" s="4"/>
      <c r="D33" s="1587">
        <f>GapCalc!D29</f>
        <v>7185164.4302278729</v>
      </c>
      <c r="E33" s="1586">
        <f>D33/$D$10</f>
        <v>28512.557262809019</v>
      </c>
    </row>
    <row r="34" spans="1:5">
      <c r="A34" s="65"/>
      <c r="B34" s="4" t="s">
        <v>26</v>
      </c>
      <c r="C34" s="4"/>
      <c r="D34" s="1587">
        <f>GapCalc!D30</f>
        <v>40715931.771291278</v>
      </c>
      <c r="E34" s="1586">
        <f>D34/$D$10</f>
        <v>161571.15782258444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137049761.70540914</v>
      </c>
      <c r="E36" s="1586">
        <f>D36/$D$10</f>
        <v>543848.26073575055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381</v>
      </c>
    </row>
    <row r="39" spans="1:5">
      <c r="A39" s="60"/>
      <c r="B39" s="4" t="s">
        <v>1046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994</v>
      </c>
      <c r="C40" s="4"/>
      <c r="D40" s="1586">
        <f>GapCalc!D37</f>
        <v>24064871.094953805</v>
      </c>
      <c r="E40" s="1586">
        <f t="shared" ref="E40" si="2">D40/$D$10</f>
        <v>95495.520218070655</v>
      </c>
    </row>
    <row r="41" spans="1:5">
      <c r="A41" s="60"/>
      <c r="B41" s="4" t="s">
        <v>1050</v>
      </c>
      <c r="C41" s="4"/>
      <c r="D41" s="1591">
        <f>GapCalc!D29+GapCalc!D38</f>
        <v>16947733.591568299</v>
      </c>
      <c r="E41" s="1586">
        <f>D41/$D$10</f>
        <v>67252.911077651981</v>
      </c>
    </row>
    <row r="42" spans="1:5">
      <c r="A42" s="60"/>
      <c r="B42" s="1557" t="s">
        <v>26</v>
      </c>
      <c r="C42" s="4"/>
      <c r="D42" s="1592">
        <f>GapCalc!D30+GapCalc!D39</f>
        <v>96037157.018887043</v>
      </c>
      <c r="E42" s="1586">
        <f>D42/$D$10</f>
        <v>381099.82944002794</v>
      </c>
    </row>
    <row r="43" spans="1:5">
      <c r="A43" s="60"/>
      <c r="B43" s="1714" t="s">
        <v>1100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137049761.70540914</v>
      </c>
      <c r="E45" s="1588">
        <f>D45/$D$10</f>
        <v>543848.26073575055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38" sqref="D38:D3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982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212112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212112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381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88641661.874999985</v>
      </c>
      <c r="E18" s="1531">
        <f t="shared" ref="E18:E24" si="0">D18/$D$11</f>
        <v>351752.62648809521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10109822.516846415</v>
      </c>
      <c r="E21" s="1531">
        <f t="shared" si="0"/>
        <v>40118.343320819105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1841198.0000000002</v>
      </c>
      <c r="E22" s="1531">
        <f t="shared" si="0"/>
        <v>7306.3412698412703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13102053.313562736</v>
      </c>
      <c r="E23" s="1532">
        <f t="shared" si="0"/>
        <v>51992.275053820384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137049761.70540914</v>
      </c>
      <c r="E24" s="1531">
        <f t="shared" si="0"/>
        <v>543848.26073575055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381</v>
      </c>
      <c r="G26" s="1515" t="s">
        <v>1049</v>
      </c>
      <c r="H26" s="1437">
        <f>SUM(D29:D30)/H34</f>
        <v>0.4239601945243332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980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89148665.503889993</v>
      </c>
      <c r="E28" s="1586">
        <f t="shared" si="1"/>
        <v>353764.54565035709</v>
      </c>
      <c r="F28" s="62"/>
      <c r="G28" s="1419" t="s">
        <v>607</v>
      </c>
      <c r="H28" s="1608">
        <f>H32/D11</f>
        <v>67252.911077651981</v>
      </c>
      <c r="I28" s="703"/>
    </row>
    <row r="29" spans="1:10" ht="15.75">
      <c r="A29" s="64"/>
      <c r="B29" s="4" t="s">
        <v>1050</v>
      </c>
      <c r="C29" s="4"/>
      <c r="D29" s="1587">
        <v>7185164.4302278729</v>
      </c>
      <c r="E29" s="1586">
        <f>D29/$D$11</f>
        <v>28512.557262809019</v>
      </c>
      <c r="F29" s="520"/>
      <c r="G29" s="1420" t="s">
        <v>970</v>
      </c>
      <c r="H29" s="1609">
        <f>H33/D11</f>
        <v>381099.82944002794</v>
      </c>
      <c r="I29" s="703"/>
    </row>
    <row r="30" spans="1:10" ht="16.5" thickBot="1">
      <c r="A30" s="65"/>
      <c r="B30" s="4" t="s">
        <v>26</v>
      </c>
      <c r="C30" s="4"/>
      <c r="D30" s="1587">
        <v>40715931.771291278</v>
      </c>
      <c r="E30" s="1586">
        <f>D30/$D$11</f>
        <v>161571.15782258444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999</v>
      </c>
      <c r="H31" s="1610"/>
      <c r="I31" s="1439"/>
      <c r="J31" s="690"/>
    </row>
    <row r="32" spans="1:10" ht="16.5" thickBot="1">
      <c r="A32" s="1433"/>
      <c r="B32" s="67" t="s">
        <v>996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607</v>
      </c>
      <c r="H32" s="1611">
        <f>D29+D38</f>
        <v>16947733.591568299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137049761.70540914</v>
      </c>
      <c r="E33" s="1586">
        <f>D33/$D$11</f>
        <v>543848.26073575055</v>
      </c>
      <c r="F33" s="62"/>
      <c r="G33" s="1441" t="s">
        <v>970</v>
      </c>
      <c r="H33" s="1611">
        <f>D30+D39</f>
        <v>96037157.018887043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112984890.61045533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381</v>
      </c>
      <c r="F35" s="68"/>
      <c r="G35" s="1339"/>
      <c r="H35" s="1603"/>
      <c r="I35" s="1341" t="s">
        <v>960</v>
      </c>
      <c r="J35" s="690"/>
    </row>
    <row r="36" spans="1:12" ht="16.5" thickBot="1">
      <c r="A36" s="60"/>
      <c r="B36" s="4" t="s">
        <v>1046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0.82440778593485142</v>
      </c>
      <c r="J36" s="704"/>
    </row>
    <row r="37" spans="1:12" ht="16.5" thickBot="1">
      <c r="A37" s="60"/>
      <c r="B37" s="4" t="s">
        <v>994</v>
      </c>
      <c r="C37" s="4"/>
      <c r="D37" s="1586">
        <f>Data!C38</f>
        <v>24064871.094953805</v>
      </c>
      <c r="E37" s="1586">
        <f t="shared" ref="E37" si="2">D37/$D$11</f>
        <v>95495.520218070655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1050</v>
      </c>
      <c r="C38" s="4"/>
      <c r="D38" s="1591">
        <v>9762569.1613404267</v>
      </c>
      <c r="E38" s="1586">
        <f>D38/$D$11</f>
        <v>38740.353814842965</v>
      </c>
      <c r="F38" s="62"/>
      <c r="G38" s="1434" t="s">
        <v>997</v>
      </c>
      <c r="H38" s="1615" t="s">
        <v>981</v>
      </c>
      <c r="I38" s="1442" t="s">
        <v>1001</v>
      </c>
      <c r="J38" s="690"/>
    </row>
    <row r="39" spans="1:12" ht="15.75">
      <c r="A39" s="60"/>
      <c r="B39" s="1557" t="s">
        <v>26</v>
      </c>
      <c r="C39" s="4"/>
      <c r="D39" s="1592">
        <v>55321225.247595757</v>
      </c>
      <c r="E39" s="1586">
        <f>D39/$D$11</f>
        <v>219528.67161744347</v>
      </c>
      <c r="F39" s="62"/>
      <c r="G39" s="1435" t="s">
        <v>607</v>
      </c>
      <c r="H39" s="1616">
        <f>-D32*0.15</f>
        <v>0</v>
      </c>
      <c r="I39" s="1596">
        <f>D29+H39</f>
        <v>7185164.4302278729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970</v>
      </c>
      <c r="H40" s="1617">
        <f>-D32*0.85</f>
        <v>0</v>
      </c>
      <c r="I40" s="1597">
        <f>D30+H40</f>
        <v>40715931.771291278</v>
      </c>
      <c r="J40" s="690"/>
    </row>
    <row r="41" spans="1:12" ht="16.5" thickBot="1">
      <c r="A41" s="66"/>
      <c r="B41" s="67" t="s">
        <v>996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89148665.503889993</v>
      </c>
      <c r="E42" s="1586">
        <f>D42/$D$11</f>
        <v>353764.54565035709</v>
      </c>
      <c r="G42" s="1434" t="s">
        <v>998</v>
      </c>
      <c r="H42" s="1615" t="s">
        <v>981</v>
      </c>
      <c r="I42" s="1599" t="s">
        <v>1001</v>
      </c>
      <c r="J42" s="690"/>
    </row>
    <row r="43" spans="1:12" ht="15.75">
      <c r="A43" s="65"/>
      <c r="B43" s="60"/>
      <c r="C43" s="60"/>
      <c r="D43" s="61"/>
      <c r="E43" s="61"/>
      <c r="G43" s="1435" t="s">
        <v>607</v>
      </c>
      <c r="H43" s="1616">
        <f>-D41*0.15</f>
        <v>0</v>
      </c>
      <c r="I43" s="1596">
        <f>D38+H43</f>
        <v>9762569.1613404267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970</v>
      </c>
      <c r="H44" s="1616">
        <f>-D41*0.85</f>
        <v>0</v>
      </c>
      <c r="I44" s="1596">
        <f>D39+H44</f>
        <v>55321225.247595757</v>
      </c>
      <c r="J44" s="690"/>
    </row>
    <row r="45" spans="1:12" ht="15.75">
      <c r="A45" s="60"/>
      <c r="D45" s="159"/>
      <c r="E45" s="159"/>
      <c r="G45" s="4"/>
      <c r="H45" s="1705" t="s">
        <v>1094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1060</v>
      </c>
      <c r="I46" s="1600">
        <f>'Cash Flow'!C66</f>
        <v>7222201.0141904932</v>
      </c>
      <c r="J46" s="1582" t="s">
        <v>1082</v>
      </c>
      <c r="K46" s="1583">
        <f>'Cash Flow'!C76</f>
        <v>-0.12534578427982032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1061</v>
      </c>
      <c r="I47" s="1601">
        <f>'Cash Flow'!C80</f>
        <v>2045648.434622877</v>
      </c>
      <c r="J47" s="1584" t="s">
        <v>1097</v>
      </c>
      <c r="K47" s="1607">
        <f>'Cash Flow'!C70</f>
        <v>11772187.653130503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1058</v>
      </c>
      <c r="I48" s="1602">
        <f>I46-H33</f>
        <v>-88814956.004696548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1069</v>
      </c>
      <c r="I51" s="1604">
        <f>'Cash Flow'!H66</f>
        <v>1274506.0613277338</v>
      </c>
      <c r="J51" s="1585" t="s">
        <v>1082</v>
      </c>
      <c r="K51" s="1618">
        <f>'Cash Flow'!H76</f>
        <v>-0.12534578427982032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1070</v>
      </c>
      <c r="I52" s="1605">
        <f>H32</f>
        <v>16947733.591568299</v>
      </c>
      <c r="J52" s="1584" t="s">
        <v>1096</v>
      </c>
      <c r="K52" s="1607">
        <f>'Cash Flow'!H70</f>
        <v>2077444.8799642061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1058</v>
      </c>
      <c r="I53" s="1606">
        <f>I51-I52</f>
        <v>-15673227.530240566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1074</v>
      </c>
      <c r="I55" s="1711">
        <f>I48+I53</f>
        <v>-104488183.53493711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1095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1060</v>
      </c>
      <c r="I58" s="1600">
        <f>'Cash Flow'!C93</f>
        <v>10469918.90676867</v>
      </c>
      <c r="J58" s="1582" t="s">
        <v>1082</v>
      </c>
      <c r="K58" s="1583">
        <f>'Cash Flow'!C103</f>
        <v>-8.2229828175071157E-2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1061</v>
      </c>
      <c r="I59" s="1601">
        <f>'Cash Flow'!C92</f>
        <v>0</v>
      </c>
      <c r="J59" s="1584" t="s">
        <v>1096</v>
      </c>
      <c r="K59" s="1607">
        <f>'Cash Flow'!C97</f>
        <v>17065967.818032932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1058</v>
      </c>
      <c r="I60" s="1602">
        <f>I58-H33</f>
        <v>-85567238.112118378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1069</v>
      </c>
      <c r="I63" s="1604">
        <f>'Cash Flow'!H93</f>
        <v>1424657.8840151366</v>
      </c>
      <c r="J63" s="1585" t="s">
        <v>1082</v>
      </c>
      <c r="K63" s="1618">
        <f>'Cash Flow'!H103</f>
        <v>-8.6297918017191458E-2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1070</v>
      </c>
      <c r="I64" s="1605">
        <f>H32</f>
        <v>16947733.591568299</v>
      </c>
      <c r="J64" s="1584" t="s">
        <v>1096</v>
      </c>
      <c r="K64" s="1607">
        <f>'Cash Flow'!H97</f>
        <v>2322192.3509446727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1058</v>
      </c>
      <c r="I65" s="1606">
        <f>I63-I64</f>
        <v>-15523075.707553161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1074</v>
      </c>
      <c r="I67" s="1701">
        <f>I60+I65</f>
        <v>-101090313.81967154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" zoomScale="130" zoomScaleNormal="130" workbookViewId="0">
      <selection activeCell="P23" sqref="P22:P2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1000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1081</v>
      </c>
      <c r="N7" s="201">
        <f>E28</f>
        <v>50</v>
      </c>
      <c r="O7" s="521">
        <f t="shared" ref="O7:O18" si="0">N7/$N$18</f>
        <v>0.1984126984126984</v>
      </c>
      <c r="Q7" s="283">
        <f>O7+O8+O9</f>
        <v>0.99206349206349209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1103</v>
      </c>
      <c r="N8" s="201">
        <f>E37</f>
        <v>75</v>
      </c>
      <c r="O8" s="521">
        <f t="shared" si="0"/>
        <v>0.29761904761904762</v>
      </c>
      <c r="Q8" s="283">
        <f>SUM(O10:O15)</f>
        <v>0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77</v>
      </c>
      <c r="E9" s="278">
        <f>IF(D9="","",D9/D$15)</f>
        <v>0.30555555555555558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42</v>
      </c>
      <c r="N9" s="298">
        <f>E46+E183</f>
        <v>125</v>
      </c>
      <c r="O9" s="332">
        <f t="shared" si="0"/>
        <v>0.49603174603174605</v>
      </c>
    </row>
    <row r="10" spans="2:19" ht="12.75" customHeight="1">
      <c r="B10" s="268"/>
      <c r="C10" s="209" t="s">
        <v>52</v>
      </c>
      <c r="D10" s="210">
        <f>SUM(E24,E33,E42,E51,E60,E78,E69,E87,E96,E116,E106)</f>
        <v>88</v>
      </c>
      <c r="E10" s="278">
        <f>IF(D10="","",D10/D$15)</f>
        <v>0.34920634920634919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87</v>
      </c>
      <c r="E11" s="278">
        <f>IF(D11="","",D11/D$15)</f>
        <v>0.34523809523809523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0</v>
      </c>
      <c r="O13" s="332">
        <f>N13/$N$18</f>
        <v>0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985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61</v>
      </c>
      <c r="E17" s="284">
        <f>SUM(J28+J37,J46,J55,J64,J82,J91,J73,J100,J120,J110)</f>
        <v>176760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292819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984</v>
      </c>
      <c r="O19" s="283">
        <f>SUM(O7:O9)</f>
        <v>0.99206349206349209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16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6400</v>
      </c>
      <c r="K23" s="292">
        <f>E23*I23</f>
        <v>11648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18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12060</v>
      </c>
      <c r="K24" s="292">
        <f>E24*I24</f>
        <v>14040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16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16000</v>
      </c>
      <c r="K25" s="292">
        <f>E25*I25</f>
        <v>14976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50</v>
      </c>
      <c r="F28" s="241"/>
      <c r="G28" s="241"/>
      <c r="H28" s="243"/>
      <c r="I28" s="241"/>
      <c r="J28" s="293">
        <f>SUM(J23:J27)</f>
        <v>34460</v>
      </c>
      <c r="K28" s="294">
        <f>SUM(K23:K27)</f>
        <v>40664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0.4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22</v>
      </c>
      <c r="F32" s="223"/>
      <c r="G32" s="308">
        <f>H9*$C$29</f>
        <v>970.40000000000009</v>
      </c>
      <c r="H32" s="308">
        <f>$K$9</f>
        <v>0</v>
      </c>
      <c r="I32" s="228">
        <f>ROUND(G32-H32,0)</f>
        <v>970</v>
      </c>
      <c r="J32" s="284">
        <f>D32*E32</f>
        <v>8800</v>
      </c>
      <c r="K32" s="292">
        <f>E32*I32</f>
        <v>21340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27</v>
      </c>
      <c r="F33" s="223"/>
      <c r="G33" s="308">
        <f>H10*$C$29</f>
        <v>1040</v>
      </c>
      <c r="H33" s="308">
        <f>$K$10</f>
        <v>0</v>
      </c>
      <c r="I33" s="228">
        <f>ROUND(G33-H33,0)</f>
        <v>1040</v>
      </c>
      <c r="J33" s="284">
        <f>D33*E33</f>
        <v>18090</v>
      </c>
      <c r="K33" s="292">
        <f>E33*I33</f>
        <v>28080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26</v>
      </c>
      <c r="F34" s="223"/>
      <c r="G34" s="308">
        <f>H11*$C$29</f>
        <v>1248</v>
      </c>
      <c r="H34" s="228">
        <f>$K$11</f>
        <v>0</v>
      </c>
      <c r="I34" s="228">
        <f>ROUND(G34-H34,0)</f>
        <v>1248</v>
      </c>
      <c r="J34" s="284">
        <f>D34*E34</f>
        <v>26000</v>
      </c>
      <c r="K34" s="292">
        <f>E34*I34</f>
        <v>32448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1442.4</v>
      </c>
      <c r="H35" s="228">
        <v>0</v>
      </c>
      <c r="I35" s="228">
        <f>ROUND(G35-H35,0)</f>
        <v>1442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75</v>
      </c>
      <c r="F37" s="241"/>
      <c r="G37" s="241"/>
      <c r="H37" s="243"/>
      <c r="I37" s="241"/>
      <c r="J37" s="293">
        <f>SUM(J32:J36)</f>
        <v>52890</v>
      </c>
      <c r="K37" s="294">
        <f>SUM(K32:K36)</f>
        <v>81868</v>
      </c>
      <c r="U37" s="332"/>
    </row>
    <row r="38" spans="2:21" ht="12.75" customHeight="1">
      <c r="B38" s="289"/>
      <c r="C38" s="314">
        <v>0.5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39</v>
      </c>
      <c r="F41" s="223"/>
      <c r="G41" s="308">
        <f>H9*$C$38</f>
        <v>1213</v>
      </c>
      <c r="H41" s="308">
        <f>$K$9</f>
        <v>0</v>
      </c>
      <c r="I41" s="228">
        <f>ROUND(G41-H41,0)</f>
        <v>1213</v>
      </c>
      <c r="J41" s="284">
        <f>D41*E41</f>
        <v>15600</v>
      </c>
      <c r="K41" s="292">
        <f>E41*I41</f>
        <v>47307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43</v>
      </c>
      <c r="F42" s="223"/>
      <c r="G42" s="308">
        <f>H10*C38</f>
        <v>1300</v>
      </c>
      <c r="H42" s="308">
        <f>$K$10</f>
        <v>0</v>
      </c>
      <c r="I42" s="228">
        <f>ROUND(G42-H42,0)</f>
        <v>1300</v>
      </c>
      <c r="J42" s="284">
        <f>D42*E42</f>
        <v>28810</v>
      </c>
      <c r="K42" s="292">
        <f>E42*I42</f>
        <v>55900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43</v>
      </c>
      <c r="F43" s="223"/>
      <c r="G43" s="308">
        <f>H11*C38</f>
        <v>1560</v>
      </c>
      <c r="H43" s="228">
        <f>$K$11</f>
        <v>0</v>
      </c>
      <c r="I43" s="228">
        <f>ROUND(G43-H43,0)</f>
        <v>1560</v>
      </c>
      <c r="J43" s="284">
        <f>D43*E43</f>
        <v>43000</v>
      </c>
      <c r="K43" s="292">
        <f>E43*I43</f>
        <v>67080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1803</v>
      </c>
      <c r="H44" s="228">
        <v>0</v>
      </c>
      <c r="I44" s="228">
        <f>ROUND(G44-H44,0)</f>
        <v>1803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125</v>
      </c>
      <c r="F46" s="203"/>
      <c r="G46" s="203"/>
      <c r="H46" s="246"/>
      <c r="I46" s="247"/>
      <c r="J46" s="296">
        <f>SUM(J41:J45)</f>
        <v>87410</v>
      </c>
      <c r="K46" s="297">
        <f>SUM(K41:K45)</f>
        <v>170287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0</v>
      </c>
      <c r="K50" s="292">
        <f>E50*I50</f>
        <v>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0</v>
      </c>
      <c r="K51" s="292">
        <f>E51*I51</f>
        <v>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0</v>
      </c>
      <c r="K52" s="292">
        <f>E52*I52</f>
        <v>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0</v>
      </c>
      <c r="F55" s="247"/>
      <c r="G55" s="247"/>
      <c r="H55" s="246"/>
      <c r="I55" s="247"/>
      <c r="J55" s="296">
        <f>SUM(J50:J54)</f>
        <v>0</v>
      </c>
      <c r="K55" s="297">
        <f>SUM(K50:K54)</f>
        <v>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79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80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50" zoomScaleNormal="100" workbookViewId="0">
      <selection activeCell="P160" sqref="P160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81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987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721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722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723</v>
      </c>
      <c r="AK11" s="978"/>
      <c r="AL11" s="979"/>
      <c r="AM11" s="980"/>
      <c r="AN11" s="981"/>
      <c r="AO11" s="981"/>
      <c r="AP11" s="980"/>
      <c r="AQ11" s="982" t="s">
        <v>724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83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346</v>
      </c>
      <c r="D15" s="1000"/>
      <c r="E15" s="987"/>
      <c r="F15" s="987"/>
      <c r="G15" s="987" t="s">
        <v>725</v>
      </c>
      <c r="I15" s="993" t="s">
        <v>381</v>
      </c>
      <c r="J15" s="988"/>
      <c r="K15" s="987" t="s">
        <v>726</v>
      </c>
      <c r="L15" s="988"/>
      <c r="M15" s="1001" t="s">
        <v>727</v>
      </c>
      <c r="N15" s="1002"/>
      <c r="P15" s="1003" t="s">
        <v>728</v>
      </c>
      <c r="Q15" s="1004"/>
      <c r="R15" s="1004"/>
      <c r="S15" s="1004"/>
      <c r="U15" s="995" t="s">
        <v>729</v>
      </c>
      <c r="V15" s="995" t="s">
        <v>730</v>
      </c>
      <c r="X15" s="995" t="s">
        <v>731</v>
      </c>
      <c r="Z15" s="995" t="s">
        <v>732</v>
      </c>
      <c r="AB15" s="995" t="s">
        <v>733</v>
      </c>
      <c r="AD15" s="996" t="s">
        <v>734</v>
      </c>
      <c r="AF15" s="996" t="s">
        <v>735</v>
      </c>
      <c r="AH15" s="997" t="s">
        <v>736</v>
      </c>
      <c r="AJ15" s="1005" t="s">
        <v>737</v>
      </c>
      <c r="AL15" s="997" t="s">
        <v>738</v>
      </c>
      <c r="AN15" s="996" t="s">
        <v>739</v>
      </c>
      <c r="AO15" s="996" t="s">
        <v>740</v>
      </c>
      <c r="AQ15" s="996" t="s">
        <v>741</v>
      </c>
      <c r="AR15" s="996" t="s">
        <v>742</v>
      </c>
      <c r="AS15" s="996" t="s">
        <v>743</v>
      </c>
      <c r="AT15" s="996" t="s">
        <v>744</v>
      </c>
      <c r="AU15" s="996" t="s">
        <v>745</v>
      </c>
      <c r="AV15" s="996" t="s">
        <v>746</v>
      </c>
      <c r="AW15" s="996" t="s">
        <v>747</v>
      </c>
      <c r="AX15" s="996" t="s">
        <v>748</v>
      </c>
      <c r="AY15" s="996" t="s">
        <v>749</v>
      </c>
      <c r="AZ15" s="996" t="s">
        <v>750</v>
      </c>
      <c r="BA15" s="996" t="s">
        <v>751</v>
      </c>
      <c r="BB15" s="996" t="s">
        <v>752</v>
      </c>
      <c r="BC15" s="996" t="s">
        <v>753</v>
      </c>
      <c r="BD15" s="996" t="s">
        <v>754</v>
      </c>
      <c r="BE15" s="996" t="s">
        <v>755</v>
      </c>
      <c r="BF15" s="996" t="s">
        <v>756</v>
      </c>
      <c r="BG15" s="996" t="s">
        <v>757</v>
      </c>
      <c r="BH15" s="996" t="s">
        <v>758</v>
      </c>
      <c r="BI15" s="996" t="s">
        <v>759</v>
      </c>
      <c r="BJ15" s="996" t="s">
        <v>760</v>
      </c>
      <c r="BK15" s="996" t="s">
        <v>761</v>
      </c>
      <c r="BL15" s="996" t="s">
        <v>762</v>
      </c>
      <c r="BM15" s="996" t="s">
        <v>763</v>
      </c>
      <c r="BN15" s="996" t="s">
        <v>764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86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993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639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765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640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766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641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767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642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643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644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645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646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647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768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769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89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706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707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93</v>
      </c>
      <c r="D32" s="842"/>
      <c r="E32" s="1043"/>
      <c r="F32" s="1044"/>
      <c r="G32" s="1038">
        <f>F33+F35</f>
        <v>70793329.5</v>
      </c>
      <c r="H32" s="1039"/>
      <c r="I32" s="950">
        <f t="shared" si="0"/>
        <v>280925.91071428574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77872662.450000003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668</v>
      </c>
      <c r="E33" s="1063">
        <v>300</v>
      </c>
      <c r="F33" s="1064">
        <f>E33*'Construction Calculation'!C14</f>
        <v>63633600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708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690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709</v>
      </c>
      <c r="E36" s="1048">
        <v>0.1</v>
      </c>
      <c r="F36" s="1049">
        <f>E36*(G32+G31+G30)</f>
        <v>7079332.9500000002</v>
      </c>
      <c r="G36" s="854">
        <f>F36</f>
        <v>7079332.9500000002</v>
      </c>
      <c r="H36" s="950"/>
      <c r="I36" s="950">
        <f t="shared" si="0"/>
        <v>28092.591071428571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710</v>
      </c>
      <c r="D37" s="842"/>
      <c r="E37" s="1048">
        <v>7.0000000000000007E-2</v>
      </c>
      <c r="F37"/>
      <c r="G37" s="1071">
        <f>SUM($G$29:$G$32,$G$20,$G$21)*E37</f>
        <v>4955533.0650000004</v>
      </c>
      <c r="H37" s="1072"/>
      <c r="I37" s="950">
        <f t="shared" si="0"/>
        <v>19664.813750000001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4955533.0650000004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711</v>
      </c>
      <c r="D38" s="842"/>
      <c r="E38" s="1048">
        <v>0.05</v>
      </c>
      <c r="F38"/>
      <c r="G38" s="1071">
        <f>SUM($G$29:$G$32,$G$20,$G$21)*E38</f>
        <v>3539666.4750000001</v>
      </c>
      <c r="H38" s="1072"/>
      <c r="I38" s="950">
        <f t="shared" si="0"/>
        <v>14046.295535714286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3539666.4750000001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712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713</v>
      </c>
      <c r="D40" s="842"/>
      <c r="E40" s="1048">
        <v>1.4999999999999999E-2</v>
      </c>
      <c r="F40"/>
      <c r="G40" s="1071">
        <f>SUM($G$29:$G$32,$G$20,$G$21)*E40</f>
        <v>1061899.9424999999</v>
      </c>
      <c r="H40" s="1072"/>
      <c r="I40" s="950">
        <f t="shared" si="0"/>
        <v>4213.8886607142849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1061899.9424999999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714</v>
      </c>
      <c r="D41" s="842"/>
      <c r="E41" s="1048">
        <v>1.4999999999999999E-2</v>
      </c>
      <c r="F41" s="1074"/>
      <c r="G41" s="1071">
        <f>SUM($G$29:$G$33,$G$20,$G$21)*E41</f>
        <v>1061899.9424999999</v>
      </c>
      <c r="H41" s="1072"/>
      <c r="I41" s="950">
        <f t="shared" si="0"/>
        <v>4213.8886607142849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1061899.9424999999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223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715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716</v>
      </c>
      <c r="D44" s="1320"/>
      <c r="E44" s="1321"/>
      <c r="F44" s="1322"/>
      <c r="G44" s="1323">
        <f>SUM(G30:G43)+G23+G24</f>
        <v>88641661.874999985</v>
      </c>
      <c r="H44" s="1324"/>
      <c r="I44" s="1325">
        <f t="shared" si="0"/>
        <v>351752.62648809521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88641661.874999985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717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718</v>
      </c>
      <c r="D46" s="1335"/>
      <c r="E46" s="1336"/>
      <c r="F46" s="1337"/>
      <c r="G46" s="1332">
        <f>SUM(G44:G45)</f>
        <v>88641661.874999985</v>
      </c>
      <c r="H46" s="1333"/>
      <c r="I46" s="1325">
        <f t="shared" si="0"/>
        <v>351752.62648809521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88641661.874999985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719</v>
      </c>
      <c r="D47" s="842"/>
      <c r="E47" s="1085">
        <v>0.1</v>
      </c>
      <c r="F47" s="1086">
        <v>0.15</v>
      </c>
      <c r="G47" s="1038">
        <f>(E47*G46)</f>
        <v>8864166.1874999981</v>
      </c>
      <c r="H47" s="1039"/>
      <c r="I47" s="950">
        <f t="shared" si="0"/>
        <v>35175.262648809519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8864166.1874999981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720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770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771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772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773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774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384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775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1088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384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983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776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777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965</v>
      </c>
      <c r="D59" s="841"/>
      <c r="E59" s="1053"/>
      <c r="F59" s="1126"/>
      <c r="G59" s="1127">
        <f>SUM(G54:G58)-SUM(F75:F76,G78:G79,G67:G69)</f>
        <v>2311635.8453124999</v>
      </c>
      <c r="H59" s="1128"/>
      <c r="I59" s="950">
        <f t="shared" si="0"/>
        <v>9173.1581163194442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966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778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384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775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384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776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779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367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780</v>
      </c>
      <c r="D67" s="847"/>
      <c r="E67" s="1133">
        <v>2.5000000000000001E-3</v>
      </c>
      <c r="F67" s="1088"/>
      <c r="G67" s="1038">
        <f>(E67*G46)</f>
        <v>221604.15468749998</v>
      </c>
      <c r="H67" s="1039"/>
      <c r="I67" s="950">
        <f t="shared" si="0"/>
        <v>879.38156622023803</v>
      </c>
      <c r="J67" s="1134"/>
      <c r="K67" s="1135" t="s">
        <v>781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221604.15468749998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782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394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783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784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785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786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772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103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787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788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789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790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791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792</v>
      </c>
      <c r="L79" s="1067"/>
      <c r="M79" s="1014"/>
      <c r="N79" s="855"/>
      <c r="O79" s="855"/>
      <c r="P79" s="855" t="s">
        <v>793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794</v>
      </c>
      <c r="D80" s="841"/>
      <c r="E80" s="1098"/>
      <c r="F80" s="1099"/>
      <c r="G80" s="1100">
        <f>SUM(G67:G79)</f>
        <v>412604.15468749998</v>
      </c>
      <c r="H80" s="1101"/>
      <c r="I80" s="950">
        <f t="shared" si="0"/>
        <v>1637.318074156746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412604.15468749998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795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796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967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412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797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798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799</v>
      </c>
      <c r="L91" s="1046"/>
      <c r="M91" s="1672">
        <f>'Permit Fee Breakdown'!F17</f>
        <v>7491</v>
      </c>
      <c r="N91" s="855"/>
      <c r="O91" s="855"/>
      <c r="P91" t="s">
        <v>800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801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802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534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799</v>
      </c>
      <c r="L94" s="1046"/>
      <c r="M94" s="1672">
        <f>11787*F9</f>
        <v>2970324</v>
      </c>
      <c r="N94" s="855"/>
      <c r="O94" s="855"/>
      <c r="P94" s="1157" t="s">
        <v>800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803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804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805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2.9739460684076003E-2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806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807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808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809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810</v>
      </c>
      <c r="L101" s="1045"/>
      <c r="M101" s="1014" t="s">
        <v>580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811</v>
      </c>
      <c r="D102" s="842"/>
      <c r="E102" s="847"/>
      <c r="F102" s="1044"/>
      <c r="G102" s="1110">
        <f>SUM(F103:F105)</f>
        <v>359220.4055422768</v>
      </c>
      <c r="H102" s="1111"/>
      <c r="I102" s="950">
        <f t="shared" si="3"/>
        <v>1425.4777997709398</v>
      </c>
      <c r="J102" s="1094"/>
      <c r="K102" s="1112"/>
      <c r="L102" s="1013"/>
      <c r="M102" s="1168" t="s">
        <v>812</v>
      </c>
      <c r="N102" s="1169" t="s">
        <v>813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359220.4055422768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808</v>
      </c>
      <c r="E103" s="1671">
        <v>0.05</v>
      </c>
      <c r="F103" s="1170">
        <f>E103*N103</f>
        <v>344220.4055422768</v>
      </c>
      <c r="G103" s="1110"/>
      <c r="H103" s="1111"/>
      <c r="I103" s="950">
        <f t="shared" si="3"/>
        <v>0</v>
      </c>
      <c r="J103" s="1094"/>
      <c r="K103" s="1112" t="s">
        <v>814</v>
      </c>
      <c r="L103" s="1013"/>
      <c r="M103" s="1171">
        <f>(0.7*G234)+(0.9*(SUM(G97,G59,)+(0.5*G120)))</f>
        <v>6881007.0649289181</v>
      </c>
      <c r="N103" s="1172">
        <v>6884408.110845536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815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816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817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808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814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815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816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818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808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815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816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819</v>
      </c>
      <c r="D114" s="841"/>
      <c r="E114" s="1053"/>
      <c r="F114" s="1054"/>
      <c r="G114" s="1100">
        <f>SUM(G99:G110)</f>
        <v>359220.4055422768</v>
      </c>
      <c r="H114" s="1101"/>
      <c r="I114" s="950">
        <f t="shared" si="3"/>
        <v>1425.4777997709398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359220.4055422768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820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812</v>
      </c>
      <c r="N115" s="1169" t="s">
        <v>813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107</v>
      </c>
      <c r="D116" s="888"/>
      <c r="E116" s="1174"/>
      <c r="F116" s="1175"/>
      <c r="G116" s="1176">
        <f>N116</f>
        <v>6284980.9180242447</v>
      </c>
      <c r="H116" s="1177"/>
      <c r="I116" s="950">
        <f t="shared" si="3"/>
        <v>24940.400468350177</v>
      </c>
      <c r="J116" s="1178"/>
      <c r="K116" s="1179" t="s">
        <v>821</v>
      </c>
      <c r="L116" s="1073"/>
      <c r="M116" s="1180">
        <f>0.5*Data!C20*Data!C17/12*Data!C19</f>
        <v>6284980.9180242447</v>
      </c>
      <c r="N116" s="1181">
        <v>6284980.9180242447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6284980.9180242447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822</v>
      </c>
      <c r="D117" s="842"/>
      <c r="E117" s="1107"/>
      <c r="F117" s="1044"/>
      <c r="G117" s="1183">
        <f>N117</f>
        <v>891486.65503889997</v>
      </c>
      <c r="H117" s="1094"/>
      <c r="I117" s="950">
        <f t="shared" si="3"/>
        <v>3537.6454565035715</v>
      </c>
      <c r="J117" s="1015"/>
      <c r="K117" s="1184" t="s">
        <v>823</v>
      </c>
      <c r="L117" s="1185"/>
      <c r="M117" s="1186">
        <f>0.01*Data!C20</f>
        <v>891486.65503889997</v>
      </c>
      <c r="N117" s="1172">
        <v>891486.65503889997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891486.65503889997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824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825</v>
      </c>
      <c r="L118" s="1013"/>
      <c r="M118" s="1186">
        <v>0</v>
      </c>
      <c r="N118" s="1172">
        <v>0</v>
      </c>
      <c r="O118" s="1173"/>
      <c r="P118" s="1187" t="s">
        <v>826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827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828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986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406</v>
      </c>
      <c r="D121" s="842"/>
      <c r="E121" s="1050"/>
      <c r="F121" s="1044"/>
      <c r="G121" s="1116">
        <f>SUM(F122:F124)</f>
        <v>1210483.6207292813</v>
      </c>
      <c r="H121" s="1117"/>
      <c r="I121" s="950">
        <f t="shared" si="3"/>
        <v>4803.5064314654019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1210483.6207292813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829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830</v>
      </c>
      <c r="E123" s="1193"/>
      <c r="F123" s="1194">
        <f>'Insurance Estimator'!E19*1.35</f>
        <v>1210483.6207292813</v>
      </c>
      <c r="G123" s="1110"/>
      <c r="H123" s="1111"/>
      <c r="I123" s="950">
        <f t="shared" si="3"/>
        <v>0</v>
      </c>
      <c r="J123" s="1094"/>
      <c r="K123" s="1195" t="s">
        <v>831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832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831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833</v>
      </c>
      <c r="D125" s="842"/>
      <c r="E125" s="1107"/>
      <c r="F125" s="1044"/>
      <c r="G125" s="1110">
        <f>SUM(F126:F127)</f>
        <v>143722.998255835</v>
      </c>
      <c r="H125" s="1111"/>
      <c r="I125" s="950">
        <f t="shared" si="3"/>
        <v>570.32935815807537</v>
      </c>
      <c r="J125" s="1094"/>
      <c r="K125" s="1112"/>
      <c r="L125" s="1013"/>
      <c r="M125" s="1168" t="s">
        <v>812</v>
      </c>
      <c r="N125" s="1169" t="s">
        <v>813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143722.998255835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834</v>
      </c>
      <c r="E126" s="1196">
        <v>1.5E-3</v>
      </c>
      <c r="F126" s="1044">
        <f>N126</f>
        <v>133722.998255835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133722.998255835</v>
      </c>
      <c r="N126" s="1172">
        <v>133722.998255835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835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836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837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838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839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840</v>
      </c>
      <c r="D132" s="888"/>
      <c r="E132" s="1200" t="s">
        <v>841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842</v>
      </c>
      <c r="L132" s="1205"/>
      <c r="M132" s="1168"/>
      <c r="N132" s="1169" t="s">
        <v>813</v>
      </c>
      <c r="O132" s="1169"/>
      <c r="P132" t="s">
        <v>843</v>
      </c>
      <c r="Q132" s="1206" t="s">
        <v>844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845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846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847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848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849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850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851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852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853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854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854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855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856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857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858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859</v>
      </c>
      <c r="D148" s="841"/>
      <c r="E148" s="1053"/>
      <c r="F148" s="1126"/>
      <c r="G148" s="1127">
        <f>SUM(G116:G147)</f>
        <v>9037227.6730482616</v>
      </c>
      <c r="H148" s="1128"/>
      <c r="I148" s="950">
        <f t="shared" si="6"/>
        <v>35862.014575588342</v>
      </c>
      <c r="J148" s="1242"/>
      <c r="K148" s="1129"/>
      <c r="L148" s="1130"/>
      <c r="M148" s="1131" t="s">
        <v>1036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9037227.6730482616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995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812</v>
      </c>
      <c r="N149" s="868" t="s">
        <v>962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860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861</v>
      </c>
      <c r="L151" s="1245"/>
      <c r="M151" s="1558">
        <f>Data!C31*Data!C30</f>
        <v>0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862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834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835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203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863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864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864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865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1035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964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812</v>
      </c>
      <c r="N160" s="868" t="s">
        <v>962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961</v>
      </c>
      <c r="D161" s="842"/>
      <c r="E161" s="1107"/>
      <c r="F161" s="1044"/>
      <c r="G161" s="1110">
        <f>N161</f>
        <v>49532.435547476904</v>
      </c>
      <c r="H161" s="1111"/>
      <c r="I161" s="950"/>
      <c r="J161" s="1094"/>
      <c r="K161" s="1112"/>
      <c r="L161" s="1013"/>
      <c r="M161" s="1343">
        <f>37500+(Data!C38*0.0005)</f>
        <v>49532.435547476904</v>
      </c>
      <c r="N161" s="1344">
        <v>49532.435547476904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860</v>
      </c>
      <c r="D162" s="842"/>
      <c r="E162" s="1087"/>
      <c r="F162" s="1044"/>
      <c r="G162" s="1110">
        <f>N162</f>
        <v>240648.71094953804</v>
      </c>
      <c r="H162" s="1093"/>
      <c r="I162" s="950">
        <f t="shared" si="6"/>
        <v>954.95520218070646</v>
      </c>
      <c r="J162" s="1094"/>
      <c r="K162" s="1244" t="s">
        <v>861</v>
      </c>
      <c r="L162" s="1245"/>
      <c r="M162" s="1343">
        <f>Data!C38*Data!C39</f>
        <v>240648.71094953804</v>
      </c>
      <c r="N162" s="1345">
        <v>240648.71094953804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240648.71094953804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862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721946.13284861413</v>
      </c>
      <c r="N163" s="1344">
        <v>721946.13284861413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834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835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1055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203</v>
      </c>
      <c r="D166" s="842"/>
      <c r="E166" s="1107"/>
      <c r="F166" s="1044"/>
      <c r="G166" s="1110">
        <f>SUM(F167:F169)</f>
        <v>721946.13284861413</v>
      </c>
      <c r="H166" s="1111"/>
      <c r="I166" s="950">
        <f t="shared" si="6"/>
        <v>2864.8656065421196</v>
      </c>
      <c r="J166" s="1094"/>
      <c r="K166" s="1103"/>
      <c r="L166" s="1029"/>
      <c r="M166" s="1104" t="s">
        <v>812</v>
      </c>
      <c r="N166" s="868" t="s">
        <v>962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721946.13284861413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1087</v>
      </c>
      <c r="E167" s="1246"/>
      <c r="F167" s="1247">
        <f>N163</f>
        <v>721946.13284861413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8023379.8953500995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864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864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865</v>
      </c>
      <c r="D170" s="841"/>
      <c r="E170" s="1053"/>
      <c r="F170" s="1126"/>
      <c r="G170" s="1127">
        <f>SUM(G162:G166)</f>
        <v>962594.84379815217</v>
      </c>
      <c r="H170" s="1128"/>
      <c r="I170" s="950">
        <f t="shared" si="6"/>
        <v>3819.8208087228259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962594.84379815217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117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866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867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868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203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869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870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123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871</v>
      </c>
      <c r="D178" s="842"/>
      <c r="E178" s="1253">
        <v>3</v>
      </c>
      <c r="F178" s="1044"/>
      <c r="G178" s="1092">
        <f>E178*(-'Cash Flow'!E18/12)-'Cash Flow'!E22</f>
        <v>1841198.0000000002</v>
      </c>
      <c r="H178" s="1093"/>
      <c r="I178" s="950">
        <f t="shared" si="6"/>
        <v>7306.3412698412703</v>
      </c>
      <c r="J178" s="1094"/>
      <c r="K178" s="1125" t="s">
        <v>872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1841198.0000000002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873</v>
      </c>
      <c r="D179" s="888"/>
      <c r="E179" s="1174"/>
      <c r="F179" s="1254" t="s">
        <v>874</v>
      </c>
      <c r="G179" s="1202" t="b">
        <v>0</v>
      </c>
      <c r="H179" s="1203"/>
      <c r="I179" s="950">
        <f t="shared" si="6"/>
        <v>0</v>
      </c>
      <c r="J179" s="1177"/>
      <c r="K179" s="1179" t="s">
        <v>875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252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876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877</v>
      </c>
      <c r="D181" s="841"/>
      <c r="E181" s="1053"/>
      <c r="F181" s="1126"/>
      <c r="G181" s="1127">
        <f>SUM(G178:G180)</f>
        <v>1841198.0000000002</v>
      </c>
      <c r="H181" s="1128"/>
      <c r="I181" s="950">
        <f t="shared" si="6"/>
        <v>7306.3412698412703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1841198.0000000002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408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878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879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136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880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881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882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409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812</v>
      </c>
      <c r="N190" s="1169" t="s">
        <v>813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883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410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884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885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886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887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888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889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890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891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892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893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894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893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895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896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897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898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486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899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900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901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902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903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904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905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906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907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908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486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909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105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910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911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223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414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912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147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913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914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915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916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917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918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919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920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921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922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923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924</v>
      </c>
      <c r="D233" s="842"/>
      <c r="E233" s="1277">
        <v>0.05</v>
      </c>
      <c r="F233" s="1088"/>
      <c r="G233" s="1110">
        <f>SUM(G190:G231,G189,G181,G176,G170,G148,G114,G97,G80)*E233</f>
        <v>863119.05385380972</v>
      </c>
      <c r="H233" s="1111"/>
      <c r="I233" s="950">
        <f t="shared" si="8"/>
        <v>3425.0756105309911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863119.05385380972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925</v>
      </c>
      <c r="D234" s="841"/>
      <c r="E234" s="1280"/>
      <c r="F234" s="1126"/>
      <c r="G234" s="1281">
        <f>SUM(G191:G233)</f>
        <v>1301869.0538538098</v>
      </c>
      <c r="H234" s="1282"/>
      <c r="I234" s="950">
        <f t="shared" si="8"/>
        <v>5166.1470391024204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1301869.0538538098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149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150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144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926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142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927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928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929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930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931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932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933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934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935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936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937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938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939</v>
      </c>
      <c r="D250" s="1294"/>
      <c r="E250" s="1295"/>
      <c r="F250" s="1296"/>
      <c r="G250" s="1297">
        <f>SUM(G249,G242,G234,G189,G181,G176,G170,G148,G80,G65,G59,G52,G47,G30:G43,G28,G114,G97)</f>
        <v>137049761.70540914</v>
      </c>
      <c r="H250" s="1298"/>
      <c r="I250" s="1299">
        <f>G250/F9</f>
        <v>543848.26073575055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1044</v>
      </c>
    </row>
    <row r="254" spans="2:28">
      <c r="G254" s="1528">
        <f>G250/'Construction Calculation'!C14</f>
        <v>646.11979381368872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G38" sqref="G38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424</v>
      </c>
    </row>
    <row r="2" spans="1:15" ht="18.75">
      <c r="A2" s="158" t="s">
        <v>425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260</v>
      </c>
      <c r="E4" s="507"/>
      <c r="F4" s="507"/>
      <c r="G4" s="508"/>
    </row>
    <row r="5" spans="1:15">
      <c r="B5" s="1349" t="s">
        <v>11</v>
      </c>
      <c r="C5" s="700">
        <f>'Construction Calculation'!C19</f>
        <v>212112</v>
      </c>
      <c r="D5" t="s">
        <v>426</v>
      </c>
      <c r="G5" s="510"/>
    </row>
    <row r="6" spans="1:15">
      <c r="B6" s="1350" t="s">
        <v>12</v>
      </c>
      <c r="C6" s="700">
        <f>'Construction Calculation'!C14</f>
        <v>212112</v>
      </c>
      <c r="D6" t="s">
        <v>426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426</v>
      </c>
      <c r="G7" s="1351"/>
    </row>
    <row r="8" spans="1:15">
      <c r="B8" s="1350" t="s">
        <v>427</v>
      </c>
      <c r="C8" s="700">
        <f>'Construction Calculation'!C13</f>
        <v>35352</v>
      </c>
      <c r="D8" t="s">
        <v>426</v>
      </c>
      <c r="G8" s="510"/>
    </row>
    <row r="9" spans="1:15">
      <c r="B9" s="1350" t="s">
        <v>428</v>
      </c>
      <c r="C9" s="700">
        <f>'Construction Calculation'!C47</f>
        <v>126</v>
      </c>
      <c r="D9" t="s">
        <v>429</v>
      </c>
      <c r="G9" s="510"/>
    </row>
    <row r="10" spans="1:15" ht="16.5" thickBot="1">
      <c r="B10" s="511"/>
      <c r="C10" s="1352">
        <v>22630</v>
      </c>
      <c r="D10" s="512" t="s">
        <v>426</v>
      </c>
      <c r="E10" s="512"/>
      <c r="F10" s="512"/>
      <c r="G10" s="1353"/>
    </row>
    <row r="11" spans="1:15" ht="16.5" thickBot="1"/>
    <row r="12" spans="1:15">
      <c r="A12" s="1356" t="s">
        <v>430</v>
      </c>
      <c r="B12" s="1357"/>
      <c r="C12" s="1357"/>
      <c r="D12" s="1358"/>
      <c r="E12" s="58"/>
    </row>
    <row r="13" spans="1:15">
      <c r="A13" s="1359"/>
      <c r="B13" t="s">
        <v>431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432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433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434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442</v>
      </c>
      <c r="C18" s="55">
        <v>0.65</v>
      </c>
      <c r="D18" s="1360"/>
      <c r="M18" s="48"/>
    </row>
    <row r="19" spans="1:13">
      <c r="A19" s="1359"/>
      <c r="B19" t="s">
        <v>1098</v>
      </c>
      <c r="C19">
        <v>24</v>
      </c>
      <c r="D19" s="1360"/>
      <c r="K19" s="147"/>
      <c r="L19" s="147"/>
      <c r="M19" s="53"/>
    </row>
    <row r="20" spans="1:13">
      <c r="A20" s="1359"/>
      <c r="B20" t="s">
        <v>436</v>
      </c>
      <c r="C20" s="1355">
        <v>89148665.503889993</v>
      </c>
      <c r="D20" s="1375">
        <f>MIN(D22,GapCalc!D24)</f>
        <v>89082345.108515948</v>
      </c>
    </row>
    <row r="21" spans="1:13" ht="16.5" thickBot="1">
      <c r="A21" s="1359"/>
      <c r="B21" t="s">
        <v>108</v>
      </c>
      <c r="C21" s="482">
        <v>0.01</v>
      </c>
      <c r="D21" s="1360"/>
    </row>
    <row r="22" spans="1:13" ht="16.5" thickBot="1">
      <c r="A22" s="1359"/>
      <c r="C22" s="516" t="s">
        <v>1037</v>
      </c>
      <c r="D22" s="1391">
        <f>C18*'Development Budget'!G250</f>
        <v>89082345.108515948</v>
      </c>
      <c r="G22" s="147"/>
    </row>
    <row r="23" spans="1:13">
      <c r="A23" s="1430" t="s">
        <v>437</v>
      </c>
      <c r="B23" s="1370"/>
      <c r="C23" s="1370" t="s">
        <v>67</v>
      </c>
      <c r="D23" s="1370"/>
      <c r="E23" s="1390" t="s">
        <v>963</v>
      </c>
      <c r="F23" s="1382" t="s">
        <v>431</v>
      </c>
      <c r="G23" s="1534">
        <v>0.09</v>
      </c>
      <c r="H23" s="1383"/>
    </row>
    <row r="24" spans="1:13">
      <c r="A24" s="1371"/>
      <c r="B24" t="s">
        <v>431</v>
      </c>
      <c r="C24" s="1361">
        <v>6.0499999999999998E-2</v>
      </c>
      <c r="D24" s="1425">
        <f>PMT(C24/12,C25*12,C30)*12</f>
        <v>0</v>
      </c>
      <c r="E24" s="1384"/>
      <c r="G24" s="1377"/>
      <c r="H24" s="1385"/>
      <c r="K24" s="1425"/>
    </row>
    <row r="25" spans="1:13">
      <c r="A25" s="1371"/>
      <c r="B25" t="s">
        <v>1099</v>
      </c>
      <c r="C25">
        <v>34</v>
      </c>
      <c r="E25" s="1384"/>
      <c r="G25" s="1377"/>
      <c r="H25" s="1385"/>
    </row>
    <row r="26" spans="1:13" ht="16.5" thickBot="1">
      <c r="A26" s="1371"/>
      <c r="B26" t="s">
        <v>438</v>
      </c>
      <c r="C26">
        <v>1.2</v>
      </c>
      <c r="E26" s="1384"/>
      <c r="G26" s="1378"/>
      <c r="H26" s="1385"/>
    </row>
    <row r="27" spans="1:13" ht="16.5" thickTop="1">
      <c r="A27" s="1371"/>
      <c r="B27" t="s">
        <v>439</v>
      </c>
      <c r="C27" s="51">
        <f>'Cash Flow'!E21/Data!C26</f>
        <v>1463198.0000000002</v>
      </c>
      <c r="D27" s="40" t="s">
        <v>442</v>
      </c>
      <c r="E27" s="1384"/>
      <c r="G27" s="1379"/>
      <c r="H27" s="1385"/>
    </row>
    <row r="28" spans="1:13">
      <c r="A28" s="1371"/>
      <c r="B28" t="s">
        <v>440</v>
      </c>
      <c r="C28" s="482">
        <v>0.6</v>
      </c>
      <c r="D28" s="1517">
        <f>'Cash Flow'!E15/0.05*C28</f>
        <v>40121251.199999996</v>
      </c>
      <c r="E28" s="1384"/>
      <c r="F28" t="s">
        <v>1045</v>
      </c>
      <c r="G28" s="1380"/>
      <c r="H28" s="55">
        <v>1</v>
      </c>
    </row>
    <row r="29" spans="1:13">
      <c r="A29" s="1371"/>
      <c r="B29" t="s">
        <v>441</v>
      </c>
      <c r="C29">
        <v>34</v>
      </c>
      <c r="E29" s="1384"/>
      <c r="F29" t="s">
        <v>435</v>
      </c>
      <c r="G29" s="1380">
        <v>15</v>
      </c>
      <c r="H29" s="1385"/>
    </row>
    <row r="30" spans="1:13">
      <c r="A30" s="1371"/>
      <c r="B30" t="s">
        <v>436</v>
      </c>
      <c r="C30" s="1432">
        <v>0</v>
      </c>
      <c r="D30" s="1376">
        <f>-PV($C$24/12,$C$29*12,C27/12)</f>
        <v>21077324.236793138</v>
      </c>
      <c r="E30" s="1384"/>
      <c r="F30" t="s">
        <v>436</v>
      </c>
      <c r="G30" s="1381"/>
      <c r="H30" s="1376">
        <f>PV(G23,G29,-'Cash Flow'!E41*H28,)</f>
        <v>2358876.6378371739</v>
      </c>
    </row>
    <row r="31" spans="1:13" ht="16.5" thickBot="1">
      <c r="A31" s="1372"/>
      <c r="B31" s="1373" t="s">
        <v>108</v>
      </c>
      <c r="C31" s="1374">
        <v>0.01</v>
      </c>
      <c r="D31" s="1373"/>
      <c r="E31" s="1386"/>
      <c r="F31" s="1387" t="s">
        <v>108</v>
      </c>
      <c r="G31" s="1388">
        <v>0.01</v>
      </c>
      <c r="H31" s="1389"/>
    </row>
    <row r="32" spans="1:13">
      <c r="A32" s="1369" t="s">
        <v>1034</v>
      </c>
      <c r="E32" s="1363"/>
      <c r="G32" s="53"/>
    </row>
    <row r="33" spans="1:10">
      <c r="A33" s="1362"/>
      <c r="B33" t="s">
        <v>431</v>
      </c>
      <c r="C33" s="1361">
        <v>4.4999999999999998E-2</v>
      </c>
      <c r="E33" s="1363"/>
      <c r="I33" s="54"/>
    </row>
    <row r="34" spans="1:10">
      <c r="A34" s="1362"/>
      <c r="B34" t="s">
        <v>1099</v>
      </c>
      <c r="C34">
        <v>30</v>
      </c>
      <c r="E34" s="1364">
        <f>Data!M19</f>
        <v>0</v>
      </c>
      <c r="I34" s="318"/>
    </row>
    <row r="35" spans="1:10">
      <c r="A35" s="1362"/>
      <c r="B35" t="s">
        <v>438</v>
      </c>
      <c r="C35">
        <v>1.2</v>
      </c>
      <c r="E35" s="1363"/>
      <c r="I35" s="54"/>
    </row>
    <row r="36" spans="1:10">
      <c r="A36" s="1362"/>
      <c r="B36" t="s">
        <v>439</v>
      </c>
      <c r="C36" s="51">
        <f>'Cash Flow'!E21/Data!C35</f>
        <v>1463198.0000000002</v>
      </c>
      <c r="E36" s="1365">
        <f>-PV($C$33,$C$34,E34)</f>
        <v>0</v>
      </c>
      <c r="I36" s="1354"/>
    </row>
    <row r="37" spans="1:10" ht="16.5" thickBot="1">
      <c r="A37" s="1362"/>
      <c r="B37" t="s">
        <v>440</v>
      </c>
      <c r="C37" s="482">
        <v>0.8</v>
      </c>
      <c r="E37" s="1363"/>
    </row>
    <row r="38" spans="1:10" ht="16.5" thickBot="1">
      <c r="A38" s="1362"/>
      <c r="B38" t="s">
        <v>436</v>
      </c>
      <c r="C38" s="1432">
        <v>24064871.094953805</v>
      </c>
      <c r="D38" s="516" t="s">
        <v>1037</v>
      </c>
      <c r="E38" s="1391">
        <f>C37*GapCalc!D24</f>
        <v>109639809.36432731</v>
      </c>
    </row>
    <row r="39" spans="1:10">
      <c r="A39" s="1362"/>
      <c r="B39" t="s">
        <v>108</v>
      </c>
      <c r="C39" s="54">
        <f>C21</f>
        <v>0.01</v>
      </c>
      <c r="D39" t="s">
        <v>1051</v>
      </c>
      <c r="E39" s="1376">
        <f>PV($C$33/12,$C$34*12,-C36/12)</f>
        <v>24064871.094953805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443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444</v>
      </c>
    </row>
    <row r="44" spans="1:10">
      <c r="A44" s="509"/>
      <c r="B44" t="s">
        <v>445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446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447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448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449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450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451</v>
      </c>
      <c r="F50" s="510"/>
    </row>
    <row r="51" spans="1:7 16384:16384">
      <c r="A51" s="509"/>
      <c r="B51" t="s">
        <v>452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274</v>
      </c>
      <c r="C10" s="80" t="s">
        <v>275</v>
      </c>
      <c r="D10" s="80" t="s">
        <v>276</v>
      </c>
      <c r="E10" s="81" t="s">
        <v>277</v>
      </c>
      <c r="F10" s="81" t="s">
        <v>278</v>
      </c>
      <c r="G10" s="81" t="s">
        <v>279</v>
      </c>
      <c r="H10" s="81" t="s">
        <v>280</v>
      </c>
      <c r="I10" s="81" t="s">
        <v>281</v>
      </c>
      <c r="J10" s="81" t="s">
        <v>282</v>
      </c>
      <c r="K10" s="81" t="s">
        <v>283</v>
      </c>
      <c r="L10" s="81" t="s">
        <v>284</v>
      </c>
      <c r="M10" s="81" t="s">
        <v>285</v>
      </c>
      <c r="N10" s="81" t="s">
        <v>286</v>
      </c>
      <c r="O10" s="81" t="s">
        <v>287</v>
      </c>
      <c r="P10" s="81" t="s">
        <v>288</v>
      </c>
      <c r="Q10" s="81" t="s">
        <v>289</v>
      </c>
      <c r="R10" s="81" t="s">
        <v>290</v>
      </c>
      <c r="S10" s="82" t="s">
        <v>291</v>
      </c>
      <c r="T10" s="81" t="s">
        <v>292</v>
      </c>
      <c r="U10" s="81" t="s">
        <v>293</v>
      </c>
      <c r="V10" s="81" t="s">
        <v>294</v>
      </c>
      <c r="W10" s="81" t="s">
        <v>295</v>
      </c>
      <c r="X10" s="81" t="s">
        <v>296</v>
      </c>
      <c r="Y10" s="81" t="s">
        <v>297</v>
      </c>
      <c r="Z10" s="81" t="s">
        <v>298</v>
      </c>
      <c r="AA10" s="81" t="s">
        <v>299</v>
      </c>
      <c r="AB10" s="81" t="s">
        <v>300</v>
      </c>
      <c r="AC10" s="81" t="s">
        <v>301</v>
      </c>
      <c r="AD10" s="81" t="s">
        <v>302</v>
      </c>
      <c r="AE10" s="81" t="s">
        <v>303</v>
      </c>
      <c r="AF10" s="81" t="s">
        <v>304</v>
      </c>
      <c r="AG10" s="81" t="s">
        <v>305</v>
      </c>
      <c r="AH10" s="81" t="s">
        <v>306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307</v>
      </c>
      <c r="C12" s="76"/>
      <c r="D12" s="88">
        <v>2.5000000000000001E-2</v>
      </c>
      <c r="E12" s="89">
        <f>'Rental Income'!E18*12</f>
        <v>3513828</v>
      </c>
      <c r="F12" s="89">
        <f>E12*(1+$D$12)</f>
        <v>3601673.6999999997</v>
      </c>
      <c r="G12" s="89">
        <f t="shared" ref="G12:AH12" si="0">F12*(1+$D$12)</f>
        <v>3691715.5424999995</v>
      </c>
      <c r="H12" s="89">
        <f t="shared" si="0"/>
        <v>3784008.4310624991</v>
      </c>
      <c r="I12" s="89">
        <f t="shared" si="0"/>
        <v>3878608.6418390614</v>
      </c>
      <c r="J12" s="89">
        <f t="shared" si="0"/>
        <v>3975573.8578850375</v>
      </c>
      <c r="K12" s="89">
        <f t="shared" si="0"/>
        <v>4074963.2043321631</v>
      </c>
      <c r="L12" s="89">
        <f t="shared" si="0"/>
        <v>4176837.2844404667</v>
      </c>
      <c r="M12" s="89">
        <f t="shared" si="0"/>
        <v>4281258.216551478</v>
      </c>
      <c r="N12" s="89">
        <f t="shared" si="0"/>
        <v>4388289.6719652647</v>
      </c>
      <c r="O12" s="89">
        <f t="shared" si="0"/>
        <v>4497996.9137643958</v>
      </c>
      <c r="P12" s="89">
        <f t="shared" si="0"/>
        <v>4610446.8366085049</v>
      </c>
      <c r="Q12" s="89">
        <f t="shared" si="0"/>
        <v>4725708.0075237174</v>
      </c>
      <c r="R12" s="89">
        <f t="shared" si="0"/>
        <v>4843850.7077118102</v>
      </c>
      <c r="S12" s="90">
        <f t="shared" si="0"/>
        <v>4964946.9754046053</v>
      </c>
      <c r="T12" s="89">
        <f t="shared" si="0"/>
        <v>5089070.6497897198</v>
      </c>
      <c r="U12" s="89">
        <f t="shared" si="0"/>
        <v>5216297.4160344619</v>
      </c>
      <c r="V12" s="89">
        <f t="shared" si="0"/>
        <v>5346704.8514353232</v>
      </c>
      <c r="W12" s="89">
        <f t="shared" si="0"/>
        <v>5480372.472721206</v>
      </c>
      <c r="X12" s="89">
        <f t="shared" si="0"/>
        <v>5617381.7845392358</v>
      </c>
      <c r="Y12" s="89">
        <f t="shared" si="0"/>
        <v>5757816.3291527163</v>
      </c>
      <c r="Z12" s="89">
        <f t="shared" si="0"/>
        <v>5901761.7373815337</v>
      </c>
      <c r="AA12" s="89">
        <f t="shared" si="0"/>
        <v>6049305.7808160717</v>
      </c>
      <c r="AB12" s="89">
        <f t="shared" si="0"/>
        <v>6200538.4253364727</v>
      </c>
      <c r="AC12" s="89">
        <f t="shared" si="0"/>
        <v>6355551.8859698838</v>
      </c>
      <c r="AD12" s="89">
        <f t="shared" si="0"/>
        <v>6514440.6831191303</v>
      </c>
      <c r="AE12" s="89">
        <f t="shared" si="0"/>
        <v>6677301.7001971081</v>
      </c>
      <c r="AF12" s="89">
        <f t="shared" si="0"/>
        <v>6844234.2427020352</v>
      </c>
      <c r="AG12" s="89">
        <f t="shared" si="0"/>
        <v>7015340.0987695856</v>
      </c>
      <c r="AH12" s="89">
        <f t="shared" si="0"/>
        <v>7190723.6012388244</v>
      </c>
    </row>
    <row r="13" spans="1:34">
      <c r="A13" s="76"/>
      <c r="B13" s="91" t="s">
        <v>308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309</v>
      </c>
      <c r="C14" s="98">
        <v>0.05</v>
      </c>
      <c r="D14" s="99">
        <v>0</v>
      </c>
      <c r="E14" s="100">
        <f>-((E12+E13)*$C$14)</f>
        <v>-175970.40000000002</v>
      </c>
      <c r="F14" s="100">
        <f t="shared" ref="F14:AH14" si="2">-((F12+F13)*$C$14)</f>
        <v>-180369.66</v>
      </c>
      <c r="G14" s="100">
        <f t="shared" si="2"/>
        <v>-184878.90149999998</v>
      </c>
      <c r="H14" s="100">
        <f t="shared" si="2"/>
        <v>-189500.87403749998</v>
      </c>
      <c r="I14" s="100">
        <f t="shared" si="2"/>
        <v>-194238.39588843746</v>
      </c>
      <c r="J14" s="100">
        <f t="shared" si="2"/>
        <v>-199094.35578564837</v>
      </c>
      <c r="K14" s="100">
        <f t="shared" si="2"/>
        <v>-204071.71468028956</v>
      </c>
      <c r="L14" s="100">
        <f t="shared" si="2"/>
        <v>-209173.50754729679</v>
      </c>
      <c r="M14" s="100">
        <f t="shared" si="2"/>
        <v>-214402.84523597918</v>
      </c>
      <c r="N14" s="100">
        <f t="shared" si="2"/>
        <v>-219762.91636687864</v>
      </c>
      <c r="O14" s="100">
        <f t="shared" si="2"/>
        <v>-225256.98927605059</v>
      </c>
      <c r="P14" s="100">
        <f t="shared" si="2"/>
        <v>-230888.4140079518</v>
      </c>
      <c r="Q14" s="100">
        <f t="shared" si="2"/>
        <v>-236660.62435815061</v>
      </c>
      <c r="R14" s="100">
        <f t="shared" si="2"/>
        <v>-242577.13996710433</v>
      </c>
      <c r="S14" s="101">
        <f t="shared" si="2"/>
        <v>-248641.56846628195</v>
      </c>
      <c r="T14" s="100">
        <f t="shared" si="2"/>
        <v>-254857.607677939</v>
      </c>
      <c r="U14" s="100">
        <f t="shared" si="2"/>
        <v>-261229.04786988741</v>
      </c>
      <c r="V14" s="100">
        <f t="shared" si="2"/>
        <v>-267759.77406663459</v>
      </c>
      <c r="W14" s="100">
        <f t="shared" si="2"/>
        <v>-274453.76841830043</v>
      </c>
      <c r="X14" s="100">
        <f t="shared" si="2"/>
        <v>-281315.1126287579</v>
      </c>
      <c r="Y14" s="100">
        <f t="shared" si="2"/>
        <v>-288347.99044447689</v>
      </c>
      <c r="Z14" s="100">
        <f t="shared" si="2"/>
        <v>-295556.69020558876</v>
      </c>
      <c r="AA14" s="100">
        <f t="shared" si="2"/>
        <v>-302945.60746072844</v>
      </c>
      <c r="AB14" s="100">
        <f t="shared" si="2"/>
        <v>-310519.24764724664</v>
      </c>
      <c r="AC14" s="100">
        <f t="shared" si="2"/>
        <v>-318282.22883842775</v>
      </c>
      <c r="AD14" s="100">
        <f t="shared" si="2"/>
        <v>-326239.28455938841</v>
      </c>
      <c r="AE14" s="100">
        <f t="shared" si="2"/>
        <v>-334395.26667337306</v>
      </c>
      <c r="AF14" s="100">
        <f t="shared" si="2"/>
        <v>-342755.14834020741</v>
      </c>
      <c r="AG14" s="100">
        <f t="shared" si="2"/>
        <v>-351324.0270487126</v>
      </c>
      <c r="AH14" s="100">
        <f t="shared" si="2"/>
        <v>-360107.12772493035</v>
      </c>
    </row>
    <row r="15" spans="1:34">
      <c r="A15" s="76"/>
      <c r="B15" s="102" t="s">
        <v>310</v>
      </c>
      <c r="C15" s="76"/>
      <c r="D15" s="76"/>
      <c r="E15" s="95">
        <f>SUM(E12:E14)</f>
        <v>3343437.6</v>
      </c>
      <c r="F15" s="95">
        <f t="shared" ref="F15:AH15" si="3">SUM(F12:F14)</f>
        <v>3427023.5399999996</v>
      </c>
      <c r="G15" s="103">
        <f t="shared" si="3"/>
        <v>3512699.1284999992</v>
      </c>
      <c r="H15" s="104">
        <f t="shared" si="3"/>
        <v>3600516.6067124992</v>
      </c>
      <c r="I15" s="104">
        <f t="shared" si="3"/>
        <v>3690529.5218803114</v>
      </c>
      <c r="J15" s="95">
        <f t="shared" si="3"/>
        <v>3782792.7599273189</v>
      </c>
      <c r="K15" s="103">
        <f t="shared" si="3"/>
        <v>3877362.5789255016</v>
      </c>
      <c r="L15" s="95">
        <f t="shared" si="3"/>
        <v>3974296.6433986388</v>
      </c>
      <c r="M15" s="95">
        <f t="shared" si="3"/>
        <v>4073654.0594836045</v>
      </c>
      <c r="N15" s="95">
        <f t="shared" si="3"/>
        <v>4175495.4109706939</v>
      </c>
      <c r="O15" s="95">
        <f t="shared" si="3"/>
        <v>4279882.7962449612</v>
      </c>
      <c r="P15" s="95">
        <f t="shared" si="3"/>
        <v>4386879.8661510842</v>
      </c>
      <c r="Q15" s="95">
        <f t="shared" si="3"/>
        <v>4496551.8628048617</v>
      </c>
      <c r="R15" s="95">
        <f t="shared" si="3"/>
        <v>4608965.6593749821</v>
      </c>
      <c r="S15" s="96">
        <f t="shared" si="3"/>
        <v>4724189.8008593572</v>
      </c>
      <c r="T15" s="95">
        <f t="shared" si="3"/>
        <v>4842294.5458808402</v>
      </c>
      <c r="U15" s="95">
        <f t="shared" si="3"/>
        <v>4963351.9095278606</v>
      </c>
      <c r="V15" s="95">
        <f t="shared" si="3"/>
        <v>5087435.7072660569</v>
      </c>
      <c r="W15" s="95">
        <f t="shared" si="3"/>
        <v>5214621.5999477077</v>
      </c>
      <c r="X15" s="95">
        <f t="shared" si="3"/>
        <v>5344987.1399464002</v>
      </c>
      <c r="Y15" s="95">
        <f t="shared" si="3"/>
        <v>5478611.8184450604</v>
      </c>
      <c r="Z15" s="95">
        <f t="shared" si="3"/>
        <v>5615577.1139061861</v>
      </c>
      <c r="AA15" s="95">
        <f t="shared" si="3"/>
        <v>5755966.5417538397</v>
      </c>
      <c r="AB15" s="95">
        <f t="shared" si="3"/>
        <v>5899865.7052976862</v>
      </c>
      <c r="AC15" s="95">
        <f t="shared" si="3"/>
        <v>6047362.3479301268</v>
      </c>
      <c r="AD15" s="95">
        <f t="shared" si="3"/>
        <v>6198546.4066283796</v>
      </c>
      <c r="AE15" s="95">
        <f t="shared" si="3"/>
        <v>6353510.0667940881</v>
      </c>
      <c r="AF15" s="95">
        <f t="shared" si="3"/>
        <v>6512347.8184639402</v>
      </c>
      <c r="AG15" s="95">
        <f t="shared" si="3"/>
        <v>6675156.5139255384</v>
      </c>
      <c r="AH15" s="95">
        <f t="shared" si="3"/>
        <v>6842035.4267736757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311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312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313</v>
      </c>
      <c r="C19" s="1713" t="s">
        <v>1102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252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314</v>
      </c>
      <c r="C21" s="76"/>
      <c r="D21" s="111"/>
      <c r="E21" s="95">
        <f t="shared" ref="E21:AH21" si="8">SUM(E15:E20)</f>
        <v>1755837.6</v>
      </c>
      <c r="F21" s="95">
        <f t="shared" si="8"/>
        <v>1786503.5399999998</v>
      </c>
      <c r="G21" s="95">
        <f t="shared" si="8"/>
        <v>1817406.9284999995</v>
      </c>
      <c r="H21" s="95">
        <f t="shared" si="8"/>
        <v>1848535.1797124995</v>
      </c>
      <c r="I21" s="95">
        <f t="shared" si="8"/>
        <v>1879874.7449353118</v>
      </c>
      <c r="J21" s="95">
        <f t="shared" si="8"/>
        <v>1911411.0657892444</v>
      </c>
      <c r="K21" s="95">
        <f t="shared" si="8"/>
        <v>1943128.5254925946</v>
      </c>
      <c r="L21" s="95">
        <f t="shared" si="8"/>
        <v>1975010.3980955803</v>
      </c>
      <c r="M21" s="95">
        <f t="shared" si="8"/>
        <v>2007038.795594939</v>
      </c>
      <c r="N21" s="95">
        <f t="shared" si="8"/>
        <v>2039194.6128459256</v>
      </c>
      <c r="O21" s="95">
        <f t="shared" si="8"/>
        <v>2071457.4701858261</v>
      </c>
      <c r="P21" s="95">
        <f t="shared" si="8"/>
        <v>2103805.6536798794</v>
      </c>
      <c r="Q21" s="95">
        <f t="shared" si="8"/>
        <v>2136216.0528971651</v>
      </c>
      <c r="R21" s="95">
        <f t="shared" si="8"/>
        <v>2168664.0961205163</v>
      </c>
      <c r="S21" s="96">
        <f t="shared" si="8"/>
        <v>2201123.6828909852</v>
      </c>
      <c r="T21" s="95">
        <f t="shared" si="8"/>
        <v>2233567.1137835751</v>
      </c>
      <c r="U21" s="95">
        <f t="shared" si="8"/>
        <v>2265965.0173071916</v>
      </c>
      <c r="V21" s="95">
        <f t="shared" si="8"/>
        <v>2298286.2738176649</v>
      </c>
      <c r="W21" s="95">
        <f t="shared" si="8"/>
        <v>2330497.936328622</v>
      </c>
      <c r="X21" s="95">
        <f t="shared" si="8"/>
        <v>2362565.1481006467</v>
      </c>
      <c r="Y21" s="95">
        <f t="shared" si="8"/>
        <v>2394451.0568847056</v>
      </c>
      <c r="Z21" s="95">
        <f t="shared" si="8"/>
        <v>2426116.7256912189</v>
      </c>
      <c r="AA21" s="95">
        <f t="shared" si="8"/>
        <v>2457521.0399513487</v>
      </c>
      <c r="AB21" s="95">
        <f t="shared" si="8"/>
        <v>2488620.610932108</v>
      </c>
      <c r="AC21" s="95">
        <f t="shared" si="8"/>
        <v>2519369.6752617536</v>
      </c>
      <c r="AD21" s="95">
        <f t="shared" si="8"/>
        <v>2549719.9904166134</v>
      </c>
      <c r="AE21" s="95">
        <f t="shared" si="8"/>
        <v>2579620.7260149103</v>
      </c>
      <c r="AF21" s="95">
        <f t="shared" si="8"/>
        <v>2609018.3507574913</v>
      </c>
      <c r="AG21" s="95">
        <f t="shared" si="8"/>
        <v>2637856.5148493643</v>
      </c>
      <c r="AH21" s="95">
        <f t="shared" si="8"/>
        <v>2666075.9277298357</v>
      </c>
    </row>
    <row r="22" spans="1:34" ht="12.75" customHeight="1">
      <c r="A22" s="86"/>
      <c r="B22" s="87" t="s">
        <v>315</v>
      </c>
      <c r="C22" s="76"/>
      <c r="D22" s="95"/>
      <c r="E22" s="95">
        <f>-Data!C36</f>
        <v>-1463198.0000000002</v>
      </c>
      <c r="F22" s="95">
        <f t="shared" ref="F22:AH22" si="9">$E$22</f>
        <v>-1463198.0000000002</v>
      </c>
      <c r="G22" s="95">
        <f t="shared" si="9"/>
        <v>-1463198.0000000002</v>
      </c>
      <c r="H22" s="95">
        <f t="shared" si="9"/>
        <v>-1463198.0000000002</v>
      </c>
      <c r="I22" s="95">
        <f t="shared" si="9"/>
        <v>-1463198.0000000002</v>
      </c>
      <c r="J22" s="95">
        <f t="shared" si="9"/>
        <v>-1463198.0000000002</v>
      </c>
      <c r="K22" s="95">
        <f t="shared" si="9"/>
        <v>-1463198.0000000002</v>
      </c>
      <c r="L22" s="95">
        <f t="shared" si="9"/>
        <v>-1463198.0000000002</v>
      </c>
      <c r="M22" s="95">
        <f t="shared" si="9"/>
        <v>-1463198.0000000002</v>
      </c>
      <c r="N22" s="95">
        <f t="shared" si="9"/>
        <v>-1463198.0000000002</v>
      </c>
      <c r="O22" s="95">
        <f t="shared" si="9"/>
        <v>-1463198.0000000002</v>
      </c>
      <c r="P22" s="95">
        <f t="shared" si="9"/>
        <v>-1463198.0000000002</v>
      </c>
      <c r="Q22" s="95">
        <f t="shared" si="9"/>
        <v>-1463198.0000000002</v>
      </c>
      <c r="R22" s="95">
        <f t="shared" si="9"/>
        <v>-1463198.0000000002</v>
      </c>
      <c r="S22" s="96">
        <f t="shared" si="9"/>
        <v>-1463198.0000000002</v>
      </c>
      <c r="T22" s="95">
        <f t="shared" si="9"/>
        <v>-1463198.0000000002</v>
      </c>
      <c r="U22" s="95">
        <f t="shared" si="9"/>
        <v>-1463198.0000000002</v>
      </c>
      <c r="V22" s="95">
        <f t="shared" si="9"/>
        <v>-1463198.0000000002</v>
      </c>
      <c r="W22" s="95">
        <f t="shared" si="9"/>
        <v>-1463198.0000000002</v>
      </c>
      <c r="X22" s="95">
        <f t="shared" si="9"/>
        <v>-1463198.0000000002</v>
      </c>
      <c r="Y22" s="95">
        <f t="shared" si="9"/>
        <v>-1463198.0000000002</v>
      </c>
      <c r="Z22" s="95">
        <f t="shared" si="9"/>
        <v>-1463198.0000000002</v>
      </c>
      <c r="AA22" s="95">
        <f t="shared" si="9"/>
        <v>-1463198.0000000002</v>
      </c>
      <c r="AB22" s="95">
        <f t="shared" si="9"/>
        <v>-1463198.0000000002</v>
      </c>
      <c r="AC22" s="95">
        <f t="shared" si="9"/>
        <v>-1463198.0000000002</v>
      </c>
      <c r="AD22" s="95">
        <f t="shared" si="9"/>
        <v>-1463198.0000000002</v>
      </c>
      <c r="AE22" s="95">
        <f t="shared" si="9"/>
        <v>-1463198.0000000002</v>
      </c>
      <c r="AF22" s="95">
        <f t="shared" si="9"/>
        <v>-1463198.0000000002</v>
      </c>
      <c r="AG22" s="95">
        <f t="shared" si="9"/>
        <v>-1463198.0000000002</v>
      </c>
      <c r="AH22" s="95">
        <f t="shared" si="9"/>
        <v>-1463198.0000000002</v>
      </c>
    </row>
    <row r="23" spans="1:34" ht="12.75" customHeight="1">
      <c r="A23" s="86"/>
      <c r="B23" s="97" t="s">
        <v>316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317</v>
      </c>
      <c r="C25" s="118"/>
      <c r="D25" s="118"/>
      <c r="E25" s="119">
        <f>+E21+E22+E23</f>
        <v>292639.59999999986</v>
      </c>
      <c r="F25" s="119">
        <f t="shared" ref="F25:AH25" si="11">+F21+F22+F23</f>
        <v>323305.53999999957</v>
      </c>
      <c r="G25" s="119">
        <f t="shared" si="11"/>
        <v>354208.92849999922</v>
      </c>
      <c r="H25" s="119">
        <f t="shared" si="11"/>
        <v>385337.17971249926</v>
      </c>
      <c r="I25" s="119">
        <f t="shared" si="11"/>
        <v>416676.74493531161</v>
      </c>
      <c r="J25" s="119">
        <f t="shared" si="11"/>
        <v>448213.06578924414</v>
      </c>
      <c r="K25" s="119">
        <f t="shared" si="11"/>
        <v>479930.52549259434</v>
      </c>
      <c r="L25" s="119">
        <f t="shared" si="11"/>
        <v>511812.39809558005</v>
      </c>
      <c r="M25" s="119">
        <f t="shared" si="11"/>
        <v>543840.7955949388</v>
      </c>
      <c r="N25" s="119">
        <f t="shared" si="11"/>
        <v>575996.61284592538</v>
      </c>
      <c r="O25" s="119">
        <f t="shared" si="11"/>
        <v>608259.47018582583</v>
      </c>
      <c r="P25" s="119">
        <f t="shared" si="11"/>
        <v>640607.65367987915</v>
      </c>
      <c r="Q25" s="119">
        <f t="shared" si="11"/>
        <v>673018.05289716483</v>
      </c>
      <c r="R25" s="119">
        <f t="shared" si="11"/>
        <v>705466.09612051607</v>
      </c>
      <c r="S25" s="160">
        <f t="shared" si="11"/>
        <v>737925.68289098493</v>
      </c>
      <c r="T25" s="119">
        <f t="shared" si="11"/>
        <v>770369.1137835749</v>
      </c>
      <c r="U25" s="119">
        <f t="shared" si="11"/>
        <v>802767.01730719139</v>
      </c>
      <c r="V25" s="119">
        <f t="shared" si="11"/>
        <v>835088.27381766471</v>
      </c>
      <c r="W25" s="119">
        <f t="shared" si="11"/>
        <v>867299.93632862181</v>
      </c>
      <c r="X25" s="119">
        <f t="shared" si="11"/>
        <v>899367.14810064645</v>
      </c>
      <c r="Y25" s="119">
        <f t="shared" si="11"/>
        <v>931253.05688470532</v>
      </c>
      <c r="Z25" s="119">
        <f t="shared" si="11"/>
        <v>962918.72569121863</v>
      </c>
      <c r="AA25" s="119">
        <f t="shared" si="11"/>
        <v>994323.03995134844</v>
      </c>
      <c r="AB25" s="119">
        <f t="shared" si="11"/>
        <v>1025422.6109321078</v>
      </c>
      <c r="AC25" s="119">
        <f t="shared" si="11"/>
        <v>1056171.6752617534</v>
      </c>
      <c r="AD25" s="119">
        <f t="shared" si="11"/>
        <v>1086521.9904166132</v>
      </c>
      <c r="AE25" s="119">
        <f t="shared" si="11"/>
        <v>1116422.72601491</v>
      </c>
      <c r="AF25" s="119">
        <f t="shared" si="11"/>
        <v>1145820.3507574911</v>
      </c>
      <c r="AG25" s="119">
        <f t="shared" si="11"/>
        <v>1174658.5148493641</v>
      </c>
      <c r="AH25" s="119">
        <f t="shared" si="11"/>
        <v>1202877.9277298355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318</v>
      </c>
      <c r="C27" s="121"/>
      <c r="D27" s="121"/>
      <c r="E27" s="122">
        <f t="shared" ref="E27:AH27" si="12">IF(E22=0,0,-E21/(E22+E23))</f>
        <v>1.2</v>
      </c>
      <c r="F27" s="122">
        <f t="shared" si="12"/>
        <v>1.2209581615065079</v>
      </c>
      <c r="G27" s="122">
        <f t="shared" si="12"/>
        <v>1.2420786035109392</v>
      </c>
      <c r="H27" s="122">
        <f t="shared" si="12"/>
        <v>1.2633527244518508</v>
      </c>
      <c r="I27" s="122">
        <f t="shared" si="12"/>
        <v>1.2847712646786775</v>
      </c>
      <c r="J27" s="122">
        <f t="shared" si="12"/>
        <v>1.3063242744927508</v>
      </c>
      <c r="K27" s="122">
        <f t="shared" si="12"/>
        <v>1.3280010808466074</v>
      </c>
      <c r="L27" s="122">
        <f t="shared" si="12"/>
        <v>1.3497902526490468</v>
      </c>
      <c r="M27" s="122">
        <f t="shared" si="12"/>
        <v>1.3716795646214242</v>
      </c>
      <c r="N27" s="122">
        <f t="shared" si="12"/>
        <v>1.3936559596486089</v>
      </c>
      <c r="O27" s="122">
        <f t="shared" si="12"/>
        <v>1.4157055095659137</v>
      </c>
      <c r="P27" s="122">
        <f t="shared" si="12"/>
        <v>1.4378133743210959</v>
      </c>
      <c r="Q27" s="122">
        <f t="shared" si="12"/>
        <v>1.4599637594482529</v>
      </c>
      <c r="R27" s="122">
        <f t="shared" si="12"/>
        <v>1.4821398717880396</v>
      </c>
      <c r="S27" s="161">
        <f t="shared" si="12"/>
        <v>1.5043238733862299</v>
      </c>
      <c r="T27" s="122">
        <f t="shared" si="12"/>
        <v>1.5264968335000286</v>
      </c>
      <c r="U27" s="122">
        <f t="shared" si="12"/>
        <v>1.5486386786389752</v>
      </c>
      <c r="V27" s="122">
        <f t="shared" si="12"/>
        <v>1.5707281405644791</v>
      </c>
      <c r="W27" s="122">
        <f t="shared" si="12"/>
        <v>1.592742702169236</v>
      </c>
      <c r="X27" s="122">
        <f t="shared" si="12"/>
        <v>1.6146585411548173</v>
      </c>
      <c r="Y27" s="122">
        <f t="shared" si="12"/>
        <v>1.6364504714226682</v>
      </c>
      <c r="Z27" s="122">
        <f t="shared" si="12"/>
        <v>1.6580918820906114</v>
      </c>
      <c r="AA27" s="122">
        <f t="shared" si="12"/>
        <v>1.6795546740436689</v>
      </c>
      <c r="AB27" s="122">
        <f t="shared" si="12"/>
        <v>1.7008091939246142</v>
      </c>
      <c r="AC27" s="122">
        <f t="shared" si="12"/>
        <v>1.7218241654661592</v>
      </c>
      <c r="AD27" s="122">
        <f t="shared" si="12"/>
        <v>1.7425666180630461</v>
      </c>
      <c r="AE27" s="122">
        <f t="shared" si="12"/>
        <v>1.7630018124784956</v>
      </c>
      <c r="AF27" s="122">
        <f t="shared" si="12"/>
        <v>1.7830931635756</v>
      </c>
      <c r="AG27" s="122">
        <f t="shared" si="12"/>
        <v>1.8028021599601447</v>
      </c>
      <c r="AH27" s="122">
        <f t="shared" si="12"/>
        <v>1.8220882804171652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319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320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321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322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323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324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325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326</v>
      </c>
      <c r="C39" s="80" t="s">
        <v>275</v>
      </c>
      <c r="D39" s="80" t="s">
        <v>276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327</v>
      </c>
      <c r="C41" s="127"/>
      <c r="D41" s="128"/>
      <c r="E41" s="129">
        <f>E25+E37</f>
        <v>292639.59999999986</v>
      </c>
      <c r="F41" s="129">
        <f t="shared" ref="F41:S41" si="20">F25+F37</f>
        <v>323305.53999999957</v>
      </c>
      <c r="G41" s="129">
        <f t="shared" si="20"/>
        <v>354208.92849999922</v>
      </c>
      <c r="H41" s="129">
        <f t="shared" si="20"/>
        <v>385337.17971249926</v>
      </c>
      <c r="I41" s="129">
        <f t="shared" si="20"/>
        <v>416676.74493531161</v>
      </c>
      <c r="J41" s="129">
        <f t="shared" si="20"/>
        <v>448213.06578924414</v>
      </c>
      <c r="K41" s="129">
        <f t="shared" si="20"/>
        <v>479930.52549259434</v>
      </c>
      <c r="L41" s="129">
        <f t="shared" si="20"/>
        <v>511812.39809558005</v>
      </c>
      <c r="M41" s="129">
        <f t="shared" si="20"/>
        <v>543840.7955949388</v>
      </c>
      <c r="N41" s="129">
        <f t="shared" si="20"/>
        <v>575996.61284592538</v>
      </c>
      <c r="O41" s="129">
        <f t="shared" si="20"/>
        <v>608259.47018582583</v>
      </c>
      <c r="P41" s="129">
        <f t="shared" si="20"/>
        <v>640607.65367987915</v>
      </c>
      <c r="Q41" s="129">
        <f t="shared" si="20"/>
        <v>673018.05289716483</v>
      </c>
      <c r="R41" s="129">
        <f t="shared" si="20"/>
        <v>705466.09612051607</v>
      </c>
      <c r="S41" s="130">
        <f t="shared" si="20"/>
        <v>737925.68289098493</v>
      </c>
      <c r="T41" s="130">
        <f t="shared" ref="T41:AH41" si="21">T25+T37</f>
        <v>770369.1137835749</v>
      </c>
      <c r="U41" s="130">
        <f t="shared" si="21"/>
        <v>802767.01730719139</v>
      </c>
      <c r="V41" s="130">
        <f t="shared" si="21"/>
        <v>835088.27381766471</v>
      </c>
      <c r="W41" s="130">
        <f t="shared" si="21"/>
        <v>867299.93632862181</v>
      </c>
      <c r="X41" s="130">
        <f t="shared" si="21"/>
        <v>899367.14810064645</v>
      </c>
      <c r="Y41" s="130">
        <f t="shared" si="21"/>
        <v>931253.05688470532</v>
      </c>
      <c r="Z41" s="130">
        <f t="shared" si="21"/>
        <v>962918.72569121863</v>
      </c>
      <c r="AA41" s="130">
        <f t="shared" si="21"/>
        <v>994323.03995134844</v>
      </c>
      <c r="AB41" s="130">
        <f t="shared" si="21"/>
        <v>1025422.6109321078</v>
      </c>
      <c r="AC41" s="130">
        <f t="shared" si="21"/>
        <v>1056171.6752617534</v>
      </c>
      <c r="AD41" s="130">
        <f t="shared" si="21"/>
        <v>1086521.9904166132</v>
      </c>
      <c r="AE41" s="130">
        <f t="shared" si="21"/>
        <v>1116422.72601491</v>
      </c>
      <c r="AF41" s="130">
        <f t="shared" si="21"/>
        <v>1145820.3507574911</v>
      </c>
      <c r="AG41" s="130">
        <f t="shared" si="21"/>
        <v>1174658.5148493641</v>
      </c>
      <c r="AH41" s="130">
        <f t="shared" si="21"/>
        <v>1202877.9277298355</v>
      </c>
    </row>
    <row r="42" spans="1:34">
      <c r="A42" s="86"/>
      <c r="B42" s="110" t="s">
        <v>328</v>
      </c>
      <c r="C42" s="323">
        <f>GapCalc!I33</f>
        <v>0.85000000000000009</v>
      </c>
      <c r="D42" s="131" t="s">
        <v>1047</v>
      </c>
      <c r="E42" s="129">
        <f>((E41*$C$42))</f>
        <v>248743.65999999992</v>
      </c>
      <c r="F42" s="129">
        <f t="shared" ref="F42:S42" si="22">((F41*$C$42))</f>
        <v>274809.70899999968</v>
      </c>
      <c r="G42" s="129">
        <f t="shared" si="22"/>
        <v>301077.58922499936</v>
      </c>
      <c r="H42" s="129">
        <f t="shared" si="22"/>
        <v>327536.60275562439</v>
      </c>
      <c r="I42" s="129">
        <f t="shared" si="22"/>
        <v>354175.23319501488</v>
      </c>
      <c r="J42" s="129">
        <f t="shared" si="22"/>
        <v>380981.10592085758</v>
      </c>
      <c r="K42" s="129">
        <f t="shared" si="22"/>
        <v>407940.94666870526</v>
      </c>
      <c r="L42" s="129">
        <f t="shared" si="22"/>
        <v>435040.53838124307</v>
      </c>
      <c r="M42" s="129">
        <f t="shared" si="22"/>
        <v>462264.67625569802</v>
      </c>
      <c r="N42" s="129">
        <f t="shared" si="22"/>
        <v>489597.12091903662</v>
      </c>
      <c r="O42" s="129">
        <f t="shared" si="22"/>
        <v>517020.54965795204</v>
      </c>
      <c r="P42" s="129">
        <f t="shared" si="22"/>
        <v>544516.50562789734</v>
      </c>
      <c r="Q42" s="129">
        <f t="shared" si="22"/>
        <v>572065.34496259014</v>
      </c>
      <c r="R42" s="129">
        <f t="shared" si="22"/>
        <v>599646.18170243874</v>
      </c>
      <c r="S42" s="129">
        <f t="shared" si="22"/>
        <v>627236.8304573372</v>
      </c>
      <c r="T42" s="129">
        <f t="shared" ref="T42:AH42" si="23">((T41*$C$42))</f>
        <v>654813.74671603867</v>
      </c>
      <c r="U42" s="129">
        <f t="shared" si="23"/>
        <v>682351.96471111279</v>
      </c>
      <c r="V42" s="129">
        <f t="shared" si="23"/>
        <v>709825.03274501511</v>
      </c>
      <c r="W42" s="129">
        <f t="shared" si="23"/>
        <v>737204.94587932865</v>
      </c>
      <c r="X42" s="129">
        <f t="shared" si="23"/>
        <v>764462.07588554954</v>
      </c>
      <c r="Y42" s="129">
        <f t="shared" si="23"/>
        <v>791565.09835199965</v>
      </c>
      <c r="Z42" s="129">
        <f t="shared" si="23"/>
        <v>818480.91683753591</v>
      </c>
      <c r="AA42" s="129">
        <f t="shared" si="23"/>
        <v>845174.58395864628</v>
      </c>
      <c r="AB42" s="129">
        <f t="shared" si="23"/>
        <v>871609.21929229167</v>
      </c>
      <c r="AC42" s="129">
        <f t="shared" si="23"/>
        <v>897745.92397249048</v>
      </c>
      <c r="AD42" s="129">
        <f t="shared" si="23"/>
        <v>923543.69185412128</v>
      </c>
      <c r="AE42" s="129">
        <f t="shared" si="23"/>
        <v>948959.31711267366</v>
      </c>
      <c r="AF42" s="129">
        <f t="shared" si="23"/>
        <v>973947.29814386752</v>
      </c>
      <c r="AG42" s="129">
        <f t="shared" si="23"/>
        <v>998459.73762195953</v>
      </c>
      <c r="AH42" s="129">
        <f t="shared" si="23"/>
        <v>1022446.2385703602</v>
      </c>
    </row>
    <row r="43" spans="1:34">
      <c r="A43" s="86"/>
      <c r="B43" s="132" t="s">
        <v>329</v>
      </c>
      <c r="C43" s="324">
        <f>GapCalc!I32</f>
        <v>0.15</v>
      </c>
      <c r="D43" s="133" t="s">
        <v>1047</v>
      </c>
      <c r="E43" s="108">
        <f>$C$43*(E41)</f>
        <v>43895.939999999981</v>
      </c>
      <c r="F43" s="108">
        <f t="shared" ref="F43:S43" si="24">$C$43*(F41)</f>
        <v>48495.830999999933</v>
      </c>
      <c r="G43" s="108">
        <f t="shared" si="24"/>
        <v>53131.339274999882</v>
      </c>
      <c r="H43" s="108">
        <f t="shared" si="24"/>
        <v>57800.576956874887</v>
      </c>
      <c r="I43" s="108">
        <f t="shared" si="24"/>
        <v>62501.511740296737</v>
      </c>
      <c r="J43" s="108">
        <f t="shared" si="24"/>
        <v>67231.959868386621</v>
      </c>
      <c r="K43" s="108">
        <f t="shared" si="24"/>
        <v>71989.578823889155</v>
      </c>
      <c r="L43" s="108">
        <f t="shared" si="24"/>
        <v>76771.859714336999</v>
      </c>
      <c r="M43" s="108">
        <f t="shared" si="24"/>
        <v>81576.119339240817</v>
      </c>
      <c r="N43" s="108">
        <f t="shared" si="24"/>
        <v>86399.491926888804</v>
      </c>
      <c r="O43" s="108">
        <f t="shared" si="24"/>
        <v>91238.920527873866</v>
      </c>
      <c r="P43" s="108">
        <f t="shared" si="24"/>
        <v>96091.148051981872</v>
      </c>
      <c r="Q43" s="108">
        <f t="shared" si="24"/>
        <v>100952.70793457472</v>
      </c>
      <c r="R43" s="108">
        <f t="shared" si="24"/>
        <v>105819.9144180774</v>
      </c>
      <c r="S43" s="108">
        <f t="shared" si="24"/>
        <v>110688.85243364774</v>
      </c>
      <c r="T43" s="108">
        <f t="shared" ref="T43:AH43" si="25">$C$43*(T41)</f>
        <v>115555.36706753624</v>
      </c>
      <c r="U43" s="108">
        <f t="shared" si="25"/>
        <v>120415.05259607871</v>
      </c>
      <c r="V43" s="108">
        <f t="shared" si="25"/>
        <v>125263.2410726497</v>
      </c>
      <c r="W43" s="108">
        <f t="shared" si="25"/>
        <v>130094.99044929327</v>
      </c>
      <c r="X43" s="108">
        <f t="shared" si="25"/>
        <v>134905.07221509697</v>
      </c>
      <c r="Y43" s="108">
        <f t="shared" si="25"/>
        <v>139687.95853270579</v>
      </c>
      <c r="Z43" s="108">
        <f t="shared" si="25"/>
        <v>144437.8088536828</v>
      </c>
      <c r="AA43" s="108">
        <f t="shared" si="25"/>
        <v>149148.45599270225</v>
      </c>
      <c r="AB43" s="108">
        <f t="shared" si="25"/>
        <v>153813.39163981617</v>
      </c>
      <c r="AC43" s="108">
        <f t="shared" si="25"/>
        <v>158425.75128926299</v>
      </c>
      <c r="AD43" s="108">
        <f t="shared" si="25"/>
        <v>162978.29856249198</v>
      </c>
      <c r="AE43" s="108">
        <f t="shared" si="25"/>
        <v>167463.40890223649</v>
      </c>
      <c r="AF43" s="108">
        <f t="shared" si="25"/>
        <v>171873.05261362364</v>
      </c>
      <c r="AG43" s="108">
        <f t="shared" si="25"/>
        <v>176198.77722740461</v>
      </c>
      <c r="AH43" s="108">
        <f t="shared" si="25"/>
        <v>180431.68915947533</v>
      </c>
    </row>
    <row r="44" spans="1:34" s="138" customFormat="1" ht="15.75" customHeight="1">
      <c r="A44" s="134"/>
      <c r="B44" s="117" t="s">
        <v>330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1048</v>
      </c>
      <c r="E46" s="1529">
        <f>E21/Data!$C$38</f>
        <v>7.2962684614927525E-2</v>
      </c>
      <c r="F46" s="1529">
        <f>F21/Data!$C$38</f>
        <v>7.4236987721684244E-2</v>
      </c>
      <c r="G46" s="1529">
        <f>G21/Data!$C$38</f>
        <v>7.5521157845765227E-2</v>
      </c>
      <c r="H46" s="1529">
        <f>H21/Data!$C$38</f>
        <v>7.6814671992991537E-2</v>
      </c>
      <c r="I46" s="1529">
        <f>I21/Data!$C$38</f>
        <v>7.811696715589328E-2</v>
      </c>
      <c r="J46" s="1529">
        <f>J21/Data!$C$38</f>
        <v>7.9427438370532163E-2</v>
      </c>
      <c r="K46" s="1529">
        <f>K21/Data!$C$38</f>
        <v>8.0745436691744915E-2</v>
      </c>
      <c r="L46" s="1529">
        <f>L21/Data!$C$38</f>
        <v>8.2070267083613133E-2</v>
      </c>
      <c r="M46" s="1529">
        <f>M21/Data!$C$38</f>
        <v>8.3401186221845072E-2</v>
      </c>
      <c r="N46" s="1529">
        <f>N21/Data!$C$38</f>
        <v>8.4737400204629693E-2</v>
      </c>
      <c r="O46" s="1529">
        <f>O21/Data!$C$38</f>
        <v>8.6078062168394198E-2</v>
      </c>
      <c r="P46" s="1529">
        <f>P21/Data!$C$38</f>
        <v>8.7422269804762393E-2</v>
      </c>
      <c r="Q46" s="1529">
        <f>Q21/Data!$C$38</f>
        <v>8.8769062774872329E-2</v>
      </c>
      <c r="R46" s="1529">
        <f>R21/Data!$C$38</f>
        <v>9.0117420017066546E-2</v>
      </c>
      <c r="S46" s="1529">
        <f>S21/Data!$C$38</f>
        <v>9.1466256943821392E-2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331</v>
      </c>
      <c r="E47" s="142">
        <f>E41/GapCalc!$H$33</f>
        <v>3.0471497604041757E-3</v>
      </c>
      <c r="F47" s="142">
        <f>F41/GapCalc!$H$33</f>
        <v>3.3664630444695176E-3</v>
      </c>
      <c r="G47" s="142">
        <f>G41/GapCalc!$H$33</f>
        <v>3.6882487934366812E-3</v>
      </c>
      <c r="H47" s="142">
        <f>H41/GapCalc!$H$33</f>
        <v>4.0123759560762228E-3</v>
      </c>
      <c r="I47" s="142">
        <f>I41/GapCalc!$H$33</f>
        <v>4.3387034546781339E-3</v>
      </c>
      <c r="J47" s="142">
        <f>J41/GapCalc!$H$33</f>
        <v>4.6670796981328469E-3</v>
      </c>
      <c r="K47" s="142">
        <f>K41/GapCalc!$H$33</f>
        <v>4.9973420745702555E-3</v>
      </c>
      <c r="L47" s="142">
        <f>L41/GapCalc!$H$33</f>
        <v>5.3293164227562985E-3</v>
      </c>
      <c r="M47" s="142">
        <f>M41/GapCalc!$H$33</f>
        <v>5.6628164814165102E-3</v>
      </c>
      <c r="N47" s="142">
        <f>N41/GapCalc!$H$33</f>
        <v>5.997643315624677E-3</v>
      </c>
      <c r="O47" s="142">
        <f>O41/GapCalc!$H$33</f>
        <v>6.3335847193623524E-3</v>
      </c>
      <c r="P47" s="142">
        <f>P41/GapCalc!$H$33</f>
        <v>6.6704145933213612E-3</v>
      </c>
      <c r="Q47" s="142">
        <f>Q41/GapCalc!$H$33</f>
        <v>7.0078922969867433E-3</v>
      </c>
      <c r="R47" s="142">
        <f>R41/GapCalc!$H$33</f>
        <v>7.345761974001129E-3</v>
      </c>
      <c r="S47" s="142">
        <f>S41/GapCalc!$H$33</f>
        <v>7.6837518497747861E-3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332</v>
      </c>
      <c r="E48" s="142">
        <f>E43/GapCalc!$H$32</f>
        <v>2.5900772963435501E-3</v>
      </c>
      <c r="F48" s="142">
        <f>F43/GapCalc!$H$32</f>
        <v>2.8614935877990903E-3</v>
      </c>
      <c r="G48" s="142">
        <f>G43/GapCalc!$H$32</f>
        <v>3.1350114744211795E-3</v>
      </c>
      <c r="H48" s="142">
        <f>H43/GapCalc!$H$32</f>
        <v>3.4105195626647901E-3</v>
      </c>
      <c r="I48" s="142">
        <f>I43/GapCalc!$H$32</f>
        <v>3.6878979364764141E-3</v>
      </c>
      <c r="J48" s="142">
        <f>J43/GapCalc!$H$32</f>
        <v>3.9670177434129204E-3</v>
      </c>
      <c r="K48" s="142">
        <f>K43/GapCalc!$H$32</f>
        <v>4.2477407633847181E-3</v>
      </c>
      <c r="L48" s="142">
        <f>L43/GapCalc!$H$32</f>
        <v>4.5299189593428543E-3</v>
      </c>
      <c r="M48" s="142">
        <f>M43/GapCalc!$H$32</f>
        <v>4.8133940092040337E-3</v>
      </c>
      <c r="N48" s="142">
        <f>N43/GapCalc!$H$32</f>
        <v>5.0979968182809756E-3</v>
      </c>
      <c r="O48" s="142">
        <f>O43/GapCalc!$H$32</f>
        <v>5.3835470114580002E-3</v>
      </c>
      <c r="P48" s="142">
        <f>P43/GapCalc!$H$32</f>
        <v>5.6698524043231587E-3</v>
      </c>
      <c r="Q48" s="142">
        <f>Q43/GapCalc!$H$32</f>
        <v>5.9567084524387321E-3</v>
      </c>
      <c r="R48" s="142">
        <f>R43/GapCalc!$H$32</f>
        <v>6.2438976779009602E-3</v>
      </c>
      <c r="S48" s="142">
        <f>S43/GapCalc!$H$32</f>
        <v>6.5311890723085695E-3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1056</v>
      </c>
      <c r="G64" s="70" t="s">
        <v>1068</v>
      </c>
    </row>
    <row r="65" spans="2:10" ht="13.5" thickBot="1">
      <c r="B65" s="1518" t="s">
        <v>1038</v>
      </c>
      <c r="C65" s="1519"/>
      <c r="D65" s="1543"/>
      <c r="E65" s="70" t="s">
        <v>1054</v>
      </c>
      <c r="G65" s="1518" t="s">
        <v>1038</v>
      </c>
      <c r="H65" s="1519"/>
      <c r="I65" s="1543"/>
      <c r="J65" s="70" t="s">
        <v>1054</v>
      </c>
    </row>
    <row r="66" spans="2:10">
      <c r="B66" s="1520" t="s">
        <v>1052</v>
      </c>
      <c r="C66" s="1565">
        <f>C70/1.63</f>
        <v>7222201.0141904932</v>
      </c>
      <c r="D66" s="1544"/>
      <c r="E66" s="1564" t="s">
        <v>283</v>
      </c>
      <c r="G66" s="1520" t="s">
        <v>1071</v>
      </c>
      <c r="H66" s="1565">
        <f>H70/1.63</f>
        <v>1274506.0613277338</v>
      </c>
      <c r="I66" s="1544"/>
      <c r="J66" s="1564" t="s">
        <v>283</v>
      </c>
    </row>
    <row r="67" spans="2:10" ht="15">
      <c r="B67" s="1521" t="s">
        <v>1053</v>
      </c>
      <c r="C67" s="1580">
        <f>SUMIFS(E42:AH42, E50:AH50, "&lt;=" &amp; VALUE(RIGHT(E66, LEN(E66)-FIND(" ", E66))))</f>
        <v>2295264.8467652011</v>
      </c>
      <c r="D67" s="1545" t="s">
        <v>67</v>
      </c>
      <c r="G67" s="1521" t="s">
        <v>1072</v>
      </c>
      <c r="H67" s="1560">
        <f>SUMIFS(E43:AH43, E50:AH50, "&lt;=" &amp; VALUE(RIGHT(E66, LEN(E66)-FIND(" ", E66))))</f>
        <v>405046.73766444722</v>
      </c>
      <c r="I67" s="1545" t="s">
        <v>67</v>
      </c>
    </row>
    <row r="68" spans="2:10">
      <c r="B68" s="1521" t="s">
        <v>1076</v>
      </c>
      <c r="C68" s="1568">
        <f>IF(GapCalc!D41*C42&lt; 0,0,GapCalc!D41*C42)</f>
        <v>0</v>
      </c>
      <c r="D68" s="1545" t="s">
        <v>67</v>
      </c>
      <c r="G68" s="1521" t="s">
        <v>1077</v>
      </c>
      <c r="H68" s="1568">
        <f>IF(GapCalc!D41*C43&lt; 0,0,GapCalc!D41*C43)</f>
        <v>0</v>
      </c>
      <c r="I68" s="1545" t="s">
        <v>67</v>
      </c>
    </row>
    <row r="69" spans="2:10">
      <c r="B69" s="1521" t="s">
        <v>1057</v>
      </c>
      <c r="C69" s="1568">
        <f>'Debt Calc'!E60</f>
        <v>9476922.8063653018</v>
      </c>
      <c r="D69" s="1546">
        <v>0.9</v>
      </c>
      <c r="G69" s="1521" t="s">
        <v>1073</v>
      </c>
      <c r="H69" s="1568">
        <f>'Debt Calc'!E59*C43</f>
        <v>1672398.142299759</v>
      </c>
      <c r="I69" s="1546">
        <v>0.9</v>
      </c>
    </row>
    <row r="70" spans="2:10">
      <c r="B70" s="1523" t="s">
        <v>1040</v>
      </c>
      <c r="C70" s="1577">
        <f>C67+C68+C69</f>
        <v>11772187.653130503</v>
      </c>
      <c r="D70" s="1545" t="s">
        <v>67</v>
      </c>
      <c r="G70" s="1523" t="s">
        <v>1040</v>
      </c>
      <c r="H70" s="1577">
        <f>H67+H68+H69</f>
        <v>2077444.8799642061</v>
      </c>
      <c r="I70" s="1545" t="s">
        <v>67</v>
      </c>
    </row>
    <row r="71" spans="2:10">
      <c r="B71" s="1523" t="s">
        <v>1041</v>
      </c>
      <c r="C71" s="1571">
        <f>C70/C66</f>
        <v>1.63</v>
      </c>
      <c r="D71" s="1547"/>
      <c r="G71" s="1523" t="s">
        <v>1041</v>
      </c>
      <c r="H71" s="1571">
        <f>H70/H66</f>
        <v>1.6300000000000001</v>
      </c>
      <c r="I71" s="1547"/>
    </row>
    <row r="72" spans="2:10">
      <c r="B72" s="1521" t="s">
        <v>1042</v>
      </c>
      <c r="C72" s="1524">
        <f>(C70-C66)/C66</f>
        <v>0.62999999999999989</v>
      </c>
      <c r="D72" s="1548"/>
      <c r="G72" s="1521" t="s">
        <v>1042</v>
      </c>
      <c r="H72" s="1524">
        <f>(H70-H66)/H66</f>
        <v>0.63</v>
      </c>
      <c r="I72" s="1548"/>
    </row>
    <row r="73" spans="2:10">
      <c r="B73" s="1523" t="s">
        <v>1043</v>
      </c>
      <c r="C73" s="1566">
        <f>C72/7</f>
        <v>8.9999999999999983E-2</v>
      </c>
      <c r="D73" s="1548"/>
      <c r="G73" s="1523" t="s">
        <v>1043</v>
      </c>
      <c r="H73" s="1566">
        <f>H72/7</f>
        <v>0.09</v>
      </c>
      <c r="I73" s="1548"/>
    </row>
    <row r="74" spans="2:10" ht="13.5" thickBot="1">
      <c r="B74" s="1578" t="s">
        <v>1078</v>
      </c>
      <c r="C74" s="1581">
        <f>GapCalc!H33</f>
        <v>96037157.018887043</v>
      </c>
      <c r="D74" s="1549"/>
      <c r="F74" s="1559"/>
      <c r="G74" s="1578" t="s">
        <v>1080</v>
      </c>
      <c r="H74" s="1581">
        <f>GapCalc!H32</f>
        <v>16947733.591568299</v>
      </c>
      <c r="I74" s="1549"/>
    </row>
    <row r="75" spans="2:10">
      <c r="B75" s="70" t="s">
        <v>1079</v>
      </c>
      <c r="C75" s="1579">
        <f>(C70-C74)/C74</f>
        <v>-0.87742048995874233</v>
      </c>
      <c r="G75" s="70" t="s">
        <v>1079</v>
      </c>
      <c r="H75" s="1579">
        <f>(H70-H74)/H74</f>
        <v>-0.87742048995874233</v>
      </c>
    </row>
    <row r="76" spans="2:10">
      <c r="B76" s="70" t="s">
        <v>1043</v>
      </c>
      <c r="C76" s="1579">
        <f>C75/7</f>
        <v>-0.12534578427982032</v>
      </c>
      <c r="G76" s="70" t="s">
        <v>1043</v>
      </c>
      <c r="H76" s="1579">
        <f>H75/7</f>
        <v>-0.12534578427982032</v>
      </c>
    </row>
    <row r="78" spans="2:10" ht="13.5" thickBot="1">
      <c r="B78" s="70" t="s">
        <v>1059</v>
      </c>
    </row>
    <row r="79" spans="2:10" ht="13.5" thickBot="1">
      <c r="B79" s="1518" t="s">
        <v>1038</v>
      </c>
      <c r="C79" s="1519"/>
      <c r="D79" s="1543"/>
      <c r="E79" s="70" t="s">
        <v>1054</v>
      </c>
    </row>
    <row r="80" spans="2:10">
      <c r="B80" s="1520" t="s">
        <v>1052</v>
      </c>
      <c r="C80" s="1565">
        <f>C84/1.8</f>
        <v>2045648.434622877</v>
      </c>
      <c r="D80" s="1544"/>
      <c r="E80" s="1564" t="s">
        <v>286</v>
      </c>
    </row>
    <row r="81" spans="2:10" ht="15">
      <c r="B81" s="1521" t="s">
        <v>1053</v>
      </c>
      <c r="C81" s="1560">
        <f>SUMIFS(E42:AH42, E50:AH50, "&lt;=" &amp; VALUE(RIGHT(E80, LEN(E80)-FIND(" ", E80))))</f>
        <v>3682167.1823211787</v>
      </c>
      <c r="D81" s="1545" t="s">
        <v>67</v>
      </c>
    </row>
    <row r="82" spans="2:10">
      <c r="B82" s="1521" t="s">
        <v>1057</v>
      </c>
      <c r="C82" s="1568">
        <f>C68</f>
        <v>0</v>
      </c>
      <c r="D82" s="1545" t="s">
        <v>67</v>
      </c>
    </row>
    <row r="83" spans="2:10">
      <c r="B83" s="1521" t="s">
        <v>1039</v>
      </c>
      <c r="C83" s="1522"/>
      <c r="D83" s="1546">
        <v>0.9</v>
      </c>
    </row>
    <row r="84" spans="2:10">
      <c r="B84" s="1523" t="s">
        <v>1040</v>
      </c>
      <c r="C84" s="1577">
        <f>C81+C82+C83</f>
        <v>3682167.1823211787</v>
      </c>
      <c r="D84" s="1545" t="s">
        <v>67</v>
      </c>
    </row>
    <row r="85" spans="2:10">
      <c r="B85" s="1523" t="s">
        <v>1041</v>
      </c>
      <c r="C85" s="1567">
        <v>1.8</v>
      </c>
      <c r="D85" s="1547"/>
    </row>
    <row r="86" spans="2:10">
      <c r="B86" s="1521" t="s">
        <v>1042</v>
      </c>
      <c r="C86" s="1524">
        <f>(C84-C80)/C80</f>
        <v>0.8</v>
      </c>
      <c r="D86" s="1548"/>
    </row>
    <row r="87" spans="2:10">
      <c r="B87" s="1523" t="s">
        <v>1043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1056</v>
      </c>
      <c r="G91" s="70" t="s">
        <v>1068</v>
      </c>
    </row>
    <row r="92" spans="2:10" ht="13.5" thickBot="1">
      <c r="B92" s="1518" t="s">
        <v>1038</v>
      </c>
      <c r="C92" s="1519"/>
      <c r="D92" s="1543"/>
      <c r="E92" s="70" t="s">
        <v>1054</v>
      </c>
      <c r="G92" s="1518" t="s">
        <v>1038</v>
      </c>
      <c r="H92" s="1519"/>
      <c r="I92" s="1543"/>
      <c r="J92" s="70" t="s">
        <v>1054</v>
      </c>
    </row>
    <row r="93" spans="2:10">
      <c r="B93" s="1520" t="s">
        <v>1052</v>
      </c>
      <c r="C93" s="1565">
        <f>C97/1.63</f>
        <v>10469918.90676867</v>
      </c>
      <c r="D93" s="1544"/>
      <c r="E93" s="1564" t="s">
        <v>286</v>
      </c>
      <c r="G93" s="1520" t="s">
        <v>1071</v>
      </c>
      <c r="H93" s="1565">
        <f>H97/1.63</f>
        <v>1424657.8840151366</v>
      </c>
      <c r="I93" s="1544"/>
      <c r="J93" s="1564" t="s">
        <v>286</v>
      </c>
    </row>
    <row r="94" spans="2:10" ht="15">
      <c r="B94" s="1521" t="s">
        <v>1053</v>
      </c>
      <c r="C94" s="1580">
        <f>SUMIFS(E42:AH42, E50:AH50, "&lt;=" &amp; VALUE(RIGHT(E93, LEN(E93)-FIND(" ", E93))))</f>
        <v>3682167.1823211787</v>
      </c>
      <c r="D94" s="1545" t="s">
        <v>67</v>
      </c>
      <c r="G94" s="1521" t="s">
        <v>1072</v>
      </c>
      <c r="H94" s="1560">
        <f>SUMIFS(E43:AH43, E50:AH50, "&lt;=" &amp; VALUE(RIGHT(J93, LEN(J93)-FIND(" ", J93))))</f>
        <v>649794.20864491386</v>
      </c>
      <c r="I94" s="1545" t="s">
        <v>67</v>
      </c>
    </row>
    <row r="95" spans="2:10">
      <c r="B95" s="1521" t="s">
        <v>1076</v>
      </c>
      <c r="C95" s="1568">
        <f>IF(GapCalc!D41*C42&lt; 0,0,GapCalc!D41*C42)</f>
        <v>0</v>
      </c>
      <c r="D95" s="1545" t="s">
        <v>67</v>
      </c>
      <c r="G95" s="1521" t="s">
        <v>1077</v>
      </c>
      <c r="H95" s="1568">
        <f>IF(GapCalc!D41*C43&lt; 0,0,GapCalc!D41*C43)</f>
        <v>0</v>
      </c>
      <c r="I95" s="1545" t="s">
        <v>67</v>
      </c>
    </row>
    <row r="96" spans="2:10">
      <c r="B96" s="1521" t="s">
        <v>1057</v>
      </c>
      <c r="C96" s="1568">
        <f>'Debt Calc'!H60</f>
        <v>13383800.635711752</v>
      </c>
      <c r="D96" s="1546">
        <v>0.9</v>
      </c>
      <c r="G96" s="1521" t="s">
        <v>1073</v>
      </c>
      <c r="H96" s="1568">
        <f>'Debt Calc'!E59*C43</f>
        <v>1672398.142299759</v>
      </c>
      <c r="I96" s="1546">
        <v>0.9</v>
      </c>
    </row>
    <row r="97" spans="2:9">
      <c r="B97" s="1523" t="s">
        <v>1040</v>
      </c>
      <c r="C97" s="1577">
        <f>C94+C95+C96</f>
        <v>17065967.818032932</v>
      </c>
      <c r="D97" s="1545" t="s">
        <v>67</v>
      </c>
      <c r="G97" s="1523" t="s">
        <v>1040</v>
      </c>
      <c r="H97" s="1577">
        <f>H94+H95+H96</f>
        <v>2322192.3509446727</v>
      </c>
      <c r="I97" s="1545" t="s">
        <v>67</v>
      </c>
    </row>
    <row r="98" spans="2:9">
      <c r="B98" s="1523" t="s">
        <v>1041</v>
      </c>
      <c r="C98" s="1571">
        <f>C97/C93</f>
        <v>1.63</v>
      </c>
      <c r="D98" s="1547"/>
      <c r="G98" s="1523" t="s">
        <v>1041</v>
      </c>
      <c r="H98" s="1571">
        <f>H97/H93</f>
        <v>1.63</v>
      </c>
      <c r="I98" s="1547"/>
    </row>
    <row r="99" spans="2:9">
      <c r="B99" s="1521" t="s">
        <v>1042</v>
      </c>
      <c r="C99" s="1524">
        <f>(C97-C93)/C93</f>
        <v>0.62999999999999989</v>
      </c>
      <c r="D99" s="1548"/>
      <c r="G99" s="1521" t="s">
        <v>1042</v>
      </c>
      <c r="H99" s="1524">
        <f>(H97-H93)/H93</f>
        <v>0.63</v>
      </c>
      <c r="I99" s="1548"/>
    </row>
    <row r="100" spans="2:9">
      <c r="B100" s="1523" t="s">
        <v>1043</v>
      </c>
      <c r="C100" s="1566">
        <f>C99/7</f>
        <v>8.9999999999999983E-2</v>
      </c>
      <c r="D100" s="1548"/>
      <c r="G100" s="1523" t="s">
        <v>1043</v>
      </c>
      <c r="H100" s="1566">
        <f>H99/7</f>
        <v>0.09</v>
      </c>
      <c r="I100" s="1548"/>
    </row>
    <row r="101" spans="2:9" ht="13.5" thickBot="1">
      <c r="B101" s="1578" t="s">
        <v>1078</v>
      </c>
      <c r="C101" s="1581">
        <f>GapCalc!H33</f>
        <v>96037157.018887043</v>
      </c>
      <c r="D101" s="1549"/>
      <c r="G101" s="1578" t="s">
        <v>1080</v>
      </c>
      <c r="H101" s="1581">
        <f>GapCalc!H32</f>
        <v>16947733.591568299</v>
      </c>
      <c r="I101" s="1549"/>
    </row>
    <row r="102" spans="2:9">
      <c r="B102" s="70" t="s">
        <v>1079</v>
      </c>
      <c r="C102" s="1579">
        <f>(C97-C101)/C101</f>
        <v>-0.82229828175071162</v>
      </c>
      <c r="G102" s="70" t="s">
        <v>1079</v>
      </c>
      <c r="H102" s="1579">
        <f>(H97-H101)/H101</f>
        <v>-0.86297918017191455</v>
      </c>
    </row>
    <row r="103" spans="2:9">
      <c r="B103" s="70" t="s">
        <v>1043</v>
      </c>
      <c r="C103" s="1579">
        <f>C102/10</f>
        <v>-8.2229828175071157E-2</v>
      </c>
      <c r="G103" s="70" t="s">
        <v>1043</v>
      </c>
      <c r="H103" s="1579">
        <f>H102/10</f>
        <v>-8.6297918017191458E-2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648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649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650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651</v>
      </c>
      <c r="C11" s="875">
        <f>'Rental Income'!E17</f>
        <v>176760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652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653</v>
      </c>
      <c r="C13" s="875">
        <f>SUM(C11:C12)*D13</f>
        <v>35352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654</v>
      </c>
      <c r="C14" s="886">
        <f>SUM(C11:C13)</f>
        <v>212112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655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656</v>
      </c>
      <c r="C19" s="897">
        <f>SUM(C14:C16)</f>
        <v>212112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657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658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659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651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653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660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654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661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662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655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656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663</v>
      </c>
      <c r="C34" s="904">
        <f>C19+C32</f>
        <v>212112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664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665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666</v>
      </c>
      <c r="C38" s="909" t="s">
        <v>667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668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604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669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428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670</v>
      </c>
      <c r="B46" s="855"/>
      <c r="C46" s="855"/>
      <c r="D46" s="855"/>
      <c r="E46" s="855" t="s">
        <v>671</v>
      </c>
      <c r="F46" s="915"/>
      <c r="G46" s="855"/>
      <c r="H46" s="855"/>
      <c r="I46" s="855"/>
      <c r="J46" s="855"/>
      <c r="K46" s="855"/>
      <c r="L46" s="1397" t="s">
        <v>968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672</v>
      </c>
      <c r="C47" s="916">
        <f>ROUNDDOWN(M46*M47,1)</f>
        <v>126</v>
      </c>
      <c r="D47" s="876"/>
      <c r="E47" s="917"/>
      <c r="F47" s="918"/>
      <c r="G47" s="873" t="s">
        <v>673</v>
      </c>
      <c r="H47" s="919" t="s">
        <v>674</v>
      </c>
      <c r="I47" s="873" t="s">
        <v>675</v>
      </c>
      <c r="J47" s="873" t="s">
        <v>676</v>
      </c>
      <c r="K47" s="855"/>
      <c r="L47" s="1398" t="s">
        <v>969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604</v>
      </c>
      <c r="C48" s="922">
        <f>P65</f>
        <v>0</v>
      </c>
      <c r="D48" s="876"/>
      <c r="E48" s="855" t="s">
        <v>677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678</v>
      </c>
      <c r="C49" s="916">
        <f>SUM(C47:C48)</f>
        <v>126</v>
      </c>
      <c r="D49" s="876"/>
      <c r="E49" s="855" t="s">
        <v>575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679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680</v>
      </c>
      <c r="C51" s="917"/>
      <c r="D51" s="918" t="s">
        <v>681</v>
      </c>
      <c r="E51" s="929" t="s">
        <v>59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677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575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668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679</v>
      </c>
      <c r="C54" s="935">
        <v>0</v>
      </c>
      <c r="D54" s="936">
        <v>425</v>
      </c>
      <c r="E54" s="855"/>
      <c r="F54" s="937"/>
      <c r="G54" s="855"/>
      <c r="H54" s="879" t="s">
        <v>682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678</v>
      </c>
      <c r="C55" s="880">
        <f>SUM(C52:C54)</f>
        <v>126</v>
      </c>
      <c r="D55" s="855"/>
      <c r="E55" s="855"/>
      <c r="F55" s="937"/>
      <c r="G55" s="855"/>
      <c r="H55" s="872" t="s">
        <v>683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684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685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686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687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688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689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691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692</v>
      </c>
      <c r="C65" s="1743"/>
      <c r="D65" s="1743"/>
      <c r="E65" s="1735"/>
      <c r="F65" s="1745" t="s">
        <v>693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694</v>
      </c>
      <c r="C66" s="1736">
        <f>2000+1000</f>
        <v>3000</v>
      </c>
      <c r="D66" s="1735"/>
      <c r="E66" s="1735"/>
      <c r="F66" s="1737" t="s">
        <v>695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696</v>
      </c>
      <c r="C67" s="1736">
        <v>0</v>
      </c>
      <c r="D67" s="1733">
        <v>0.04</v>
      </c>
      <c r="E67" s="1735"/>
      <c r="F67" s="1737" t="s">
        <v>697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697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698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699</v>
      </c>
      <c r="G70" s="1750" t="s">
        <v>700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701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694</v>
      </c>
      <c r="C73" s="1736">
        <v>1000</v>
      </c>
      <c r="D73" s="1748" t="s">
        <v>702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703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697</v>
      </c>
      <c r="C75" s="1732">
        <v>0</v>
      </c>
      <c r="D75" s="1733">
        <v>0.02</v>
      </c>
      <c r="E75" s="1735" t="s">
        <v>704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698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699</v>
      </c>
      <c r="B79" s="1752" t="s">
        <v>705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627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628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629</v>
      </c>
      <c r="H11" s="561">
        <f>'Cash Flow'!E21/Data!C26</f>
        <v>1463198.0000000002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630</v>
      </c>
      <c r="H12" s="561">
        <f>IF(PV(Data!C24/12,Data!C29*12,-(H11/12))&lt;0,0,PV(Data!C24/12,Data!C29*12,-(H11/12)))</f>
        <v>21077324.236793138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631</v>
      </c>
      <c r="H14" s="566">
        <f>IF(H12=0,0,ROUND(H12-50,-2))</f>
        <v>21077300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6445336.8252985924</v>
      </c>
    </row>
    <row r="15" spans="2:36">
      <c r="B15" s="556"/>
      <c r="C15" s="560" t="s">
        <v>632</v>
      </c>
      <c r="H15" s="561">
        <f>12*PMT(Data!C24/12,Data!C29*12,-'Debt Calc'!H14)</f>
        <v>1463196.3174701408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11126582.708179396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633</v>
      </c>
      <c r="E18" s="569" t="s">
        <v>37</v>
      </c>
      <c r="F18" s="569"/>
      <c r="G18" s="569"/>
      <c r="H18" s="569" t="s">
        <v>634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635</v>
      </c>
      <c r="D19" s="569" t="s">
        <v>636</v>
      </c>
      <c r="E19" s="569" t="s">
        <v>439</v>
      </c>
      <c r="F19" s="569" t="s">
        <v>637</v>
      </c>
      <c r="G19" s="569" t="s">
        <v>638</v>
      </c>
      <c r="H19" s="569" t="s">
        <v>636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11126582.708179396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21077300</v>
      </c>
      <c r="E21" s="561">
        <f>$H$15</f>
        <v>1463196.3174701408</v>
      </c>
      <c r="F21" s="561">
        <f>E21-G21</f>
        <v>0</v>
      </c>
      <c r="G21" s="561">
        <f>D21-H21</f>
        <v>1463196.3174701408</v>
      </c>
      <c r="H21" s="561">
        <f>D21-E21</f>
        <v>19614103.682529859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19614103.682529859</v>
      </c>
      <c r="E22" s="561">
        <f t="shared" ref="E22:E50" si="1">$H$15</f>
        <v>1463196.3174701408</v>
      </c>
      <c r="F22" s="561">
        <f t="shared" ref="F22:F50" si="2">E22-G22</f>
        <v>0</v>
      </c>
      <c r="G22" s="561">
        <f t="shared" ref="G22:G50" si="3">D22-H22</f>
        <v>1463196.3174701408</v>
      </c>
      <c r="H22" s="561">
        <f t="shared" ref="H22:H39" si="4">D22-E22</f>
        <v>18150907.365059718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18150907.365059718</v>
      </c>
      <c r="E23" s="561">
        <f t="shared" si="1"/>
        <v>1463196.3174701408</v>
      </c>
      <c r="F23" s="561">
        <f t="shared" si="2"/>
        <v>0</v>
      </c>
      <c r="G23" s="561">
        <f t="shared" si="3"/>
        <v>1463196.3174701408</v>
      </c>
      <c r="H23" s="561">
        <f t="shared" si="4"/>
        <v>16687711.047589578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16687711.047589578</v>
      </c>
      <c r="E24" s="561">
        <f t="shared" si="1"/>
        <v>1463196.3174701408</v>
      </c>
      <c r="F24" s="561">
        <f t="shared" si="2"/>
        <v>0</v>
      </c>
      <c r="G24" s="561">
        <f t="shared" si="3"/>
        <v>1463196.3174701408</v>
      </c>
      <c r="H24" s="561">
        <f t="shared" si="4"/>
        <v>15224514.730119437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15224514.730119437</v>
      </c>
      <c r="E25" s="561">
        <f t="shared" si="1"/>
        <v>1463196.3174701408</v>
      </c>
      <c r="F25" s="561">
        <f t="shared" si="2"/>
        <v>0</v>
      </c>
      <c r="G25" s="561">
        <f t="shared" si="3"/>
        <v>1463196.3174701408</v>
      </c>
      <c r="H25" s="561">
        <f t="shared" si="4"/>
        <v>13761318.412649296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13761318.412649296</v>
      </c>
      <c r="E26" s="561">
        <f t="shared" si="1"/>
        <v>1463196.3174701408</v>
      </c>
      <c r="F26" s="561">
        <f t="shared" si="2"/>
        <v>0</v>
      </c>
      <c r="G26" s="561">
        <f t="shared" si="3"/>
        <v>1463196.3174701408</v>
      </c>
      <c r="H26" s="561">
        <f t="shared" si="4"/>
        <v>12298122.095179155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12298122.095179155</v>
      </c>
      <c r="E27" s="561">
        <f t="shared" si="1"/>
        <v>1463196.3174701408</v>
      </c>
      <c r="F27" s="561">
        <f t="shared" si="2"/>
        <v>0</v>
      </c>
      <c r="G27" s="561">
        <f t="shared" si="3"/>
        <v>1463196.3174701408</v>
      </c>
      <c r="H27" s="561">
        <f t="shared" si="4"/>
        <v>10834925.777709015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10834925.777709015</v>
      </c>
      <c r="E28" s="561">
        <f t="shared" si="1"/>
        <v>1463196.3174701408</v>
      </c>
      <c r="F28" s="561">
        <f t="shared" si="2"/>
        <v>0</v>
      </c>
      <c r="G28" s="561">
        <f t="shared" si="3"/>
        <v>1463196.3174701408</v>
      </c>
      <c r="H28" s="561">
        <f t="shared" si="4"/>
        <v>9371729.460238874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9371729.460238874</v>
      </c>
      <c r="E29" s="561">
        <f t="shared" si="1"/>
        <v>1463196.3174701408</v>
      </c>
      <c r="F29" s="561">
        <f t="shared" si="2"/>
        <v>0</v>
      </c>
      <c r="G29" s="561">
        <f t="shared" si="3"/>
        <v>1463196.3174701408</v>
      </c>
      <c r="H29" s="561">
        <f t="shared" si="4"/>
        <v>7908533.1427687332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7908533.1427687332</v>
      </c>
      <c r="E30" s="561">
        <f t="shared" si="1"/>
        <v>1463196.3174701408</v>
      </c>
      <c r="F30" s="561">
        <f t="shared" si="2"/>
        <v>0</v>
      </c>
      <c r="G30" s="561">
        <f t="shared" si="3"/>
        <v>1463196.3174701408</v>
      </c>
      <c r="H30" s="561">
        <f>D30-E30</f>
        <v>6445336.8252985924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6445336.8252985924</v>
      </c>
      <c r="E31" s="561">
        <f t="shared" si="1"/>
        <v>1463196.3174701408</v>
      </c>
      <c r="F31" s="561">
        <f t="shared" si="2"/>
        <v>0</v>
      </c>
      <c r="G31" s="561">
        <f t="shared" si="3"/>
        <v>1463196.3174701408</v>
      </c>
      <c r="H31" s="561">
        <f t="shared" si="4"/>
        <v>4982140.5078284517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4982140.5078284517</v>
      </c>
      <c r="E32" s="561">
        <f t="shared" si="1"/>
        <v>1463196.3174701408</v>
      </c>
      <c r="F32" s="561">
        <f t="shared" si="2"/>
        <v>0</v>
      </c>
      <c r="G32" s="561">
        <f t="shared" si="3"/>
        <v>1463196.3174701408</v>
      </c>
      <c r="H32" s="561">
        <f t="shared" si="4"/>
        <v>3518944.1903583109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3518944.1903583109</v>
      </c>
      <c r="E33" s="561">
        <f t="shared" si="1"/>
        <v>1463196.3174701408</v>
      </c>
      <c r="F33" s="561">
        <f t="shared" si="2"/>
        <v>0</v>
      </c>
      <c r="G33" s="561">
        <f t="shared" si="3"/>
        <v>1463196.3174701408</v>
      </c>
      <c r="H33" s="561">
        <f t="shared" si="4"/>
        <v>2055747.8728881702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2055747.8728881702</v>
      </c>
      <c r="E34" s="561">
        <f t="shared" si="1"/>
        <v>1463196.3174701408</v>
      </c>
      <c r="F34" s="561">
        <f t="shared" si="2"/>
        <v>0</v>
      </c>
      <c r="G34" s="561">
        <f t="shared" si="3"/>
        <v>1463196.3174701408</v>
      </c>
      <c r="H34" s="561">
        <f t="shared" si="4"/>
        <v>592551.55541802943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592551.55541802943</v>
      </c>
      <c r="E35" s="561">
        <f t="shared" si="1"/>
        <v>1463196.3174701408</v>
      </c>
      <c r="F35" s="561">
        <f t="shared" si="2"/>
        <v>0</v>
      </c>
      <c r="G35" s="561">
        <f t="shared" si="3"/>
        <v>1463196.3174701408</v>
      </c>
      <c r="H35" s="561">
        <f t="shared" si="4"/>
        <v>-870644.76205211133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-870644.76205211133</v>
      </c>
      <c r="E36" s="561">
        <f t="shared" si="1"/>
        <v>1463196.3174701408</v>
      </c>
      <c r="F36" s="561">
        <f t="shared" si="2"/>
        <v>0</v>
      </c>
      <c r="G36" s="561">
        <f t="shared" si="3"/>
        <v>1463196.3174701408</v>
      </c>
      <c r="H36" s="561">
        <f t="shared" si="4"/>
        <v>-2333841.0795222521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-2333841.0795222521</v>
      </c>
      <c r="E37" s="561">
        <f t="shared" si="1"/>
        <v>1463196.3174701408</v>
      </c>
      <c r="F37" s="561">
        <f t="shared" si="2"/>
        <v>0</v>
      </c>
      <c r="G37" s="561">
        <f t="shared" si="3"/>
        <v>1463196.3174701408</v>
      </c>
      <c r="H37" s="561">
        <f t="shared" si="4"/>
        <v>-3797037.3969923928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-3797037.3969923928</v>
      </c>
      <c r="E38" s="561">
        <f t="shared" si="1"/>
        <v>1463196.3174701408</v>
      </c>
      <c r="F38" s="561">
        <f t="shared" si="2"/>
        <v>0</v>
      </c>
      <c r="G38" s="561">
        <f t="shared" si="3"/>
        <v>1463196.3174701408</v>
      </c>
      <c r="H38" s="561">
        <f>D38-E38</f>
        <v>-5260233.7144625336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-5260233.7144625336</v>
      </c>
      <c r="E39" s="561">
        <f t="shared" si="1"/>
        <v>1463196.3174701408</v>
      </c>
      <c r="F39" s="561">
        <f t="shared" si="2"/>
        <v>0</v>
      </c>
      <c r="G39" s="561">
        <f t="shared" si="3"/>
        <v>1463196.3174701408</v>
      </c>
      <c r="H39" s="561">
        <f t="shared" si="4"/>
        <v>-6723430.0319326743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-6723430.0319326743</v>
      </c>
      <c r="E40" s="561">
        <f t="shared" si="1"/>
        <v>1463196.3174701408</v>
      </c>
      <c r="F40" s="561">
        <f t="shared" si="2"/>
        <v>8186626.3494028151</v>
      </c>
      <c r="G40" s="561">
        <f t="shared" si="3"/>
        <v>-6723430.0319326743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1463196.3174701408</v>
      </c>
      <c r="F41" s="561">
        <f t="shared" si="2"/>
        <v>1463196.3174701408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1463196.3174701408</v>
      </c>
      <c r="F42" s="561">
        <f t="shared" si="2"/>
        <v>1463196.3174701408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1463196.3174701408</v>
      </c>
      <c r="F43" s="561">
        <f t="shared" si="2"/>
        <v>1463196.3174701408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1463196.3174701408</v>
      </c>
      <c r="F44" s="561">
        <f t="shared" si="2"/>
        <v>1463196.3174701408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1463196.3174701408</v>
      </c>
      <c r="F45" s="561">
        <f t="shared" si="2"/>
        <v>1463196.3174701408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1463196.3174701408</v>
      </c>
      <c r="F46" s="561">
        <f t="shared" si="2"/>
        <v>1463196.3174701408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1463196.3174701408</v>
      </c>
      <c r="F47" s="561">
        <f t="shared" si="2"/>
        <v>1463196.3174701408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1463196.3174701408</v>
      </c>
      <c r="F48" s="561">
        <f t="shared" si="2"/>
        <v>1463196.3174701408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1463196.3174701408</v>
      </c>
      <c r="F49" s="561">
        <f t="shared" si="2"/>
        <v>1463196.3174701408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1463196.3174701408</v>
      </c>
      <c r="F50" s="561">
        <f t="shared" si="2"/>
        <v>1463196.3174701408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1075</v>
      </c>
      <c r="E54" s="1657"/>
      <c r="F54" s="561"/>
      <c r="G54" s="1658" t="s">
        <v>1086</v>
      </c>
      <c r="H54" s="1659"/>
    </row>
    <row r="55" spans="2:28">
      <c r="D55" s="1655" t="s">
        <v>1062</v>
      </c>
      <c r="E55" s="1664">
        <f>'Cash Flow'!K15/0.05</f>
        <v>77547251.578510031</v>
      </c>
      <c r="F55" s="561"/>
      <c r="G55" s="1663" t="s">
        <v>1062</v>
      </c>
      <c r="H55" s="1667">
        <f>'Cash Flow'!N15/0.05</f>
        <v>83509908.219413877</v>
      </c>
    </row>
    <row r="56" spans="2:28">
      <c r="D56" s="1653" t="s">
        <v>1063</v>
      </c>
      <c r="E56" s="1665">
        <f>'Cash Flow'!K21/1.2</f>
        <v>1619273.7712438288</v>
      </c>
      <c r="F56" s="561"/>
      <c r="G56" s="1661" t="s">
        <v>1063</v>
      </c>
      <c r="H56" s="1668">
        <f>'Cash Flow'!N21/1.2</f>
        <v>1699328.8440382713</v>
      </c>
    </row>
    <row r="57" spans="2:28">
      <c r="D57" s="1653" t="s">
        <v>1064</v>
      </c>
      <c r="E57" s="1665">
        <f>E55*0.6</f>
        <v>46528350.947106019</v>
      </c>
      <c r="F57" s="561"/>
      <c r="G57" s="1661" t="s">
        <v>1064</v>
      </c>
      <c r="H57" s="1668">
        <f>H55*0.6</f>
        <v>50105944.931648321</v>
      </c>
    </row>
    <row r="58" spans="2:28">
      <c r="D58" s="1653" t="s">
        <v>1065</v>
      </c>
      <c r="E58" s="1665">
        <f>-PV(6.5%,34,E56)</f>
        <v>21984246.726374075</v>
      </c>
      <c r="F58" s="561"/>
      <c r="G58" s="1661" t="s">
        <v>1065</v>
      </c>
      <c r="H58" s="1668">
        <f>-PV(6.5%,30,H56)</f>
        <v>22190984.632018298</v>
      </c>
    </row>
    <row r="59" spans="2:28">
      <c r="D59" s="1652" t="s">
        <v>1066</v>
      </c>
      <c r="E59" s="1665">
        <f>E58-H27</f>
        <v>11149320.94866506</v>
      </c>
      <c r="F59" s="561"/>
      <c r="G59" s="1660" t="s">
        <v>1066</v>
      </c>
      <c r="H59" s="1668">
        <f>H58-H30</f>
        <v>15745647.806719705</v>
      </c>
    </row>
    <row r="60" spans="2:28" ht="13.5" thickBot="1">
      <c r="D60" s="1654" t="s">
        <v>1067</v>
      </c>
      <c r="E60" s="1666">
        <f>E59*GapCalc!I33</f>
        <v>9476922.8063653018</v>
      </c>
      <c r="F60" s="561"/>
      <c r="G60" s="1662" t="s">
        <v>1067</v>
      </c>
      <c r="H60" s="1669">
        <f>H59*GapCalc!I33</f>
        <v>13383800.635711752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991</v>
      </c>
    </row>
    <row r="3" spans="1:5">
      <c r="B3" s="1401" t="s">
        <v>971</v>
      </c>
      <c r="C3" s="1415">
        <f>'Development Budget'!E18</f>
        <v>16380000</v>
      </c>
      <c r="D3" s="1402" t="s">
        <v>973</v>
      </c>
      <c r="E3" s="1413">
        <v>1.199398E-2</v>
      </c>
    </row>
    <row r="4" spans="1:5" ht="31.5">
      <c r="B4" s="1403" t="s">
        <v>972</v>
      </c>
      <c r="C4" s="1416">
        <f>SUM('Development Budget'!G31+'Development Budget'!G32)</f>
        <v>70793329.5</v>
      </c>
      <c r="D4" s="1404" t="s">
        <v>974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975</v>
      </c>
      <c r="C6" s="1402" t="s">
        <v>976</v>
      </c>
      <c r="D6" s="1405" t="s">
        <v>977</v>
      </c>
      <c r="E6" s="1315"/>
    </row>
    <row r="7" spans="1:5">
      <c r="A7" s="1408"/>
      <c r="B7" s="1417">
        <f>C3*E3</f>
        <v>196461.39239999998</v>
      </c>
      <c r="C7" s="1417">
        <f>C4*E4</f>
        <v>849093.77815640997</v>
      </c>
      <c r="D7" s="1409">
        <f>(1-'Rental Income'!O19)</f>
        <v>7.9365079365079083E-3</v>
      </c>
    </row>
    <row r="8" spans="1:5">
      <c r="A8" s="1410" t="s">
        <v>978</v>
      </c>
      <c r="B8" s="1417">
        <f>B7*D7</f>
        <v>1559.2173999999943</v>
      </c>
      <c r="C8" s="1417">
        <f>C7*D7</f>
        <v>6738.839509177833</v>
      </c>
      <c r="D8" s="1411"/>
    </row>
    <row r="9" spans="1:5">
      <c r="A9" s="1408"/>
      <c r="B9" s="1417"/>
      <c r="C9" s="1417"/>
      <c r="D9" s="1411"/>
    </row>
    <row r="10" spans="1:5">
      <c r="A10" s="1412" t="s">
        <v>979</v>
      </c>
      <c r="B10" s="1418">
        <f>SUM(B8:C8)</f>
        <v>8298.056909177827</v>
      </c>
      <c r="C10" s="1418"/>
      <c r="D10" s="1406"/>
    </row>
    <row r="12" spans="1:5">
      <c r="A12" t="s">
        <v>988</v>
      </c>
    </row>
    <row r="13" spans="1:5">
      <c r="A13" t="s">
        <v>989</v>
      </c>
      <c r="B13">
        <v>6</v>
      </c>
      <c r="C13" s="1425">
        <f>C3*(E3/12)*B13</f>
        <v>98230.696200000006</v>
      </c>
    </row>
    <row r="14" spans="1:5">
      <c r="A14" t="s">
        <v>990</v>
      </c>
      <c r="B14">
        <v>24</v>
      </c>
      <c r="C14" s="1425">
        <f>C3*(E3/12)*B14</f>
        <v>392922.78480000002</v>
      </c>
    </row>
    <row r="15" spans="1:5">
      <c r="A15" s="40" t="s">
        <v>992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154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155</v>
      </c>
      <c r="E14" s="49" t="s">
        <v>156</v>
      </c>
    </row>
    <row r="15" spans="1:5">
      <c r="A15" s="40" t="s">
        <v>157</v>
      </c>
    </row>
    <row r="16" spans="1:5">
      <c r="B16" t="s">
        <v>158</v>
      </c>
      <c r="D16" s="48">
        <f>'Rental Income'!E18*12</f>
        <v>3513828</v>
      </c>
    </row>
    <row r="17" spans="1:25">
      <c r="B17" t="s">
        <v>159</v>
      </c>
      <c r="D17" s="48">
        <v>5580</v>
      </c>
      <c r="Q17" t="s">
        <v>160</v>
      </c>
      <c r="V17" s="799" t="s">
        <v>161</v>
      </c>
      <c r="W17" s="800"/>
      <c r="X17" s="800"/>
      <c r="Y17" s="800"/>
    </row>
    <row r="18" spans="1:25">
      <c r="A18" s="42"/>
      <c r="B18" s="43" t="s">
        <v>162</v>
      </c>
      <c r="C18" s="43"/>
      <c r="D18" s="50">
        <f>SUM(D16:D17)*-F18</f>
        <v>-175970.40000000002</v>
      </c>
      <c r="E18" s="50"/>
      <c r="F18" s="55">
        <v>0.05</v>
      </c>
    </row>
    <row r="19" spans="1:25">
      <c r="A19" s="40" t="s">
        <v>163</v>
      </c>
      <c r="D19" s="57">
        <f>SUM(D15:D18)</f>
        <v>3343437.6</v>
      </c>
      <c r="E19" s="48">
        <f>SUM(E15:E18)</f>
        <v>0</v>
      </c>
      <c r="Q19" s="607" t="s">
        <v>164</v>
      </c>
      <c r="R19" s="608"/>
      <c r="S19" s="609"/>
      <c r="T19" s="610" t="s">
        <v>165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165</v>
      </c>
    </row>
    <row r="20" spans="1:25">
      <c r="Q20" s="616"/>
      <c r="R20" s="617" t="s">
        <v>166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167</v>
      </c>
      <c r="Q21" s="568"/>
      <c r="R21" s="623" t="s">
        <v>168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169</v>
      </c>
      <c r="D22" s="48">
        <f>(E22*$D$10+30)/2</f>
        <v>131433</v>
      </c>
      <c r="E22" s="48">
        <v>1043</v>
      </c>
      <c r="F22" s="453" t="s">
        <v>170</v>
      </c>
      <c r="N22" s="428">
        <f>D22*0.8</f>
        <v>105146.40000000001</v>
      </c>
      <c r="Q22" s="568"/>
      <c r="R22" s="623" t="s">
        <v>171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172</v>
      </c>
      <c r="D23" s="48">
        <f>(E23*$D$10-20)/2</f>
        <v>168074</v>
      </c>
      <c r="E23" s="48">
        <v>1334</v>
      </c>
      <c r="F23" s="453" t="s">
        <v>173</v>
      </c>
      <c r="Q23" s="568"/>
      <c r="R23" s="623" t="s">
        <v>174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175</v>
      </c>
      <c r="D24" s="48">
        <f>E24*$D$10+30</f>
        <v>23466</v>
      </c>
      <c r="E24" s="48">
        <v>93</v>
      </c>
      <c r="F24" s="453" t="s">
        <v>176</v>
      </c>
      <c r="Q24" s="568"/>
      <c r="R24" s="623" t="s">
        <v>177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178</v>
      </c>
      <c r="C25" s="43"/>
      <c r="D25" s="50">
        <f>(0.32*SUM(D22:D24)+18000)</f>
        <v>121351.36</v>
      </c>
      <c r="E25" s="50">
        <v>790</v>
      </c>
      <c r="F25" s="453" t="s">
        <v>179</v>
      </c>
      <c r="Q25" s="568"/>
      <c r="R25" s="623" t="s">
        <v>180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181</v>
      </c>
      <c r="D26" s="51">
        <f>SUM(D22:D25)</f>
        <v>444324.36</v>
      </c>
      <c r="E26" s="51">
        <f>SUM(E22:E25)</f>
        <v>3260</v>
      </c>
      <c r="Q26" s="568"/>
      <c r="R26" s="623" t="s">
        <v>182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183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184</v>
      </c>
      <c r="Q28" s="568"/>
      <c r="R28" s="623" t="s">
        <v>185</v>
      </c>
      <c r="S28" s="618"/>
      <c r="T28" s="619">
        <v>0</v>
      </c>
      <c r="W28" t="str">
        <f t="shared" si="0"/>
        <v>Communication</v>
      </c>
    </row>
    <row r="29" spans="1:25">
      <c r="B29" t="s">
        <v>186</v>
      </c>
      <c r="D29" s="48">
        <f>E29*$D$10</f>
        <v>46872</v>
      </c>
      <c r="E29" s="48">
        <v>186</v>
      </c>
      <c r="Q29" s="568"/>
      <c r="R29" s="623" t="s">
        <v>187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188</v>
      </c>
      <c r="D30" s="48">
        <f>E30*$D$10</f>
        <v>25200</v>
      </c>
      <c r="E30" s="48">
        <v>100</v>
      </c>
      <c r="Q30" s="628"/>
      <c r="R30" s="629" t="s">
        <v>189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190</v>
      </c>
      <c r="D31" s="48">
        <f>E31*$D$10</f>
        <v>41328</v>
      </c>
      <c r="E31" s="48">
        <v>164</v>
      </c>
      <c r="Q31" s="634"/>
      <c r="R31" s="635" t="s">
        <v>191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192</v>
      </c>
      <c r="C32" s="43"/>
      <c r="D32" s="50">
        <f>E32*$D$10</f>
        <v>7560</v>
      </c>
      <c r="E32" s="50">
        <v>30</v>
      </c>
      <c r="Q32" s="607" t="s">
        <v>193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194</v>
      </c>
      <c r="D33" s="48">
        <f>SUM(D29:D32)</f>
        <v>120960</v>
      </c>
      <c r="E33" s="48">
        <f>SUM(E29:E32)</f>
        <v>480</v>
      </c>
      <c r="Q33" s="568"/>
      <c r="R33" s="623" t="s">
        <v>195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196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197</v>
      </c>
      <c r="Q35" s="568"/>
      <c r="R35" s="623" t="s">
        <v>198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196</v>
      </c>
      <c r="D36" s="48">
        <f>E36*$D$10</f>
        <v>133560</v>
      </c>
      <c r="E36" s="48">
        <f>285+245</f>
        <v>530</v>
      </c>
      <c r="Q36" s="568"/>
      <c r="R36" s="623" t="s">
        <v>199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200</v>
      </c>
      <c r="D37" s="48">
        <f>E37*$D$10</f>
        <v>199080</v>
      </c>
      <c r="E37" s="48">
        <v>790</v>
      </c>
      <c r="Q37" s="568"/>
      <c r="R37" s="623" t="s">
        <v>200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198</v>
      </c>
      <c r="D38" s="48">
        <v>0</v>
      </c>
      <c r="E38" s="48">
        <v>0</v>
      </c>
      <c r="F38" s="505" t="s">
        <v>201</v>
      </c>
      <c r="Q38" s="646"/>
      <c r="R38" s="647" t="s">
        <v>202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199</v>
      </c>
      <c r="D39" s="48">
        <f>E39*$D$10</f>
        <v>106092</v>
      </c>
      <c r="E39" s="48">
        <v>421</v>
      </c>
      <c r="Q39" s="634"/>
      <c r="R39" s="635" t="s">
        <v>191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203</v>
      </c>
      <c r="C40" s="43"/>
      <c r="D40" s="50">
        <f>E40*$D$10</f>
        <v>0</v>
      </c>
      <c r="E40" s="50">
        <v>0</v>
      </c>
      <c r="Q40" s="607" t="s">
        <v>204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205</v>
      </c>
      <c r="D41" s="48">
        <f>SUM(D36:D40)</f>
        <v>438732</v>
      </c>
      <c r="E41" s="48">
        <f>SUM(E36:E40)</f>
        <v>1741</v>
      </c>
      <c r="Q41" s="568"/>
      <c r="R41" s="623" t="s">
        <v>206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207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208</v>
      </c>
      <c r="D43" s="48">
        <f>E43*$D$10</f>
        <v>92988</v>
      </c>
      <c r="E43" s="48">
        <v>369</v>
      </c>
      <c r="F43" t="s">
        <v>209</v>
      </c>
      <c r="Q43" s="568"/>
      <c r="R43" s="623" t="s">
        <v>210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211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212</v>
      </c>
      <c r="D45" s="48">
        <f>E45*$D$10-50</f>
        <v>66982</v>
      </c>
      <c r="E45" s="48">
        <v>266</v>
      </c>
      <c r="Q45" s="568"/>
      <c r="R45" s="623" t="s">
        <v>213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214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215</v>
      </c>
      <c r="Q47" s="568"/>
      <c r="R47" s="623" t="s">
        <v>216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217</v>
      </c>
      <c r="D48" s="48">
        <f>E48*$D$10</f>
        <v>99792</v>
      </c>
      <c r="E48" s="48">
        <v>396</v>
      </c>
      <c r="Q48" s="568"/>
      <c r="R48" s="623" t="s">
        <v>218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219</v>
      </c>
      <c r="D49" s="48">
        <f>E49*$D$10</f>
        <v>34272</v>
      </c>
      <c r="E49" s="48">
        <v>136</v>
      </c>
      <c r="Q49" s="568"/>
      <c r="R49" s="623" t="s">
        <v>220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221</v>
      </c>
      <c r="D50" s="48">
        <f>E50*$D$10</f>
        <v>214200</v>
      </c>
      <c r="E50" s="48">
        <v>850</v>
      </c>
      <c r="I50" s="326"/>
      <c r="Q50" s="568"/>
      <c r="R50" s="623" t="s">
        <v>222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223</v>
      </c>
      <c r="D51" s="48">
        <f>E51*$D$10</f>
        <v>13860</v>
      </c>
      <c r="E51" s="48">
        <v>55</v>
      </c>
      <c r="Q51" s="568"/>
      <c r="R51" s="623" t="s">
        <v>224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225</v>
      </c>
      <c r="D52" s="48">
        <f>(22*110)*12</f>
        <v>29040</v>
      </c>
      <c r="F52" t="s">
        <v>226</v>
      </c>
      <c r="Q52" s="568"/>
      <c r="R52" s="623" t="s">
        <v>227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203</v>
      </c>
      <c r="C53" s="43"/>
      <c r="D53" s="50">
        <f>E53*$D$10</f>
        <v>0</v>
      </c>
      <c r="E53" s="50">
        <v>0</v>
      </c>
      <c r="Q53" s="628"/>
      <c r="R53" s="629" t="s">
        <v>228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229</v>
      </c>
      <c r="D54" s="48">
        <f>SUM(D48:D53)</f>
        <v>391164</v>
      </c>
      <c r="E54" s="48">
        <f>SUM(E48:E53)</f>
        <v>1437</v>
      </c>
      <c r="Q54" s="568"/>
      <c r="R54" s="655" t="s">
        <v>191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230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230</v>
      </c>
      <c r="Q56" s="568"/>
      <c r="R56" s="623" t="s">
        <v>231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8298.056909177827</v>
      </c>
      <c r="Y56" s="1309">
        <f>X56/'Rental Income'!D15</f>
        <v>32.92879725864217</v>
      </c>
    </row>
    <row r="57" spans="1:25">
      <c r="B57" t="s">
        <v>232</v>
      </c>
      <c r="D57" s="48">
        <f>0.01199398*'Development Budget'!G131</f>
        <v>0</v>
      </c>
      <c r="E57" s="48">
        <v>1500</v>
      </c>
      <c r="F57" t="s">
        <v>233</v>
      </c>
      <c r="H57" s="428"/>
      <c r="Q57" s="568"/>
      <c r="R57" s="623" t="s">
        <v>234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235</v>
      </c>
      <c r="C58" s="43"/>
      <c r="D58" s="50">
        <v>109942.23407999999</v>
      </c>
      <c r="E58" s="50">
        <f>D58/D10</f>
        <v>436.27870666666666</v>
      </c>
      <c r="F58" t="s">
        <v>236</v>
      </c>
      <c r="Q58" s="568"/>
      <c r="R58" s="623" t="s">
        <v>237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238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239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240</v>
      </c>
      <c r="S60" s="618"/>
      <c r="T60" s="619"/>
      <c r="W60" t="str">
        <f t="shared" si="0"/>
        <v>Trustee Fee</v>
      </c>
    </row>
    <row r="61" spans="1:25">
      <c r="A61" s="40" t="s">
        <v>241</v>
      </c>
      <c r="Q61" s="568"/>
      <c r="R61" s="623" t="s">
        <v>242</v>
      </c>
      <c r="S61" s="618"/>
      <c r="T61" s="619"/>
      <c r="W61" t="str">
        <f t="shared" si="0"/>
        <v>LAHD Issuer Fee</v>
      </c>
    </row>
    <row r="62" spans="1:25">
      <c r="B62" t="s">
        <v>243</v>
      </c>
      <c r="D62" s="48">
        <f>E62*$D$10</f>
        <v>211680</v>
      </c>
      <c r="E62" s="48">
        <v>840</v>
      </c>
      <c r="Q62" s="568"/>
      <c r="R62" s="623" t="s">
        <v>244</v>
      </c>
      <c r="S62" s="618"/>
      <c r="T62" s="619"/>
      <c r="W62" t="str">
        <f t="shared" si="0"/>
        <v>LACDA Monitoring</v>
      </c>
    </row>
    <row r="63" spans="1:25">
      <c r="B63" t="s">
        <v>245</v>
      </c>
      <c r="D63" s="48">
        <v>40000</v>
      </c>
      <c r="E63" s="48">
        <f>D63/D10</f>
        <v>158.73015873015873</v>
      </c>
      <c r="Q63" s="568"/>
      <c r="R63" s="623" t="s">
        <v>246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247</v>
      </c>
      <c r="D64" s="48">
        <v>0</v>
      </c>
      <c r="E64" s="48">
        <v>100</v>
      </c>
      <c r="Q64" s="634"/>
      <c r="R64" s="635" t="s">
        <v>191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80882.190242511162</v>
      </c>
    </row>
    <row r="65" spans="1:25">
      <c r="B65" t="s">
        <v>248</v>
      </c>
      <c r="D65" s="48">
        <f>E65*$D$10</f>
        <v>37800</v>
      </c>
      <c r="E65" s="48">
        <v>150</v>
      </c>
      <c r="Q65" s="664" t="s">
        <v>229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249</v>
      </c>
      <c r="C66" s="43"/>
      <c r="D66" s="50">
        <v>12000</v>
      </c>
      <c r="E66" s="50">
        <v>85</v>
      </c>
      <c r="Q66" s="669"/>
      <c r="R66" s="670" t="s">
        <v>250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251</v>
      </c>
      <c r="D67" s="48">
        <f>SUM(D62:D66)</f>
        <v>301480</v>
      </c>
      <c r="E67" s="48">
        <f>SUM(E62:E66)</f>
        <v>1333.7301587301588</v>
      </c>
      <c r="Q67" s="646"/>
      <c r="R67" s="675" t="s">
        <v>252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253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191</v>
      </c>
      <c r="X68" s="53">
        <f>SUM(X66:X67)</f>
        <v>120000</v>
      </c>
    </row>
    <row r="69" spans="1:25">
      <c r="A69" s="40" t="s">
        <v>123</v>
      </c>
      <c r="D69" s="426">
        <f>E69*$D$10</f>
        <v>75600</v>
      </c>
      <c r="E69" s="426">
        <v>300</v>
      </c>
    </row>
    <row r="70" spans="1:25">
      <c r="V70" s="40" t="s">
        <v>254</v>
      </c>
      <c r="X70" s="1307">
        <f>SUM(X68,X64,X54,X39,X31)</f>
        <v>528125.1702425112</v>
      </c>
      <c r="Y70" s="1307">
        <f>X70/D10</f>
        <v>2095.7348025496476</v>
      </c>
    </row>
    <row r="71" spans="1:25">
      <c r="A71" s="40" t="s">
        <v>255</v>
      </c>
      <c r="D71" s="48">
        <f>E71*$D$10</f>
        <v>126000</v>
      </c>
      <c r="E71" s="48">
        <v>500</v>
      </c>
      <c r="F71" t="s">
        <v>256</v>
      </c>
    </row>
    <row r="73" spans="1:25">
      <c r="A73" s="44" t="s">
        <v>257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-3904.2651974503524</v>
      </c>
    </row>
    <row r="75" spans="1:25">
      <c r="A75" s="44" t="s">
        <v>258</v>
      </c>
      <c r="B75" s="45"/>
      <c r="C75" s="45"/>
      <c r="D75" s="52">
        <f>D19-D73</f>
        <v>1175265.0059200004</v>
      </c>
      <c r="E75" s="52">
        <f>D75/D10</f>
        <v>4663.7500234920653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259</v>
      </c>
      <c r="H4">
        <v>110</v>
      </c>
      <c r="I4" t="s">
        <v>260</v>
      </c>
    </row>
    <row r="5" spans="1:10" ht="23.25">
      <c r="A5" s="460"/>
      <c r="H5">
        <f>GapCalc!D12</f>
        <v>212112</v>
      </c>
      <c r="I5" t="s">
        <v>261</v>
      </c>
    </row>
    <row r="6" spans="1:10" ht="16.5" thickBot="1">
      <c r="A6" s="469" t="s">
        <v>262</v>
      </c>
      <c r="B6" s="470" t="s">
        <v>37</v>
      </c>
      <c r="C6" s="471" t="s">
        <v>84</v>
      </c>
      <c r="D6" s="471" t="s">
        <v>85</v>
      </c>
      <c r="E6" s="470" t="s">
        <v>263</v>
      </c>
      <c r="F6" s="470"/>
      <c r="G6" s="470" t="s">
        <v>264</v>
      </c>
      <c r="I6" s="481" t="s">
        <v>265</v>
      </c>
      <c r="J6" s="481" t="s">
        <v>266</v>
      </c>
    </row>
    <row r="7" spans="1:10">
      <c r="A7" s="468" t="s">
        <v>267</v>
      </c>
      <c r="B7" s="465">
        <f>'Development Budget'!G39+'Development Budget'!G46</f>
        <v>88641661.874999985</v>
      </c>
      <c r="C7" s="465">
        <f>'Dev Summary_5-20'!B8</f>
        <v>3190331</v>
      </c>
      <c r="D7" s="465">
        <f t="shared" ref="D7:D14" si="0">B7-C7</f>
        <v>85451330.874999985</v>
      </c>
      <c r="E7" s="477">
        <f t="shared" ref="E7:E15" si="1">D7/B7</f>
        <v>0.96400867343282759</v>
      </c>
      <c r="F7" s="477"/>
      <c r="G7" s="472" t="e">
        <f t="shared" ref="G7:G14" si="2">B7/$B$15</f>
        <v>#REF!</v>
      </c>
      <c r="I7" s="147">
        <f>B7/$H$4</f>
        <v>805833.28977272718</v>
      </c>
      <c r="J7" s="53">
        <f>B7/$H$5</f>
        <v>417.9002690795428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268</v>
      </c>
      <c r="B9" s="446">
        <f>'Development Budget'!G94+'Development Budget'!G101+'Development Budget'!G102</f>
        <v>359220.4055422768</v>
      </c>
      <c r="C9" s="446">
        <f>'Dev Summary_5-20'!B10</f>
        <v>50000</v>
      </c>
      <c r="D9" s="446">
        <f t="shared" si="0"/>
        <v>309220.4055422768</v>
      </c>
      <c r="E9" s="477">
        <f t="shared" si="1"/>
        <v>0.86080968890249898</v>
      </c>
      <c r="F9" s="477"/>
      <c r="G9" s="473" t="e">
        <f t="shared" si="2"/>
        <v>#REF!</v>
      </c>
      <c r="I9" s="53">
        <f t="shared" si="3"/>
        <v>3265.6400503843347</v>
      </c>
      <c r="J9" s="53">
        <f t="shared" si="4"/>
        <v>1.6935411742017275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0.15086369465188201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269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2.3155383995247796</v>
      </c>
    </row>
    <row r="13" spans="1:10">
      <c r="A13" s="483" t="s">
        <v>270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271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18.743805159538358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272</v>
      </c>
    </row>
    <row r="19" spans="1:6" ht="23.25">
      <c r="A19" s="460"/>
    </row>
    <row r="20" spans="1:6" ht="16.5" thickBot="1">
      <c r="A20" s="469" t="s">
        <v>262</v>
      </c>
      <c r="B20" s="470" t="s">
        <v>37</v>
      </c>
      <c r="C20" s="471" t="s">
        <v>84</v>
      </c>
      <c r="D20" s="471" t="s">
        <v>85</v>
      </c>
      <c r="E20" s="470" t="s">
        <v>263</v>
      </c>
      <c r="F20" s="481"/>
    </row>
    <row r="21" spans="1:6">
      <c r="A21" t="str">
        <f>GapCalc!B37</f>
        <v>Permanent Loan</v>
      </c>
      <c r="B21" s="48">
        <f>GapCalc!D37</f>
        <v>24064871.094953805</v>
      </c>
      <c r="C21" s="48">
        <v>18731659</v>
      </c>
      <c r="D21" s="48">
        <f>B21-C21</f>
        <v>5333212.0949538052</v>
      </c>
      <c r="E21" s="55">
        <f>D21/B21</f>
        <v>0.22161814513405531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9762569.1613404267</v>
      </c>
      <c r="C26" s="48">
        <v>12677529</v>
      </c>
      <c r="D26" s="48">
        <f t="shared" si="5"/>
        <v>-2914959.8386595733</v>
      </c>
      <c r="E26" s="55">
        <f t="shared" si="6"/>
        <v>-0.29858532016374895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1002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1003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1004</v>
      </c>
      <c r="B3" s="1452" t="s">
        <v>1085</v>
      </c>
      <c r="C3" s="1453"/>
      <c r="D3" s="1453" t="s">
        <v>1005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1006</v>
      </c>
      <c r="B4" s="1456" t="s">
        <v>1007</v>
      </c>
      <c r="C4" s="1457"/>
      <c r="D4" s="1457"/>
      <c r="E4" s="1457" t="s">
        <v>1008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1009</v>
      </c>
      <c r="D5" s="1457"/>
      <c r="E5" s="1457"/>
      <c r="F5" s="1457"/>
      <c r="G5" s="1457"/>
      <c r="H5" s="1457"/>
      <c r="I5" s="1460" t="s">
        <v>1010</v>
      </c>
      <c r="J5" s="1457"/>
      <c r="K5" s="1459"/>
    </row>
    <row r="6" spans="1:11" ht="16.5" thickBot="1">
      <c r="A6" s="1461" t="s">
        <v>1011</v>
      </c>
      <c r="B6" s="1462"/>
      <c r="C6" s="1463">
        <v>20</v>
      </c>
      <c r="D6" s="1462"/>
      <c r="E6" s="1462" t="s">
        <v>1012</v>
      </c>
      <c r="F6" s="1462"/>
      <c r="G6" s="1462"/>
      <c r="H6" s="1464">
        <f>'Development Budget'!G46+'Development Budget'!G47</f>
        <v>97505828.062499985</v>
      </c>
      <c r="I6" s="1465"/>
      <c r="J6" s="1466"/>
      <c r="K6" s="1467"/>
    </row>
    <row r="7" spans="1:11">
      <c r="A7" s="1468" t="s">
        <v>1013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1014</v>
      </c>
      <c r="B8" s="1470"/>
      <c r="C8" s="1470"/>
      <c r="D8" s="1473">
        <f>SUM(H6/1000)*0.9+500</f>
        <v>88255.245256249997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1015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79429.720730625006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1016</v>
      </c>
      <c r="B13" s="1470"/>
      <c r="C13" s="1470"/>
      <c r="D13" s="1473">
        <f>SUM(A14+A15+A16)/100*0.415/12*C6</f>
        <v>706543.22743229161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97505828.062499985</v>
      </c>
      <c r="B14" s="1470" t="s">
        <v>1017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1018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1019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1020</v>
      </c>
      <c r="B17" s="1470"/>
      <c r="C17" s="1470"/>
      <c r="D17" s="1473">
        <f>SUM(H6/1000)*0.23</f>
        <v>22426.340454375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1021</v>
      </c>
      <c r="B19" s="1470"/>
      <c r="C19" s="1470"/>
      <c r="D19" s="1473"/>
      <c r="E19" s="1478">
        <f>SUM(D8:D17)</f>
        <v>896654.53387354163</v>
      </c>
      <c r="F19" s="1470"/>
      <c r="G19" s="1479" t="s">
        <v>1022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1023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1024</v>
      </c>
      <c r="B23" s="1491" t="str">
        <f>B3</f>
        <v>St. James UMC</v>
      </c>
      <c r="C23" s="1491"/>
      <c r="D23" s="1491"/>
      <c r="E23" s="1491" t="s">
        <v>1025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1007</v>
      </c>
      <c r="C24" s="1491"/>
      <c r="D24" s="1491"/>
      <c r="E24" s="1491"/>
      <c r="F24" s="1491"/>
      <c r="G24" s="1491"/>
      <c r="H24" s="1491"/>
      <c r="I24" s="1495" t="s">
        <v>1010</v>
      </c>
      <c r="J24" s="1491"/>
      <c r="K24" s="1493"/>
    </row>
    <row r="25" spans="1:11" ht="16.5" thickBot="1">
      <c r="A25" s="1496" t="s">
        <v>1026</v>
      </c>
      <c r="B25" s="1497"/>
      <c r="C25" s="1498">
        <v>50</v>
      </c>
      <c r="D25" s="1497"/>
      <c r="E25" s="1497" t="s">
        <v>1027</v>
      </c>
      <c r="F25" s="1497"/>
      <c r="G25" s="1497"/>
      <c r="H25" s="1499">
        <f>SUM(H6*0.8)</f>
        <v>78004662.449999988</v>
      </c>
      <c r="I25" s="1500"/>
      <c r="J25" s="1501"/>
      <c r="K25" s="1502"/>
    </row>
    <row r="26" spans="1:11">
      <c r="A26" s="1503" t="s">
        <v>1013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1014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1015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1028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1029</v>
      </c>
      <c r="B32" s="1505"/>
      <c r="C32" s="1505"/>
      <c r="D32" s="1508">
        <f>SUM(A33+A34+A35)/100*0.135+500</f>
        <v>107062.23818749998</v>
      </c>
      <c r="E32" s="1505" t="s">
        <v>1030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78004662.449999988</v>
      </c>
      <c r="B33" s="1505" t="s">
        <v>1031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158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1032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1033</v>
      </c>
      <c r="B36" s="1505"/>
      <c r="C36" s="1505"/>
      <c r="D36" s="1508"/>
      <c r="E36" s="1511">
        <f>SUM(D27:D34)</f>
        <v>114149.73818749998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333</v>
      </c>
    </row>
    <row r="2" spans="1:4">
      <c r="A2" s="503" t="s">
        <v>334</v>
      </c>
    </row>
    <row r="5" spans="1:4">
      <c r="A5" s="46" t="s">
        <v>335</v>
      </c>
      <c r="B5" s="47" t="s">
        <v>336</v>
      </c>
      <c r="C5" s="47" t="s">
        <v>337</v>
      </c>
    </row>
    <row r="6" spans="1:4">
      <c r="A6" s="487" t="s">
        <v>338</v>
      </c>
      <c r="B6" t="s">
        <v>339</v>
      </c>
      <c r="C6" s="493">
        <f>112*0.1</f>
        <v>11.200000000000001</v>
      </c>
    </row>
    <row r="7" spans="1:4">
      <c r="A7" s="487" t="s">
        <v>340</v>
      </c>
      <c r="B7" t="s">
        <v>341</v>
      </c>
      <c r="C7">
        <v>112</v>
      </c>
    </row>
    <row r="8" spans="1:4">
      <c r="A8" s="491" t="s">
        <v>342</v>
      </c>
      <c r="C8">
        <v>20</v>
      </c>
    </row>
    <row r="9" spans="1:4">
      <c r="A9" s="491" t="s">
        <v>343</v>
      </c>
      <c r="C9" s="493">
        <f>(C7-C8)*0.25</f>
        <v>23</v>
      </c>
    </row>
    <row r="10" spans="1:4">
      <c r="A10" s="491" t="s">
        <v>344</v>
      </c>
      <c r="C10" s="493">
        <f>C7-C9-C8</f>
        <v>69</v>
      </c>
    </row>
    <row r="11" spans="1:4">
      <c r="A11" s="492"/>
    </row>
    <row r="12" spans="1:4">
      <c r="A12" s="495" t="s">
        <v>345</v>
      </c>
    </row>
    <row r="13" spans="1:4">
      <c r="A13" s="497" t="s">
        <v>346</v>
      </c>
      <c r="B13" s="46" t="s">
        <v>347</v>
      </c>
    </row>
    <row r="14" spans="1:4">
      <c r="A14" s="492" t="s">
        <v>348</v>
      </c>
      <c r="B14" s="498" t="s">
        <v>349</v>
      </c>
      <c r="C14" s="334"/>
    </row>
    <row r="15" spans="1:4">
      <c r="A15" s="492" t="s">
        <v>350</v>
      </c>
      <c r="B15" s="498" t="s">
        <v>349</v>
      </c>
      <c r="C15" s="334"/>
    </row>
    <row r="16" spans="1:4">
      <c r="A16" s="492" t="s">
        <v>351</v>
      </c>
      <c r="B16" s="496">
        <f>C16*C8</f>
        <v>140000</v>
      </c>
      <c r="C16" s="48">
        <v>7000</v>
      </c>
      <c r="D16" t="s">
        <v>352</v>
      </c>
    </row>
    <row r="17" spans="1:5">
      <c r="A17" s="492" t="s">
        <v>353</v>
      </c>
      <c r="B17" s="496">
        <v>30000</v>
      </c>
      <c r="C17" s="334"/>
      <c r="E17" s="48"/>
    </row>
    <row r="18" spans="1:5" ht="16.5" thickBot="1">
      <c r="A18" s="500" t="s">
        <v>354</v>
      </c>
      <c r="B18" s="501">
        <f>(B16+B17)*0.15</f>
        <v>25500</v>
      </c>
      <c r="C18" s="334"/>
    </row>
    <row r="19" spans="1:5" ht="16.5" thickTop="1">
      <c r="A19" s="502" t="s">
        <v>355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356</v>
      </c>
      <c r="B21" s="334"/>
      <c r="C21" s="334"/>
    </row>
    <row r="22" spans="1:5">
      <c r="A22" s="492" t="s">
        <v>357</v>
      </c>
      <c r="B22" s="334"/>
      <c r="C22" s="334"/>
    </row>
    <row r="23" spans="1:5">
      <c r="A23" s="491" t="s">
        <v>358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359</v>
      </c>
    </row>
    <row r="39" spans="1:2">
      <c r="A39" s="491" t="s">
        <v>360</v>
      </c>
    </row>
    <row r="40" spans="1:2">
      <c r="A40" s="491" t="s">
        <v>361</v>
      </c>
      <c r="B40" s="489" t="s">
        <v>362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363</v>
      </c>
      <c r="B1" s="35"/>
      <c r="C1" s="35"/>
      <c r="D1" s="36"/>
      <c r="E1" s="36"/>
      <c r="F1" s="690"/>
      <c r="G1" s="690"/>
    </row>
    <row r="2" spans="1:7" ht="28.5">
      <c r="A2" s="34" t="s">
        <v>81</v>
      </c>
      <c r="B2" s="35"/>
      <c r="C2" s="35"/>
      <c r="D2" s="36"/>
      <c r="E2" s="36"/>
      <c r="F2" s="690"/>
      <c r="G2" s="690"/>
    </row>
    <row r="3" spans="1:7" ht="15.75">
      <c r="A3" s="455" t="s">
        <v>364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82</v>
      </c>
      <c r="E8" s="33" t="s">
        <v>83</v>
      </c>
      <c r="F8" s="690"/>
      <c r="G8" s="690"/>
    </row>
    <row r="9" spans="1:7">
      <c r="A9" s="3" t="s">
        <v>86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365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87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88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89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90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91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92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93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94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95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96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97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98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99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366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100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101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102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367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106</v>
      </c>
      <c r="B33" s="690"/>
      <c r="C33" s="690"/>
      <c r="D33" s="717"/>
      <c r="E33" s="717"/>
    </row>
    <row r="34" spans="1:5">
      <c r="A34" s="690"/>
      <c r="B34" s="690" t="s">
        <v>107</v>
      </c>
      <c r="C34" s="690"/>
      <c r="D34" s="717"/>
      <c r="E34" s="717">
        <v>1174500.0000000002</v>
      </c>
    </row>
    <row r="35" spans="1:5">
      <c r="A35" s="690"/>
      <c r="B35" s="690" t="s">
        <v>108</v>
      </c>
      <c r="C35" s="690"/>
      <c r="D35" s="717"/>
      <c r="E35" s="717">
        <v>290000</v>
      </c>
    </row>
    <row r="36" spans="1:5">
      <c r="A36" s="690"/>
      <c r="B36" s="690" t="s">
        <v>109</v>
      </c>
      <c r="C36" s="690"/>
      <c r="D36" s="717"/>
      <c r="E36" s="717">
        <v>50000</v>
      </c>
    </row>
    <row r="37" spans="1:5">
      <c r="A37" s="690"/>
      <c r="B37" s="690" t="s">
        <v>110</v>
      </c>
      <c r="C37" s="690"/>
      <c r="D37" s="717"/>
      <c r="E37" s="717">
        <v>15000</v>
      </c>
    </row>
    <row r="38" spans="1:5">
      <c r="A38" s="690"/>
      <c r="B38" s="690" t="s">
        <v>111</v>
      </c>
      <c r="C38" s="690"/>
      <c r="D38" s="717"/>
      <c r="E38" s="717">
        <v>273642</v>
      </c>
    </row>
    <row r="39" spans="1:5">
      <c r="A39" s="690"/>
      <c r="B39" s="690" t="s">
        <v>112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113</v>
      </c>
      <c r="C40" s="731"/>
      <c r="D40" s="732"/>
      <c r="E40" s="732">
        <v>30000</v>
      </c>
    </row>
    <row r="41" spans="1:5" ht="15.75" thickTop="1">
      <c r="A41" s="3" t="s">
        <v>114</v>
      </c>
      <c r="B41" s="690"/>
      <c r="C41" s="690"/>
      <c r="D41" s="717"/>
      <c r="E41" s="39">
        <f>SUM(E34:E40)</f>
        <v>1983142.0000000002</v>
      </c>
    </row>
    <row r="43" spans="1:5">
      <c r="A43" s="3" t="s">
        <v>115</v>
      </c>
      <c r="B43" s="690"/>
      <c r="C43" s="690"/>
      <c r="D43" s="717"/>
      <c r="E43" s="717"/>
    </row>
    <row r="44" spans="1:5">
      <c r="A44" s="690"/>
      <c r="B44" s="690" t="s">
        <v>108</v>
      </c>
      <c r="C44" s="690"/>
      <c r="D44" s="717"/>
      <c r="E44" s="717">
        <v>187316.58838225438</v>
      </c>
    </row>
    <row r="45" spans="1:5">
      <c r="A45" s="690"/>
      <c r="B45" s="690" t="s">
        <v>109</v>
      </c>
      <c r="C45" s="690"/>
      <c r="D45" s="717"/>
      <c r="E45" s="717">
        <v>50000</v>
      </c>
    </row>
    <row r="46" spans="1:5" ht="15.75" thickBot="1">
      <c r="A46" s="731"/>
      <c r="B46" s="731" t="s">
        <v>113</v>
      </c>
      <c r="C46" s="731"/>
      <c r="D46" s="732"/>
      <c r="E46" s="732">
        <v>20000</v>
      </c>
    </row>
    <row r="47" spans="1:5" ht="15.75" thickTop="1">
      <c r="A47" s="3" t="s">
        <v>116</v>
      </c>
      <c r="B47" s="690"/>
      <c r="C47" s="690"/>
      <c r="D47" s="717"/>
      <c r="E47" s="39">
        <f>SUM(E44:E46)</f>
        <v>257316.58838225438</v>
      </c>
    </row>
    <row r="49" spans="1:5">
      <c r="A49" s="3" t="s">
        <v>117</v>
      </c>
      <c r="B49" s="690"/>
      <c r="C49" s="690"/>
      <c r="D49" s="717"/>
      <c r="E49" s="717"/>
    </row>
    <row r="50" spans="1:5">
      <c r="A50" s="690"/>
      <c r="B50" s="690" t="s">
        <v>118</v>
      </c>
      <c r="C50" s="690"/>
      <c r="D50" s="717"/>
      <c r="E50" s="717">
        <v>50000</v>
      </c>
    </row>
    <row r="51" spans="1:5">
      <c r="A51" s="690"/>
      <c r="B51" s="690" t="s">
        <v>119</v>
      </c>
      <c r="C51" s="690"/>
      <c r="D51" s="717"/>
      <c r="E51" s="717">
        <v>50000</v>
      </c>
    </row>
    <row r="52" spans="1:5">
      <c r="A52" s="690"/>
      <c r="B52" s="690" t="s">
        <v>120</v>
      </c>
      <c r="C52" s="690"/>
      <c r="D52" s="717"/>
      <c r="E52" s="717">
        <v>100000</v>
      </c>
    </row>
    <row r="53" spans="1:5" ht="15.75" thickBot="1">
      <c r="A53" s="731"/>
      <c r="B53" s="731" t="s">
        <v>121</v>
      </c>
      <c r="C53" s="731"/>
      <c r="D53" s="732"/>
      <c r="E53" s="732">
        <v>100000</v>
      </c>
    </row>
    <row r="54" spans="1:5" ht="15.75" thickTop="1">
      <c r="A54" s="3" t="s">
        <v>122</v>
      </c>
      <c r="B54" s="690"/>
      <c r="C54" s="690"/>
      <c r="D54" s="717"/>
      <c r="E54" s="39">
        <f>SUM(E50:E53)</f>
        <v>300000</v>
      </c>
    </row>
    <row r="56" spans="1:5">
      <c r="A56" s="3" t="s">
        <v>123</v>
      </c>
      <c r="B56" s="690"/>
      <c r="C56" s="690"/>
      <c r="D56" s="717"/>
      <c r="E56" s="717"/>
    </row>
    <row r="57" spans="1:5">
      <c r="A57" s="690"/>
      <c r="B57" s="690" t="s">
        <v>124</v>
      </c>
      <c r="C57" s="690"/>
      <c r="D57" s="717"/>
      <c r="E57" s="717">
        <v>646848</v>
      </c>
    </row>
    <row r="58" spans="1:5" ht="15.75" thickBot="1">
      <c r="A58" s="731"/>
      <c r="B58" s="731" t="s">
        <v>125</v>
      </c>
      <c r="C58" s="731"/>
      <c r="D58" s="732"/>
      <c r="E58" s="732">
        <v>0</v>
      </c>
    </row>
    <row r="59" spans="1:5" ht="15.75" thickTop="1">
      <c r="A59" s="3" t="s">
        <v>126</v>
      </c>
      <c r="B59" s="690"/>
      <c r="C59" s="690"/>
      <c r="D59" s="717"/>
      <c r="E59" s="39">
        <f>SUM(E57:E58)</f>
        <v>646848</v>
      </c>
    </row>
    <row r="61" spans="1:5">
      <c r="A61" s="3" t="s">
        <v>127</v>
      </c>
      <c r="B61" s="690"/>
      <c r="C61" s="690"/>
      <c r="D61" s="717"/>
      <c r="E61" s="717"/>
    </row>
    <row r="62" spans="1:5">
      <c r="A62" s="690"/>
      <c r="B62" s="690" t="s">
        <v>128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129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130</v>
      </c>
      <c r="B64" s="690"/>
      <c r="C64" s="690"/>
      <c r="D64" s="717"/>
      <c r="E64" s="39">
        <f>SUM(E62:E63)</f>
        <v>5455553.7294191131</v>
      </c>
    </row>
    <row r="66" spans="1:5">
      <c r="A66" s="3" t="s">
        <v>131</v>
      </c>
      <c r="B66" s="690"/>
      <c r="C66" s="690"/>
      <c r="D66" s="717"/>
      <c r="E66" s="717"/>
    </row>
    <row r="67" spans="1:5">
      <c r="A67" s="690"/>
      <c r="B67" s="690" t="s">
        <v>132</v>
      </c>
      <c r="C67" s="690"/>
      <c r="D67" s="717"/>
      <c r="E67" s="717">
        <v>50000</v>
      </c>
    </row>
    <row r="68" spans="1:5">
      <c r="A68" s="690"/>
      <c r="B68" s="690" t="s">
        <v>368</v>
      </c>
      <c r="C68" s="690"/>
      <c r="D68" s="717"/>
      <c r="E68" s="717">
        <v>1245385</v>
      </c>
    </row>
    <row r="69" spans="1:5">
      <c r="A69" s="690"/>
      <c r="B69" s="690" t="s">
        <v>133</v>
      </c>
      <c r="C69" s="690"/>
      <c r="D69" s="717"/>
      <c r="E69" s="717">
        <v>75000</v>
      </c>
    </row>
    <row r="70" spans="1:5">
      <c r="A70" s="690"/>
      <c r="B70" s="690" t="s">
        <v>369</v>
      </c>
      <c r="C70" s="690"/>
      <c r="D70" s="717"/>
      <c r="E70" s="717">
        <v>90000</v>
      </c>
    </row>
    <row r="71" spans="1:5">
      <c r="A71" s="690"/>
      <c r="B71" s="690" t="s">
        <v>135</v>
      </c>
      <c r="C71" s="690"/>
      <c r="D71" s="717"/>
      <c r="E71" s="717">
        <v>15000</v>
      </c>
    </row>
    <row r="72" spans="1:5">
      <c r="A72" s="690"/>
      <c r="B72" s="690" t="s">
        <v>137</v>
      </c>
      <c r="C72" s="690"/>
      <c r="D72" s="717"/>
      <c r="E72" s="717">
        <v>50000</v>
      </c>
    </row>
    <row r="73" spans="1:5">
      <c r="A73" s="690"/>
      <c r="B73" s="690" t="s">
        <v>139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140</v>
      </c>
      <c r="C74" s="690"/>
      <c r="D74" s="717"/>
      <c r="E74" s="717">
        <v>243341</v>
      </c>
    </row>
    <row r="75" spans="1:5">
      <c r="A75" s="690"/>
      <c r="B75" s="690" t="s">
        <v>141</v>
      </c>
      <c r="C75" s="690"/>
      <c r="D75" s="717"/>
      <c r="E75" s="717">
        <v>100000</v>
      </c>
    </row>
    <row r="76" spans="1:5">
      <c r="A76" s="690"/>
      <c r="B76" s="690" t="s">
        <v>142</v>
      </c>
      <c r="C76" s="690"/>
      <c r="D76" s="717"/>
      <c r="E76" s="717">
        <v>30000</v>
      </c>
    </row>
    <row r="77" spans="1:5">
      <c r="A77" s="690"/>
      <c r="B77" s="690" t="s">
        <v>145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370</v>
      </c>
      <c r="C78" s="731"/>
      <c r="D78" s="732"/>
      <c r="E78" s="732">
        <v>145000</v>
      </c>
    </row>
    <row r="79" spans="1:5" ht="15.75" thickTop="1">
      <c r="A79" s="3" t="s">
        <v>148</v>
      </c>
      <c r="B79" s="690"/>
      <c r="C79" s="690"/>
      <c r="D79" s="717"/>
      <c r="E79" s="39">
        <f>SUM(E67:E78)</f>
        <v>2333226</v>
      </c>
    </row>
    <row r="81" spans="1:5">
      <c r="A81" s="3" t="s">
        <v>149</v>
      </c>
      <c r="B81" s="690"/>
      <c r="C81" s="690"/>
      <c r="D81" s="717"/>
      <c r="E81" s="717"/>
    </row>
    <row r="82" spans="1:5" ht="15.75" thickBot="1">
      <c r="A82" s="731"/>
      <c r="B82" s="731" t="s">
        <v>150</v>
      </c>
      <c r="C82" s="731"/>
      <c r="D82" s="732"/>
      <c r="E82" s="732">
        <v>2500000</v>
      </c>
    </row>
    <row r="83" spans="1:5" ht="15.75" thickTop="1">
      <c r="A83" s="3" t="s">
        <v>151</v>
      </c>
      <c r="B83" s="690"/>
      <c r="C83" s="690"/>
      <c r="D83" s="717"/>
      <c r="E83" s="39">
        <f>SUM(E82)</f>
        <v>2500000</v>
      </c>
    </row>
    <row r="85" spans="1:5">
      <c r="A85" s="37" t="s">
        <v>152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153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363</v>
      </c>
    </row>
    <row r="2" spans="1:3">
      <c r="A2" t="s">
        <v>0</v>
      </c>
    </row>
    <row r="3" spans="1:3">
      <c r="A3" s="455" t="s">
        <v>364</v>
      </c>
    </row>
    <row r="4" spans="1:3">
      <c r="A4" s="455"/>
    </row>
    <row r="5" spans="1:3">
      <c r="A5" s="455"/>
    </row>
    <row r="7" spans="1:3">
      <c r="A7" t="s">
        <v>262</v>
      </c>
      <c r="B7" t="s">
        <v>37</v>
      </c>
      <c r="C7" t="s">
        <v>264</v>
      </c>
    </row>
    <row r="8" spans="1:3">
      <c r="A8" t="s">
        <v>267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268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371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269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271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372</v>
      </c>
      <c r="C1" s="53"/>
      <c r="D1" s="53"/>
    </row>
    <row r="2" spans="1:5">
      <c r="A2" t="s">
        <v>373</v>
      </c>
      <c r="C2" s="53"/>
      <c r="D2" s="53"/>
    </row>
    <row r="3" spans="1:5">
      <c r="A3" s="455" t="s">
        <v>364</v>
      </c>
    </row>
    <row r="4" spans="1:5">
      <c r="A4" s="455"/>
    </row>
    <row r="5" spans="1:5">
      <c r="A5" t="s">
        <v>1</v>
      </c>
      <c r="C5" s="53" t="s">
        <v>372</v>
      </c>
      <c r="D5" s="53"/>
    </row>
    <row r="6" spans="1:5">
      <c r="A6" t="s">
        <v>2</v>
      </c>
      <c r="C6" s="53" t="s">
        <v>374</v>
      </c>
      <c r="D6" s="53"/>
    </row>
    <row r="7" spans="1:5">
      <c r="A7" t="s">
        <v>4</v>
      </c>
      <c r="C7" s="53" t="s">
        <v>375</v>
      </c>
      <c r="D7" s="53"/>
    </row>
    <row r="8" spans="1:5">
      <c r="A8" t="s">
        <v>6</v>
      </c>
      <c r="C8" s="53" t="s">
        <v>376</v>
      </c>
      <c r="D8" s="53"/>
    </row>
    <row r="9" spans="1:5">
      <c r="A9" t="s">
        <v>8</v>
      </c>
      <c r="C9" s="53" t="s">
        <v>377</v>
      </c>
      <c r="D9" s="53"/>
    </row>
    <row r="10" spans="1:5">
      <c r="A10" t="s">
        <v>378</v>
      </c>
      <c r="C10">
        <v>110</v>
      </c>
      <c r="D10" s="53"/>
    </row>
    <row r="11" spans="1:5">
      <c r="C11" s="53"/>
      <c r="D11" s="53"/>
    </row>
    <row r="13" spans="1:5">
      <c r="A13" t="s">
        <v>379</v>
      </c>
      <c r="D13" t="s">
        <v>380</v>
      </c>
      <c r="E13" t="s">
        <v>381</v>
      </c>
    </row>
    <row r="14" spans="1:5">
      <c r="A14" t="s">
        <v>86</v>
      </c>
      <c r="C14" s="53"/>
      <c r="D14" s="53"/>
    </row>
    <row r="15" spans="1:5">
      <c r="B15" t="s">
        <v>382</v>
      </c>
      <c r="C15" s="53"/>
      <c r="D15" s="53">
        <v>0</v>
      </c>
      <c r="E15" s="53">
        <v>0</v>
      </c>
    </row>
    <row r="16" spans="1:5">
      <c r="A16" t="s">
        <v>383</v>
      </c>
      <c r="C16" s="53"/>
      <c r="D16" s="53"/>
    </row>
    <row r="17" spans="1:13">
      <c r="B17" t="s">
        <v>384</v>
      </c>
      <c r="C17" s="53"/>
      <c r="D17" s="53">
        <v>815000</v>
      </c>
      <c r="E17" s="53">
        <v>7409.090909090909</v>
      </c>
      <c r="H17" s="53">
        <v>233272</v>
      </c>
      <c r="I17" s="53" t="s">
        <v>385</v>
      </c>
      <c r="J17" s="53"/>
      <c r="K17" s="53"/>
      <c r="L17" s="53"/>
      <c r="M17" s="53"/>
    </row>
    <row r="18" spans="1:13">
      <c r="B18" t="s">
        <v>386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387</v>
      </c>
      <c r="J18" s="53"/>
      <c r="K18" s="53"/>
      <c r="L18" s="53"/>
      <c r="M18" s="53"/>
    </row>
    <row r="19" spans="1:13">
      <c r="B19" t="s">
        <v>388</v>
      </c>
      <c r="C19" s="53"/>
      <c r="D19" s="53">
        <v>580966</v>
      </c>
      <c r="E19" s="53">
        <v>5281.5090909090914</v>
      </c>
      <c r="H19">
        <v>597306</v>
      </c>
      <c r="I19" t="s">
        <v>389</v>
      </c>
      <c r="J19" s="53"/>
      <c r="K19" s="53"/>
      <c r="L19" s="53"/>
      <c r="M19" s="53"/>
    </row>
    <row r="20" spans="1:13">
      <c r="B20" t="s">
        <v>390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391</v>
      </c>
      <c r="J20" s="53"/>
      <c r="K20" s="53"/>
      <c r="L20" s="53"/>
      <c r="M20" s="53"/>
    </row>
    <row r="21" spans="1:13">
      <c r="B21" t="s">
        <v>392</v>
      </c>
      <c r="C21" s="53"/>
      <c r="D21" s="53">
        <v>69798.3</v>
      </c>
      <c r="E21" s="53">
        <v>634.53</v>
      </c>
      <c r="H21" s="53">
        <v>95978</v>
      </c>
      <c r="I21" t="s">
        <v>393</v>
      </c>
      <c r="J21" s="53"/>
      <c r="K21" s="53"/>
      <c r="L21" s="53"/>
      <c r="M21" s="53"/>
    </row>
    <row r="22" spans="1:13">
      <c r="B22" s="458" t="s">
        <v>394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395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396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104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397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398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399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400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401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402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403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404</v>
      </c>
      <c r="C33" s="53"/>
      <c r="D33" s="53"/>
      <c r="H33" s="53"/>
    </row>
    <row r="34" spans="1:8">
      <c r="B34" t="s">
        <v>405</v>
      </c>
      <c r="C34" s="53"/>
      <c r="D34" s="53">
        <v>0</v>
      </c>
      <c r="E34" s="53">
        <v>0</v>
      </c>
    </row>
    <row r="35" spans="1:8">
      <c r="B35" t="s">
        <v>406</v>
      </c>
      <c r="C35" s="53"/>
      <c r="D35" s="53">
        <v>0</v>
      </c>
      <c r="E35" s="53">
        <v>0</v>
      </c>
    </row>
    <row r="36" spans="1:8">
      <c r="B36" t="s">
        <v>407</v>
      </c>
      <c r="C36" s="53"/>
      <c r="D36" s="53">
        <v>0</v>
      </c>
      <c r="E36" s="53">
        <v>0</v>
      </c>
    </row>
    <row r="37" spans="1:8">
      <c r="A37" t="s">
        <v>408</v>
      </c>
      <c r="C37" s="53"/>
      <c r="D37" s="53"/>
    </row>
    <row r="38" spans="1:8">
      <c r="B38" s="459" t="s">
        <v>135</v>
      </c>
      <c r="C38" s="53"/>
      <c r="D38" s="53">
        <v>15000</v>
      </c>
      <c r="E38" s="53">
        <v>136.36363636363637</v>
      </c>
    </row>
    <row r="39" spans="1:8">
      <c r="B39" s="459" t="s">
        <v>136</v>
      </c>
      <c r="C39" s="53"/>
      <c r="D39" s="53">
        <v>10000</v>
      </c>
      <c r="E39" s="53">
        <v>90.909090909090907</v>
      </c>
    </row>
    <row r="40" spans="1:8">
      <c r="A40" t="s">
        <v>409</v>
      </c>
      <c r="C40" s="53"/>
      <c r="D40" s="53"/>
    </row>
    <row r="41" spans="1:8">
      <c r="B41" t="s">
        <v>410</v>
      </c>
      <c r="C41" s="53"/>
      <c r="D41" s="53">
        <v>50000</v>
      </c>
      <c r="E41" s="53">
        <v>454.54545454545456</v>
      </c>
    </row>
    <row r="42" spans="1:8">
      <c r="B42" t="s">
        <v>411</v>
      </c>
      <c r="C42" s="53"/>
      <c r="D42" s="53">
        <v>311346.25</v>
      </c>
      <c r="E42" s="53">
        <v>2830.4204545454545</v>
      </c>
    </row>
    <row r="43" spans="1:8">
      <c r="B43" t="s">
        <v>412</v>
      </c>
      <c r="C43" s="53"/>
      <c r="D43" s="53">
        <v>435884.75</v>
      </c>
      <c r="E43" s="53">
        <v>3962.5886363636364</v>
      </c>
    </row>
    <row r="44" spans="1:8">
      <c r="B44" t="s">
        <v>413</v>
      </c>
      <c r="C44" s="53"/>
      <c r="D44" s="53">
        <v>50000</v>
      </c>
      <c r="E44" s="53">
        <v>454.54545454545456</v>
      </c>
    </row>
    <row r="45" spans="1:8">
      <c r="B45" t="s">
        <v>134</v>
      </c>
      <c r="C45" s="53"/>
      <c r="D45" s="53">
        <v>60000</v>
      </c>
      <c r="E45" s="53">
        <v>545.4545454545455</v>
      </c>
    </row>
    <row r="46" spans="1:8">
      <c r="B46" t="s">
        <v>146</v>
      </c>
      <c r="C46" s="53"/>
      <c r="D46" s="53">
        <v>156250</v>
      </c>
      <c r="E46" s="53">
        <v>1420.4545454545455</v>
      </c>
    </row>
    <row r="47" spans="1:8">
      <c r="B47" t="s">
        <v>414</v>
      </c>
      <c r="C47" s="53"/>
      <c r="D47" s="53">
        <v>50000</v>
      </c>
      <c r="E47" s="53">
        <v>454.54545454545456</v>
      </c>
    </row>
    <row r="48" spans="1:8">
      <c r="B48" t="s">
        <v>415</v>
      </c>
      <c r="C48" s="53"/>
      <c r="D48" s="53">
        <v>35000</v>
      </c>
      <c r="E48" s="53">
        <v>318.18181818181819</v>
      </c>
    </row>
    <row r="49" spans="1:8">
      <c r="B49" t="s">
        <v>416</v>
      </c>
      <c r="C49" s="53"/>
      <c r="D49" s="53">
        <v>10000</v>
      </c>
      <c r="E49" s="53">
        <v>90.909090909090907</v>
      </c>
    </row>
    <row r="50" spans="1:8">
      <c r="A50" t="s">
        <v>149</v>
      </c>
      <c r="C50" s="53"/>
      <c r="D50" s="53"/>
      <c r="E50" s="53">
        <v>0</v>
      </c>
    </row>
    <row r="51" spans="1:8">
      <c r="B51" t="s">
        <v>144</v>
      </c>
      <c r="C51" s="53"/>
      <c r="D51" s="53">
        <v>10000</v>
      </c>
      <c r="E51" s="53">
        <v>90.909090909090907</v>
      </c>
    </row>
    <row r="52" spans="1:8">
      <c r="B52" t="s">
        <v>142</v>
      </c>
      <c r="C52" s="53"/>
      <c r="D52" s="53">
        <v>12000</v>
      </c>
      <c r="E52" s="53">
        <v>109.09090909090909</v>
      </c>
    </row>
    <row r="53" spans="1:8">
      <c r="A53" t="s">
        <v>417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418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419</v>
      </c>
      <c r="D57" t="s">
        <v>380</v>
      </c>
      <c r="E57" t="s">
        <v>381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420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421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422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423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269</v>
      </c>
      <c r="D74" s="53">
        <v>22000</v>
      </c>
      <c r="E74" s="454">
        <v>2.1372149166411889E-3</v>
      </c>
    </row>
    <row r="75" spans="1:5">
      <c r="B75" t="s">
        <v>129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372</v>
      </c>
      <c r="B1" s="181"/>
      <c r="C1" s="182"/>
      <c r="D1" s="182"/>
      <c r="E1" s="183"/>
    </row>
    <row r="2" spans="1:13" ht="21">
      <c r="A2" s="181" t="s">
        <v>373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372</v>
      </c>
    </row>
    <row r="5" spans="1:13">
      <c r="A5" s="63" t="str">
        <f>'Development Budget'!D5</f>
        <v>Housing Type:</v>
      </c>
      <c r="C5" s="162" t="s">
        <v>374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378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379</v>
      </c>
      <c r="B12" s="166"/>
      <c r="C12" s="166"/>
      <c r="D12" s="184" t="s">
        <v>380</v>
      </c>
      <c r="E12" s="189" t="s">
        <v>381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86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382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383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384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385</v>
      </c>
      <c r="J16" s="742"/>
      <c r="K16" s="742"/>
      <c r="L16" s="742"/>
      <c r="M16" s="742"/>
    </row>
    <row r="17" spans="1:13" s="164" customFormat="1" ht="15">
      <c r="A17" s="186"/>
      <c r="B17" s="168" t="s">
        <v>386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387</v>
      </c>
      <c r="J17" s="742"/>
      <c r="K17" s="742"/>
      <c r="L17" s="742"/>
      <c r="M17" s="742"/>
    </row>
    <row r="18" spans="1:13" s="164" customFormat="1" ht="15">
      <c r="A18" s="186"/>
      <c r="B18" s="168" t="s">
        <v>388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389</v>
      </c>
      <c r="J18" s="742"/>
      <c r="K18" s="742"/>
      <c r="L18" s="742"/>
      <c r="M18" s="742"/>
    </row>
    <row r="19" spans="1:13" s="164" customFormat="1" ht="15">
      <c r="A19" s="186"/>
      <c r="B19" s="168" t="s">
        <v>390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391</v>
      </c>
      <c r="J19" s="742"/>
      <c r="K19" s="742"/>
      <c r="L19" s="742"/>
      <c r="M19" s="742"/>
    </row>
    <row r="20" spans="1:13" s="164" customFormat="1" ht="15">
      <c r="A20" s="186"/>
      <c r="B20" s="176" t="s">
        <v>392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393</v>
      </c>
      <c r="J20" s="742"/>
      <c r="K20" s="742"/>
      <c r="L20" s="742"/>
      <c r="M20" s="742"/>
    </row>
    <row r="21" spans="1:13" s="164" customFormat="1" ht="15">
      <c r="A21" s="186"/>
      <c r="B21" s="177" t="s">
        <v>394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395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396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104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397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398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399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400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401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402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403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404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405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406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407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408</v>
      </c>
      <c r="B36" s="690"/>
      <c r="C36" s="740"/>
      <c r="D36" s="740"/>
      <c r="E36" s="739"/>
    </row>
    <row r="37" spans="1:5" s="164" customFormat="1" ht="15">
      <c r="A37" s="186"/>
      <c r="B37" s="178" t="s">
        <v>135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136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409</v>
      </c>
      <c r="B39" s="690"/>
      <c r="C39" s="740"/>
      <c r="D39" s="740"/>
      <c r="E39" s="739"/>
    </row>
    <row r="40" spans="1:5" s="164" customFormat="1" ht="15">
      <c r="A40" s="186"/>
      <c r="B40" s="168" t="s">
        <v>410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411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412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413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134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146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414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415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416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149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144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142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417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418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419</v>
      </c>
      <c r="B56" s="165"/>
      <c r="C56" s="165"/>
      <c r="D56" s="184" t="s">
        <v>380</v>
      </c>
      <c r="E56" s="189" t="s">
        <v>381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420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421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422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423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269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129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453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454</v>
      </c>
      <c r="B5" s="1762"/>
      <c r="C5" s="1762"/>
      <c r="D5" s="350"/>
      <c r="E5" s="350" t="s">
        <v>455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456</v>
      </c>
      <c r="Q5" s="350" t="s">
        <v>457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458</v>
      </c>
      <c r="E6" s="400" t="s">
        <v>459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386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388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390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392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394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395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396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104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397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398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399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400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401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402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461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404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405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406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407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408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135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136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409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410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411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412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413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134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462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414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415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416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149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144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142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463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418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464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465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466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420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421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467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468</v>
      </c>
      <c r="B5" s="1762"/>
      <c r="C5" s="1762"/>
      <c r="D5" s="350"/>
      <c r="E5" s="350" t="s">
        <v>469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470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458</v>
      </c>
      <c r="E6" s="399" t="s">
        <v>471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'Development Budget'!G40</f>
        <v>1061899.9424999999</v>
      </c>
      <c r="E10" s="748">
        <f>'PreDev Flow of Funds'!Y10+'PreDev Flow of Funds'!Y12</f>
        <v>1395966</v>
      </c>
      <c r="F10" s="748">
        <f>(D10-E10)/18</f>
        <v>-18559.225416666672</v>
      </c>
      <c r="G10" s="748">
        <f>$F$10</f>
        <v>-18559.225416666672</v>
      </c>
      <c r="H10" s="748">
        <f t="shared" ref="H10:W10" si="2">$F$10</f>
        <v>-18559.225416666672</v>
      </c>
      <c r="I10" s="748">
        <f t="shared" si="2"/>
        <v>-18559.225416666672</v>
      </c>
      <c r="J10" s="748">
        <f t="shared" si="2"/>
        <v>-18559.225416666672</v>
      </c>
      <c r="K10" s="748">
        <f t="shared" si="2"/>
        <v>-18559.225416666672</v>
      </c>
      <c r="L10" s="748">
        <f t="shared" si="2"/>
        <v>-18559.225416666672</v>
      </c>
      <c r="M10" s="748">
        <f t="shared" si="2"/>
        <v>-18559.225416666672</v>
      </c>
      <c r="N10" s="748">
        <f t="shared" si="2"/>
        <v>-18559.225416666672</v>
      </c>
      <c r="O10" s="748">
        <f t="shared" si="2"/>
        <v>-18559.225416666672</v>
      </c>
      <c r="P10" s="748">
        <f t="shared" si="2"/>
        <v>-18559.225416666672</v>
      </c>
      <c r="Q10" s="748">
        <f t="shared" si="2"/>
        <v>-18559.225416666672</v>
      </c>
      <c r="R10" s="748">
        <f t="shared" si="2"/>
        <v>-18559.225416666672</v>
      </c>
      <c r="S10" s="748">
        <f t="shared" si="2"/>
        <v>-18559.225416666672</v>
      </c>
      <c r="T10" s="748">
        <f t="shared" si="2"/>
        <v>-18559.225416666672</v>
      </c>
      <c r="U10" s="748">
        <f t="shared" si="2"/>
        <v>-18559.225416666672</v>
      </c>
      <c r="V10" s="748">
        <f t="shared" si="2"/>
        <v>-18559.225416666672</v>
      </c>
      <c r="W10" s="748">
        <f t="shared" si="2"/>
        <v>-18559.225416666672</v>
      </c>
      <c r="X10" s="748"/>
      <c r="Y10" s="748">
        <f>SUM(E10:W10)</f>
        <v>1061899.9425000013</v>
      </c>
    </row>
    <row r="11" spans="1:25" ht="15">
      <c r="A11" s="402"/>
      <c r="B11" s="403" t="s">
        <v>386</v>
      </c>
      <c r="C11" s="748"/>
      <c r="D11" s="748">
        <f>'Development Budget'!G41</f>
        <v>1061899.9424999999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390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392</v>
      </c>
      <c r="C13" s="748"/>
      <c r="D13" s="748">
        <f>'Development Budget'!G44</f>
        <v>88641661.874999985</v>
      </c>
      <c r="E13" s="748">
        <f>'PreDev Flow of Funds'!Y14</f>
        <v>69798.3</v>
      </c>
      <c r="F13" s="748">
        <f>(D13-E13)/18</f>
        <v>4920659.0874999994</v>
      </c>
      <c r="G13" s="748">
        <f>$F$13</f>
        <v>4920659.0874999994</v>
      </c>
      <c r="H13" s="748">
        <f t="shared" ref="H13:W13" si="5">$F$13</f>
        <v>4920659.0874999994</v>
      </c>
      <c r="I13" s="748">
        <f t="shared" si="5"/>
        <v>4920659.0874999994</v>
      </c>
      <c r="J13" s="748">
        <f t="shared" si="5"/>
        <v>4920659.0874999994</v>
      </c>
      <c r="K13" s="748">
        <f t="shared" si="5"/>
        <v>4920659.0874999994</v>
      </c>
      <c r="L13" s="748">
        <f t="shared" si="5"/>
        <v>4920659.0874999994</v>
      </c>
      <c r="M13" s="748">
        <f t="shared" si="5"/>
        <v>4920659.0874999994</v>
      </c>
      <c r="N13" s="748">
        <f t="shared" si="5"/>
        <v>4920659.0874999994</v>
      </c>
      <c r="O13" s="748">
        <f t="shared" si="5"/>
        <v>4920659.0874999994</v>
      </c>
      <c r="P13" s="748">
        <f t="shared" si="5"/>
        <v>4920659.0874999994</v>
      </c>
      <c r="Q13" s="748">
        <f t="shared" si="5"/>
        <v>4920659.0874999994</v>
      </c>
      <c r="R13" s="748">
        <f t="shared" si="5"/>
        <v>4920659.0874999994</v>
      </c>
      <c r="S13" s="748">
        <f t="shared" si="5"/>
        <v>4920659.0874999994</v>
      </c>
      <c r="T13" s="748">
        <f t="shared" si="5"/>
        <v>4920659.0874999994</v>
      </c>
      <c r="U13" s="748">
        <f t="shared" si="5"/>
        <v>4920659.0874999994</v>
      </c>
      <c r="V13" s="748">
        <f t="shared" si="5"/>
        <v>4920659.0874999994</v>
      </c>
      <c r="W13" s="748">
        <f t="shared" si="5"/>
        <v>4920659.0874999994</v>
      </c>
      <c r="X13" s="748"/>
      <c r="Y13" s="748">
        <f t="shared" si="3"/>
        <v>88641661.875000015</v>
      </c>
    </row>
    <row r="14" spans="1:25" ht="15">
      <c r="A14" s="402"/>
      <c r="B14" s="407" t="s">
        <v>394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367</v>
      </c>
      <c r="B15" s="408"/>
      <c r="C15" s="748"/>
      <c r="D15" s="748">
        <f>'Development Budget'!G46</f>
        <v>88641661.874999985</v>
      </c>
      <c r="E15" s="748">
        <f>'PreDev Flow of Funds'!Y16+'PreDev Flow of Funds'!Y17+'PreDev Flow of Funds'!Y19</f>
        <v>72500</v>
      </c>
      <c r="F15" s="748">
        <f>(D15-E15)/18</f>
        <v>4920508.993055555</v>
      </c>
      <c r="G15" s="748">
        <f>$F$15</f>
        <v>4920508.993055555</v>
      </c>
      <c r="H15" s="748">
        <f t="shared" ref="H15:W15" si="7">$F$15</f>
        <v>4920508.993055555</v>
      </c>
      <c r="I15" s="748">
        <f t="shared" si="7"/>
        <v>4920508.993055555</v>
      </c>
      <c r="J15" s="748">
        <f t="shared" si="7"/>
        <v>4920508.993055555</v>
      </c>
      <c r="K15" s="748">
        <f t="shared" si="7"/>
        <v>4920508.993055555</v>
      </c>
      <c r="L15" s="748">
        <f t="shared" si="7"/>
        <v>4920508.993055555</v>
      </c>
      <c r="M15" s="748">
        <f t="shared" si="7"/>
        <v>4920508.993055555</v>
      </c>
      <c r="N15" s="748">
        <f t="shared" si="7"/>
        <v>4920508.993055555</v>
      </c>
      <c r="O15" s="748">
        <f t="shared" si="7"/>
        <v>4920508.993055555</v>
      </c>
      <c r="P15" s="748">
        <f t="shared" si="7"/>
        <v>4920508.993055555</v>
      </c>
      <c r="Q15" s="748">
        <f t="shared" si="7"/>
        <v>4920508.993055555</v>
      </c>
      <c r="R15" s="748">
        <f t="shared" si="7"/>
        <v>4920508.993055555</v>
      </c>
      <c r="S15" s="748">
        <f t="shared" si="7"/>
        <v>4920508.993055555</v>
      </c>
      <c r="T15" s="748">
        <f t="shared" si="7"/>
        <v>4920508.993055555</v>
      </c>
      <c r="U15" s="748">
        <f t="shared" si="7"/>
        <v>4920508.993055555</v>
      </c>
      <c r="V15" s="748">
        <f t="shared" si="7"/>
        <v>4920508.993055555</v>
      </c>
      <c r="W15" s="748">
        <f t="shared" si="7"/>
        <v>4920508.993055555</v>
      </c>
      <c r="X15" s="748"/>
      <c r="Y15" s="748">
        <f t="shared" si="3"/>
        <v>88641661.87499997</v>
      </c>
    </row>
    <row r="16" spans="1:25" ht="15">
      <c r="A16" s="404" t="s">
        <v>398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399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400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401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472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473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474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475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461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476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90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91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92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477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98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99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366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100</v>
      </c>
      <c r="D33" s="748">
        <f>'Development Budget'!G32</f>
        <v>70793329.5</v>
      </c>
      <c r="E33" s="748">
        <v>0</v>
      </c>
      <c r="F33" s="748">
        <f>D33</f>
        <v>70793329.5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70793329.5</v>
      </c>
    </row>
    <row r="34" spans="1:25" ht="15">
      <c r="A34" s="404" t="s">
        <v>404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106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107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478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108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109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110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111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112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113</v>
      </c>
      <c r="D43" s="748">
        <f>'Development Budget'!G67</f>
        <v>221604.15468749998</v>
      </c>
      <c r="E43" s="748">
        <f>D43</f>
        <v>221604.15468749998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221604.15468749998</v>
      </c>
    </row>
    <row r="44" spans="1:25" ht="15">
      <c r="A44" s="402"/>
      <c r="B44" s="690" t="s">
        <v>115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108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109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113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117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118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119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120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121</v>
      </c>
      <c r="C52" s="748"/>
      <c r="D52" s="749">
        <f>'Development Budget'!G80</f>
        <v>412604.15468749998</v>
      </c>
      <c r="E52" s="748">
        <f>D52</f>
        <v>412604.15468749998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412604.15468749998</v>
      </c>
    </row>
    <row r="53" spans="1:25" ht="15">
      <c r="A53" s="432" t="s">
        <v>123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124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125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127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128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129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409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132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368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133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134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135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136</v>
      </c>
      <c r="C65" s="748"/>
      <c r="D65" s="748">
        <f>'Development Budget'!G102</f>
        <v>359220.4055422768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137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138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139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140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141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142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143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144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145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479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370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149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150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480</v>
      </c>
      <c r="B80" s="436"/>
      <c r="C80" s="420"/>
      <c r="D80" s="437" t="e">
        <f t="shared" ref="D80:Y80" si="22">SUM(D7:D79)</f>
        <v>#REF!</v>
      </c>
      <c r="E80" s="437">
        <f t="shared" si="22"/>
        <v>15479361.384374997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430</v>
      </c>
      <c r="C84" s="749"/>
      <c r="D84" s="749">
        <f>GapCalc!D28</f>
        <v>89148665.503889993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465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466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481</v>
      </c>
      <c r="C87" s="749"/>
      <c r="D87" s="749">
        <f>GapCalc!D29-'Construction Flow of Funds'!D86-'Construction Flow of Funds'!D85</f>
        <v>-8472178.0797721278</v>
      </c>
      <c r="E87" s="749">
        <f>E80-E84-E85-E86-E88-E89-E90-E91</f>
        <v>638208.30937499553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420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15479361.384374997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482</v>
      </c>
      <c r="C7" s="759" t="s">
        <v>483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385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387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389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391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484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393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485</v>
      </c>
      <c r="D18" s="421" t="s">
        <v>482</v>
      </c>
      <c r="E18" t="s">
        <v>486</v>
      </c>
    </row>
    <row r="19" spans="2:6">
      <c r="B19" t="s">
        <v>385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487</v>
      </c>
    </row>
    <row r="20" spans="2:6">
      <c r="B20" t="s">
        <v>387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488</v>
      </c>
    </row>
    <row r="21" spans="2:6">
      <c r="B21" t="s">
        <v>389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489</v>
      </c>
    </row>
    <row r="22" spans="2:6">
      <c r="B22" t="s">
        <v>490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491</v>
      </c>
      <c r="B2" s="40" t="s">
        <v>492</v>
      </c>
    </row>
    <row r="24" spans="1:18">
      <c r="A24" t="s">
        <v>493</v>
      </c>
    </row>
    <row r="25" spans="1:18">
      <c r="D25" s="48" t="s">
        <v>494</v>
      </c>
      <c r="E25" s="48" t="s">
        <v>495</v>
      </c>
      <c r="F25" t="s">
        <v>496</v>
      </c>
      <c r="G25" t="s">
        <v>497</v>
      </c>
      <c r="H25" t="s">
        <v>498</v>
      </c>
      <c r="M25">
        <v>357</v>
      </c>
      <c r="O25">
        <v>523</v>
      </c>
      <c r="Q25">
        <v>811</v>
      </c>
    </row>
    <row r="26" spans="1:18">
      <c r="B26" t="s">
        <v>499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500</v>
      </c>
      <c r="O26" s="421" t="s">
        <v>501</v>
      </c>
      <c r="Q26" s="421" t="s">
        <v>502</v>
      </c>
    </row>
    <row r="27" spans="1:18">
      <c r="B27" t="s">
        <v>503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504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505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506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507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508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509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510</v>
      </c>
      <c r="B35" s="40" t="s">
        <v>492</v>
      </c>
    </row>
    <row r="37" spans="1:18">
      <c r="L37" t="s">
        <v>511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512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513</v>
      </c>
      <c r="M42" s="55">
        <v>0.15</v>
      </c>
      <c r="N42" t="s">
        <v>514</v>
      </c>
    </row>
    <row r="44" spans="1:18">
      <c r="L44" t="s">
        <v>511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512</v>
      </c>
      <c r="M45" s="55">
        <f>(M44-M30)/M30</f>
        <v>0.21146551724137927</v>
      </c>
      <c r="N45" t="s">
        <v>515</v>
      </c>
      <c r="O45" s="55">
        <f>(O44-O28)/O28</f>
        <v>0.18562638620590957</v>
      </c>
      <c r="P45" t="s">
        <v>516</v>
      </c>
      <c r="Q45" s="55">
        <f>(Q44-Q28)/Q28</f>
        <v>0.18699731903485242</v>
      </c>
      <c r="R45" t="s">
        <v>516</v>
      </c>
    </row>
    <row r="52" spans="1:11">
      <c r="A52" t="s">
        <v>158</v>
      </c>
    </row>
    <row r="53" spans="1:11">
      <c r="D53" s="48" t="s">
        <v>517</v>
      </c>
      <c r="E53" s="48" t="s">
        <v>518</v>
      </c>
      <c r="F53" t="s">
        <v>519</v>
      </c>
    </row>
    <row r="54" spans="1:11">
      <c r="B54" t="s">
        <v>499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503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504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505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506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507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508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509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520</v>
      </c>
      <c r="C65" s="48"/>
      <c r="D65"/>
    </row>
    <row r="66" spans="1:7">
      <c r="A66" t="s">
        <v>521</v>
      </c>
      <c r="C66" s="48"/>
      <c r="D66"/>
    </row>
    <row r="67" spans="1:7">
      <c r="C67" s="48"/>
      <c r="D67"/>
    </row>
    <row r="68" spans="1:7">
      <c r="C68" s="423"/>
      <c r="D68"/>
      <c r="E68" t="s">
        <v>522</v>
      </c>
    </row>
    <row r="69" spans="1:7">
      <c r="B69" t="s">
        <v>523</v>
      </c>
      <c r="C69" s="423" t="s">
        <v>524</v>
      </c>
      <c r="D69" t="s">
        <v>37</v>
      </c>
      <c r="E69" t="s">
        <v>523</v>
      </c>
      <c r="F69" t="s">
        <v>524</v>
      </c>
      <c r="G69" t="s">
        <v>37</v>
      </c>
    </row>
    <row r="70" spans="1:7">
      <c r="A70" t="s">
        <v>525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526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527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528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529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530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531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532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533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940</v>
      </c>
    </row>
    <row r="5" spans="3:6">
      <c r="D5" t="s">
        <v>941</v>
      </c>
    </row>
    <row r="6" spans="3:6">
      <c r="E6" t="s">
        <v>942</v>
      </c>
      <c r="F6" s="1310">
        <f>544</f>
        <v>544</v>
      </c>
    </row>
    <row r="7" spans="3:6">
      <c r="D7" t="s">
        <v>943</v>
      </c>
      <c r="F7" s="1310"/>
    </row>
    <row r="8" spans="3:6">
      <c r="F8" s="1310">
        <v>0</v>
      </c>
    </row>
    <row r="9" spans="3:6">
      <c r="D9" t="s">
        <v>944</v>
      </c>
      <c r="F9" s="1310">
        <v>234</v>
      </c>
    </row>
    <row r="10" spans="3:6">
      <c r="F10" s="1310"/>
    </row>
    <row r="11" spans="3:6">
      <c r="D11" t="s">
        <v>945</v>
      </c>
      <c r="F11" s="1310"/>
    </row>
    <row r="12" spans="3:6">
      <c r="E12" t="s">
        <v>946</v>
      </c>
      <c r="F12" s="1310">
        <v>3437</v>
      </c>
    </row>
    <row r="13" spans="3:6">
      <c r="E13" t="s">
        <v>947</v>
      </c>
      <c r="F13" s="1310">
        <v>426</v>
      </c>
    </row>
    <row r="14" spans="3:6">
      <c r="E14" t="s">
        <v>948</v>
      </c>
      <c r="F14" s="1310">
        <f>950+176+167+200</f>
        <v>1493</v>
      </c>
    </row>
    <row r="15" spans="3:6">
      <c r="E15" t="s">
        <v>949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950</v>
      </c>
    </row>
    <row r="20" spans="3:6">
      <c r="D20" t="s">
        <v>951</v>
      </c>
      <c r="F20" s="1313">
        <v>2379</v>
      </c>
    </row>
    <row r="24" spans="3:6">
      <c r="C24" s="1157" t="s">
        <v>952</v>
      </c>
    </row>
    <row r="27" spans="3:6">
      <c r="D27" t="s">
        <v>953</v>
      </c>
    </row>
    <row r="29" spans="3:6">
      <c r="D29" t="s">
        <v>954</v>
      </c>
      <c r="F29" s="1310">
        <v>37.33</v>
      </c>
    </row>
    <row r="31" spans="3:6">
      <c r="D31" t="s">
        <v>955</v>
      </c>
      <c r="E31" s="1314">
        <v>10000000</v>
      </c>
      <c r="F31" s="1310">
        <v>88992.67</v>
      </c>
    </row>
    <row r="33" spans="4:6">
      <c r="D33" t="s">
        <v>956</v>
      </c>
      <c r="F33" t="s">
        <v>957</v>
      </c>
    </row>
    <row r="34" spans="4:6">
      <c r="E34" t="s">
        <v>958</v>
      </c>
      <c r="F34" s="1310">
        <v>1743.09</v>
      </c>
    </row>
    <row r="35" spans="4:6" ht="31.5">
      <c r="E35" s="1315" t="s">
        <v>959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536</v>
      </c>
    </row>
    <row r="4" spans="1:16" hidden="1">
      <c r="B4" s="349" t="s">
        <v>537</v>
      </c>
    </row>
    <row r="5" spans="1:16" s="138" customFormat="1" ht="15" hidden="1" customHeight="1">
      <c r="A5" s="1761"/>
      <c r="B5" s="1762"/>
      <c r="C5" s="350" t="s">
        <v>538</v>
      </c>
      <c r="D5" s="350" t="s">
        <v>539</v>
      </c>
      <c r="E5" s="350" t="s">
        <v>540</v>
      </c>
      <c r="F5" s="350" t="s">
        <v>541</v>
      </c>
      <c r="G5" s="350" t="s">
        <v>538</v>
      </c>
      <c r="H5" s="350" t="s">
        <v>539</v>
      </c>
      <c r="I5" s="350" t="s">
        <v>540</v>
      </c>
      <c r="J5" s="350" t="s">
        <v>541</v>
      </c>
      <c r="K5" s="350" t="s">
        <v>538</v>
      </c>
      <c r="L5" s="350" t="s">
        <v>539</v>
      </c>
      <c r="M5" s="350" t="s">
        <v>540</v>
      </c>
      <c r="N5" s="350" t="s">
        <v>541</v>
      </c>
      <c r="O5" s="350" t="s">
        <v>538</v>
      </c>
      <c r="P5" s="350" t="s">
        <v>539</v>
      </c>
    </row>
    <row r="6" spans="1:16" s="138" customFormat="1" ht="15" hidden="1" customHeight="1">
      <c r="A6" s="1763"/>
      <c r="B6" s="1774"/>
      <c r="C6" s="351" t="s">
        <v>542</v>
      </c>
      <c r="D6" s="351" t="s">
        <v>543</v>
      </c>
      <c r="E6" s="351" t="s">
        <v>544</v>
      </c>
      <c r="F6" s="351" t="s">
        <v>545</v>
      </c>
      <c r="G6" s="351" t="s">
        <v>546</v>
      </c>
      <c r="H6" s="351" t="s">
        <v>547</v>
      </c>
      <c r="I6" s="351" t="s">
        <v>548</v>
      </c>
      <c r="J6" s="351" t="s">
        <v>549</v>
      </c>
      <c r="K6" s="351" t="s">
        <v>550</v>
      </c>
      <c r="L6" s="351" t="s">
        <v>551</v>
      </c>
      <c r="M6" s="351" t="s">
        <v>552</v>
      </c>
      <c r="N6" s="351" t="s">
        <v>553</v>
      </c>
      <c r="O6" s="351" t="s">
        <v>554</v>
      </c>
      <c r="P6" s="351" t="s">
        <v>555</v>
      </c>
    </row>
    <row r="7" spans="1:16" ht="15" hidden="1">
      <c r="A7" s="352" t="s">
        <v>556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557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558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384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559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560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561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562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563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564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565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566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567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568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569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570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571</v>
      </c>
      <c r="B24" s="774"/>
      <c r="C24" s="770"/>
      <c r="D24" s="770"/>
      <c r="E24" s="770"/>
      <c r="F24" s="771"/>
      <c r="G24" s="772"/>
      <c r="H24" s="771"/>
      <c r="I24" s="359" t="s">
        <v>572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400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401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573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574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575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576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577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578</v>
      </c>
    </row>
    <row r="32" spans="1:19" hidden="1">
      <c r="B32" s="162" t="s">
        <v>579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580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581</v>
      </c>
    </row>
    <row r="34" spans="1:19" hidden="1">
      <c r="B34" s="371" t="s">
        <v>582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583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584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585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538</v>
      </c>
      <c r="D39" s="350" t="s">
        <v>539</v>
      </c>
      <c r="E39" s="350" t="s">
        <v>540</v>
      </c>
      <c r="F39" s="375" t="s">
        <v>541</v>
      </c>
      <c r="G39" s="350" t="s">
        <v>538</v>
      </c>
      <c r="H39" s="350" t="s">
        <v>539</v>
      </c>
      <c r="I39" s="350" t="s">
        <v>540</v>
      </c>
      <c r="J39" s="375" t="s">
        <v>541</v>
      </c>
      <c r="K39" s="350" t="s">
        <v>538</v>
      </c>
      <c r="L39" s="350" t="s">
        <v>539</v>
      </c>
      <c r="M39" s="350" t="s">
        <v>540</v>
      </c>
      <c r="N39" s="375" t="s">
        <v>541</v>
      </c>
      <c r="O39" s="350" t="s">
        <v>538</v>
      </c>
      <c r="P39" s="350" t="s">
        <v>539</v>
      </c>
    </row>
    <row r="40" spans="1:19" s="138" customFormat="1" ht="15" hidden="1" customHeight="1">
      <c r="A40" s="1763"/>
      <c r="B40" s="1774"/>
      <c r="C40" s="376" t="s">
        <v>542</v>
      </c>
      <c r="D40" s="351" t="s">
        <v>543</v>
      </c>
      <c r="E40" s="351" t="s">
        <v>544</v>
      </c>
      <c r="F40" s="377" t="s">
        <v>545</v>
      </c>
      <c r="G40" s="351" t="s">
        <v>546</v>
      </c>
      <c r="H40" s="351" t="s">
        <v>547</v>
      </c>
      <c r="I40" s="351" t="s">
        <v>548</v>
      </c>
      <c r="J40" s="377" t="s">
        <v>549</v>
      </c>
      <c r="K40" s="351" t="s">
        <v>550</v>
      </c>
      <c r="L40" s="351" t="s">
        <v>551</v>
      </c>
      <c r="M40" s="351" t="s">
        <v>552</v>
      </c>
      <c r="N40" s="377" t="s">
        <v>553</v>
      </c>
      <c r="O40" s="351" t="s">
        <v>554</v>
      </c>
      <c r="P40" s="351" t="s">
        <v>555</v>
      </c>
    </row>
    <row r="41" spans="1:19" ht="15" hidden="1">
      <c r="A41" s="352" t="s">
        <v>556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557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558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384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559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560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561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562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563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564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565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566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567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568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569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570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571</v>
      </c>
      <c r="B58" s="774"/>
      <c r="C58" s="770"/>
      <c r="D58" s="770"/>
      <c r="E58" s="770"/>
      <c r="F58" s="771"/>
      <c r="G58" s="772"/>
      <c r="H58" s="771"/>
      <c r="I58" s="359" t="s">
        <v>572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400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401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573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574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575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576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577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579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580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581</v>
      </c>
    </row>
    <row r="68" spans="1:21" hidden="1">
      <c r="B68" s="371" t="s">
        <v>582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583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584</v>
      </c>
      <c r="U69" s="162"/>
    </row>
    <row r="70" spans="1:21" hidden="1">
      <c r="R70" s="370">
        <f>C118-R69</f>
        <v>593644</v>
      </c>
      <c r="S70" s="368" t="s">
        <v>586</v>
      </c>
    </row>
    <row r="71" spans="1:21" s="368" customFormat="1" ht="15.75" customHeight="1">
      <c r="A71" s="373"/>
      <c r="B71" s="349" t="s">
        <v>587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538</v>
      </c>
      <c r="D72" s="350" t="s">
        <v>539</v>
      </c>
      <c r="E72" s="350" t="s">
        <v>540</v>
      </c>
      <c r="F72" s="375" t="s">
        <v>541</v>
      </c>
      <c r="G72" s="350" t="s">
        <v>538</v>
      </c>
      <c r="H72" s="350" t="s">
        <v>539</v>
      </c>
      <c r="I72" s="350" t="s">
        <v>540</v>
      </c>
      <c r="J72" s="375" t="s">
        <v>541</v>
      </c>
      <c r="K72" s="350" t="s">
        <v>538</v>
      </c>
      <c r="L72" s="350" t="s">
        <v>539</v>
      </c>
      <c r="M72" s="350" t="s">
        <v>540</v>
      </c>
      <c r="N72" s="375" t="s">
        <v>541</v>
      </c>
      <c r="O72" s="350" t="s">
        <v>538</v>
      </c>
      <c r="P72" s="350" t="s">
        <v>539</v>
      </c>
      <c r="Q72" s="138"/>
      <c r="R72" s="138"/>
      <c r="S72" s="138"/>
    </row>
    <row r="73" spans="1:21" ht="15">
      <c r="A73" s="1763"/>
      <c r="B73" s="1764"/>
      <c r="C73" s="381" t="s">
        <v>542</v>
      </c>
      <c r="D73" s="351" t="s">
        <v>543</v>
      </c>
      <c r="E73" s="351" t="s">
        <v>544</v>
      </c>
      <c r="F73" s="382" t="s">
        <v>545</v>
      </c>
      <c r="G73" s="351" t="s">
        <v>546</v>
      </c>
      <c r="H73" s="351" t="s">
        <v>547</v>
      </c>
      <c r="I73" s="351" t="s">
        <v>548</v>
      </c>
      <c r="J73" s="382" t="s">
        <v>549</v>
      </c>
      <c r="K73" s="351" t="s">
        <v>550</v>
      </c>
      <c r="L73" s="351" t="s">
        <v>551</v>
      </c>
      <c r="M73" s="351" t="s">
        <v>552</v>
      </c>
      <c r="N73" s="382" t="s">
        <v>553</v>
      </c>
      <c r="O73" s="351" t="s">
        <v>554</v>
      </c>
      <c r="P73" s="351" t="s">
        <v>555</v>
      </c>
      <c r="Q73" s="138"/>
      <c r="R73" s="138"/>
      <c r="S73" s="138"/>
    </row>
    <row r="74" spans="1:21" ht="15">
      <c r="A74" s="383" t="s">
        <v>556</v>
      </c>
      <c r="B74" s="790"/>
      <c r="C74" s="1765" t="s">
        <v>588</v>
      </c>
      <c r="D74" s="1766"/>
      <c r="E74" s="1766"/>
      <c r="F74" s="1766"/>
      <c r="G74" s="1766"/>
      <c r="H74" s="1766"/>
      <c r="I74" s="1767"/>
      <c r="J74" s="1775" t="s">
        <v>581</v>
      </c>
      <c r="K74" s="1776"/>
      <c r="L74" s="1776"/>
      <c r="M74" s="1776"/>
      <c r="N74" s="1776"/>
      <c r="O74" s="1777"/>
      <c r="P74" s="384" t="s">
        <v>589</v>
      </c>
    </row>
    <row r="75" spans="1:21" ht="15">
      <c r="A75" s="385"/>
      <c r="B75" s="791" t="s">
        <v>557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558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384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559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560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561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562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563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564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565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566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567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568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569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570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571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572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400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401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573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574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575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576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577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590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591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592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-967710.44437499985</v>
      </c>
      <c r="K103" s="162">
        <f>J103+(C116*0.25)/2</f>
        <v>-1935420.8887499997</v>
      </c>
      <c r="L103" s="162">
        <f>K103+((C116-K103)/4)</f>
        <v>-3386986.5553124994</v>
      </c>
      <c r="M103" s="162">
        <f>L103+((C116-K103)/4)</f>
        <v>-4838552.2218749989</v>
      </c>
      <c r="N103" s="162">
        <f>M103+((C116-K103)/4)</f>
        <v>-6290117.8884374984</v>
      </c>
      <c r="O103" s="162">
        <f>N103+((C116-K103)/4)</f>
        <v>-7741683.5549999978</v>
      </c>
      <c r="P103" s="162">
        <f>O103</f>
        <v>-7741683.5549999978</v>
      </c>
      <c r="Q103" s="369"/>
    </row>
    <row r="104" spans="1:17">
      <c r="B104" s="371" t="s">
        <v>582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9486304.5633333344</v>
      </c>
      <c r="K104" s="371">
        <f>((C117-1033493)/6)+J104</f>
        <v>18972609.126666669</v>
      </c>
      <c r="L104" s="371">
        <f>((C117-1033493)/6)+K104</f>
        <v>28458913.690000005</v>
      </c>
      <c r="M104" s="371">
        <f>((C117-1033493)/6)+L104</f>
        <v>37945218.253333338</v>
      </c>
      <c r="N104" s="371">
        <f>((C117-1033493)/6)+M104</f>
        <v>47431522.81666667</v>
      </c>
      <c r="O104" s="371">
        <f>((C117-1033493)/6)+N104</f>
        <v>56917827.380000003</v>
      </c>
      <c r="P104" s="371">
        <f>(286645+100000+646848)+O104</f>
        <v>57951320.380000003</v>
      </c>
      <c r="Q104" s="369"/>
    </row>
    <row r="105" spans="1:17">
      <c r="B105" s="162" t="s">
        <v>583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593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594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595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596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8518594.1189583354</v>
      </c>
      <c r="K110" s="371">
        <f t="shared" ref="K110:P110" si="9">SUM(K103:K104)</f>
        <v>17037188.237916671</v>
      </c>
      <c r="L110" s="371">
        <f t="shared" si="9"/>
        <v>25071927.134687506</v>
      </c>
      <c r="M110" s="371">
        <f t="shared" si="9"/>
        <v>33106666.031458341</v>
      </c>
      <c r="N110" s="371">
        <f t="shared" si="9"/>
        <v>41141404.928229168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597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598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580</v>
      </c>
      <c r="C114" s="1770">
        <f>'PreDev Flow of Funds'!D47</f>
        <v>14824249.954999998</v>
      </c>
      <c r="D114" s="1769"/>
    </row>
    <row r="115" spans="2:19">
      <c r="B115" s="397" t="s">
        <v>599</v>
      </c>
      <c r="C115" s="1771">
        <f>M102</f>
        <v>1323400.22</v>
      </c>
      <c r="D115" s="1769"/>
    </row>
    <row r="116" spans="2:19">
      <c r="B116" s="397" t="s">
        <v>581</v>
      </c>
      <c r="C116" s="1771">
        <f>'Development Budget'!G37-Predevelopment!D27-Predevelopment!D28-Predevelopment!D29-Timeline!M102-Predevelopment!D17</f>
        <v>-7741683.5549999988</v>
      </c>
      <c r="D116" s="1769"/>
    </row>
    <row r="117" spans="2:19" ht="16.5" thickBot="1">
      <c r="B117" s="398" t="s">
        <v>600</v>
      </c>
      <c r="C117" s="1772">
        <f>C118-C114-C116-C115</f>
        <v>57951320.380000003</v>
      </c>
      <c r="D117" s="1773"/>
    </row>
    <row r="118" spans="2:19" ht="16.5" thickTop="1">
      <c r="B118" s="368" t="s">
        <v>584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1083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601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602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603</v>
      </c>
      <c r="F9" s="599" t="s">
        <v>381</v>
      </c>
      <c r="G9" s="599" t="s">
        <v>604</v>
      </c>
      <c r="H9" s="599" t="s">
        <v>605</v>
      </c>
      <c r="I9" s="599" t="s">
        <v>37</v>
      </c>
      <c r="J9" s="600"/>
      <c r="K9" s="601" t="s">
        <v>606</v>
      </c>
      <c r="L9" s="594" t="s">
        <v>607</v>
      </c>
      <c r="M9" s="594" t="s">
        <v>608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609</v>
      </c>
      <c r="M10" s="594"/>
    </row>
    <row r="11" spans="2:13">
      <c r="B11" s="606"/>
      <c r="C11" s="607" t="s">
        <v>164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166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168</v>
      </c>
      <c r="E13" s="618"/>
      <c r="F13" s="619">
        <f>+E13/$F$7</f>
        <v>0</v>
      </c>
      <c r="G13" s="618"/>
      <c r="H13" s="619" t="s">
        <v>1084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171</v>
      </c>
      <c r="E14" s="618">
        <f>65*12*99</f>
        <v>77220</v>
      </c>
      <c r="F14" s="619">
        <f>+E14/$F$7</f>
        <v>772.2</v>
      </c>
      <c r="G14" s="618"/>
      <c r="H14" s="619" t="s">
        <v>1084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174</v>
      </c>
      <c r="E15" s="618">
        <v>118000</v>
      </c>
      <c r="F15" s="619">
        <f t="shared" ref="F15:F22" si="1">+E15/$F$7</f>
        <v>1180</v>
      </c>
      <c r="G15" s="618"/>
      <c r="H15" s="619" t="s">
        <v>1084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610</v>
      </c>
    </row>
    <row r="16" spans="2:13" hidden="1" outlineLevel="1">
      <c r="B16" s="615"/>
      <c r="C16" s="568"/>
      <c r="D16" s="623" t="s">
        <v>177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180</v>
      </c>
      <c r="E17" s="618">
        <v>3000</v>
      </c>
      <c r="F17" s="619">
        <f t="shared" si="1"/>
        <v>30</v>
      </c>
      <c r="G17" s="618"/>
      <c r="H17" s="619" t="s">
        <v>1084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182</v>
      </c>
      <c r="E18" s="618">
        <v>12500</v>
      </c>
      <c r="F18" s="619">
        <f t="shared" si="1"/>
        <v>125</v>
      </c>
      <c r="G18" s="618"/>
      <c r="H18" s="619" t="s">
        <v>1084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183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185</v>
      </c>
      <c r="E20" s="618"/>
      <c r="F20" s="619">
        <f t="shared" si="1"/>
        <v>0</v>
      </c>
      <c r="G20" s="618"/>
      <c r="H20" s="619" t="s">
        <v>1084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187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611</v>
      </c>
    </row>
    <row r="22" spans="2:14">
      <c r="B22" s="627"/>
      <c r="C22" s="628"/>
      <c r="D22" s="629" t="s">
        <v>189</v>
      </c>
      <c r="E22" s="630">
        <v>50000</v>
      </c>
      <c r="F22" s="631">
        <f t="shared" si="1"/>
        <v>500</v>
      </c>
      <c r="G22" s="630"/>
      <c r="H22" s="631" t="s">
        <v>1084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612</v>
      </c>
    </row>
    <row r="23" spans="2:14">
      <c r="B23" s="633"/>
      <c r="C23" s="634"/>
      <c r="D23" s="635" t="s">
        <v>191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193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195</v>
      </c>
      <c r="E25" s="618">
        <v>27000</v>
      </c>
      <c r="F25" s="619">
        <f t="shared" ref="F25:F30" si="3">+E25/$F$7</f>
        <v>270</v>
      </c>
      <c r="G25" s="618"/>
      <c r="H25" s="619" t="s">
        <v>1084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196</v>
      </c>
      <c r="E26" s="618">
        <v>70000</v>
      </c>
      <c r="F26" s="619">
        <f t="shared" si="3"/>
        <v>700</v>
      </c>
      <c r="G26" s="618"/>
      <c r="H26" s="619" t="s">
        <v>1084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198</v>
      </c>
      <c r="E27" s="618">
        <v>0</v>
      </c>
      <c r="F27" s="619">
        <f t="shared" si="3"/>
        <v>0</v>
      </c>
      <c r="G27" s="618"/>
      <c r="H27" s="619" t="s">
        <v>1084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199</v>
      </c>
      <c r="E28" s="618">
        <v>27000</v>
      </c>
      <c r="F28" s="619">
        <f>+E28/$F$7</f>
        <v>270</v>
      </c>
      <c r="G28" s="618"/>
      <c r="H28" s="619" t="s">
        <v>1084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200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202</v>
      </c>
      <c r="E30" s="648"/>
      <c r="F30" s="631">
        <f t="shared" si="3"/>
        <v>0</v>
      </c>
      <c r="G30" s="648"/>
      <c r="H30" s="631" t="s">
        <v>1084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191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204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206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1084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613</v>
      </c>
    </row>
    <row r="34" spans="2:13" hidden="1" outlineLevel="1">
      <c r="B34" s="615"/>
      <c r="C34" s="568"/>
      <c r="D34" s="623" t="s">
        <v>207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210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614</v>
      </c>
    </row>
    <row r="36" spans="2:13" hidden="1" outlineLevel="1">
      <c r="B36" s="615"/>
      <c r="C36" s="568"/>
      <c r="D36" s="623" t="s">
        <v>211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213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615</v>
      </c>
    </row>
    <row r="38" spans="2:13">
      <c r="B38" s="615"/>
      <c r="C38" s="568"/>
      <c r="D38" s="623" t="s">
        <v>214</v>
      </c>
      <c r="E38" s="618">
        <v>27419</v>
      </c>
      <c r="F38" s="619">
        <f t="shared" si="5"/>
        <v>274.19</v>
      </c>
      <c r="G38" s="618"/>
      <c r="H38" s="619" t="s">
        <v>1084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615</v>
      </c>
    </row>
    <row r="39" spans="2:13">
      <c r="B39" s="615"/>
      <c r="C39" s="568"/>
      <c r="D39" s="623" t="s">
        <v>216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615</v>
      </c>
    </row>
    <row r="40" spans="2:13" hidden="1" outlineLevel="1">
      <c r="B40" s="615"/>
      <c r="C40" s="568"/>
      <c r="D40" s="623" t="s">
        <v>218</v>
      </c>
      <c r="E40" s="618"/>
      <c r="F40" s="619">
        <f t="shared" si="5"/>
        <v>0</v>
      </c>
      <c r="G40" s="618"/>
      <c r="H40" s="619" t="s">
        <v>1084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220</v>
      </c>
      <c r="E41" s="618">
        <v>19200</v>
      </c>
      <c r="F41" s="619">
        <f t="shared" si="5"/>
        <v>192</v>
      </c>
      <c r="G41" s="618"/>
      <c r="H41" s="619" t="s">
        <v>1084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615</v>
      </c>
    </row>
    <row r="42" spans="2:13">
      <c r="B42" s="615"/>
      <c r="C42" s="568"/>
      <c r="D42" s="623" t="s">
        <v>222</v>
      </c>
      <c r="E42" s="618">
        <v>6500</v>
      </c>
      <c r="F42" s="619">
        <f t="shared" si="5"/>
        <v>65</v>
      </c>
      <c r="G42" s="618"/>
      <c r="H42" s="619" t="s">
        <v>1084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615</v>
      </c>
    </row>
    <row r="43" spans="2:13" hidden="1" outlineLevel="1">
      <c r="B43" s="615"/>
      <c r="C43" s="568"/>
      <c r="D43" s="623" t="s">
        <v>224</v>
      </c>
      <c r="E43" s="618"/>
      <c r="F43" s="619">
        <f t="shared" si="5"/>
        <v>0</v>
      </c>
      <c r="G43" s="618"/>
      <c r="H43" s="619" t="s">
        <v>1084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227</v>
      </c>
      <c r="E44" s="618">
        <v>90000</v>
      </c>
      <c r="F44" s="619">
        <f t="shared" si="5"/>
        <v>900</v>
      </c>
      <c r="G44" s="618"/>
      <c r="H44" s="619" t="s">
        <v>1084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228</v>
      </c>
      <c r="E45" s="630">
        <v>17000</v>
      </c>
      <c r="F45" s="631">
        <f t="shared" si="5"/>
        <v>170</v>
      </c>
      <c r="G45" s="630"/>
      <c r="H45" s="631" t="s">
        <v>1084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616</v>
      </c>
    </row>
    <row r="46" spans="2:13">
      <c r="B46" s="654"/>
      <c r="C46" s="568"/>
      <c r="D46" s="655" t="s">
        <v>191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230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231</v>
      </c>
      <c r="E48" s="618">
        <v>10000</v>
      </c>
      <c r="F48" s="619">
        <f t="shared" ref="F48:F56" si="7">+E48/$F$7</f>
        <v>100</v>
      </c>
      <c r="G48" s="659"/>
      <c r="H48" s="619" t="s">
        <v>1084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234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617</v>
      </c>
    </row>
    <row r="50" spans="2:13">
      <c r="B50" s="615"/>
      <c r="C50" s="568"/>
      <c r="D50" s="623" t="s">
        <v>237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618</v>
      </c>
    </row>
    <row r="51" spans="2:13" hidden="1" outlineLevel="1">
      <c r="B51" s="615"/>
      <c r="C51" s="568"/>
      <c r="D51" s="623" t="s">
        <v>239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240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242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244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246</v>
      </c>
      <c r="E55" s="618">
        <v>180000</v>
      </c>
      <c r="F55" s="619">
        <f t="shared" si="7"/>
        <v>1800</v>
      </c>
      <c r="G55" s="659"/>
      <c r="H55" s="619" t="s">
        <v>1084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619</v>
      </c>
    </row>
    <row r="56" spans="2:13">
      <c r="B56" s="633"/>
      <c r="C56" s="634"/>
      <c r="D56" s="635" t="s">
        <v>191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229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250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252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253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620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621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622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623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624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625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626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625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