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Lower TDC\"/>
    </mc:Choice>
  </mc:AlternateContent>
  <xr:revisionPtr revIDLastSave="0" documentId="13_ncr:1_{369C118C-4BB7-4B71-953E-8F48566DF7D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M116" i="1"/>
  <c r="M117" i="1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K97" i="1"/>
  <c r="G250" i="1"/>
  <c r="D27" i="28" s="1"/>
  <c r="D23" i="2" l="1"/>
  <c r="E27" i="28"/>
  <c r="D28" i="28"/>
  <c r="G254" i="1"/>
  <c r="D22" i="6"/>
  <c r="E23" i="2" l="1"/>
  <c r="D24" i="2"/>
  <c r="E28" i="28"/>
  <c r="E38" i="6" l="1"/>
  <c r="D32" i="2"/>
  <c r="I36" i="2"/>
  <c r="E24" i="2"/>
  <c r="D20" i="6"/>
  <c r="H40" i="2" l="1"/>
  <c r="I40" i="2" s="1"/>
  <c r="E32" i="2"/>
  <c r="H39" i="2"/>
  <c r="I3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<sst xmlns="http://schemas.openxmlformats.org/spreadsheetml/2006/main" count="1995" uniqueCount="1105">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</sst>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2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92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12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  <xf numFmtId="0" fontId="94" fillId="43" borderId="0" xfId="0" applyFont="1" applyFill="1" applyAlignment="1">
      <alignment horizontal="left"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0" fontId="94" fillId="43" borderId="0" xfId="0" applyFont="1" applyFill="1" applyAlignment="1">
      <alignment vertical="top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0" fontId="100" fillId="43" borderId="0" xfId="0" applyFont="1" applyFill="1" applyAlignment="1">
      <alignment horizontal="left" vertical="top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0" fontId="24" fillId="43" borderId="0" xfId="0" applyFont="1" applyFill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2" workbookViewId="0">
      <selection activeCell="E19" sqref="E19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21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531"/>
      <c r="B13" s="1532" t="s">
        <v>13</v>
      </c>
      <c r="C13" s="1532"/>
      <c r="D13" s="1533">
        <f>'Construction Calculation'!C18</f>
        <v>0</v>
      </c>
      <c r="E13" s="700"/>
    </row>
    <row r="14" spans="1:5">
      <c r="A14" s="1534" t="s">
        <v>1094</v>
      </c>
      <c r="B14" s="1535"/>
      <c r="C14" s="1535"/>
      <c r="D14" s="1559" t="s">
        <v>1103</v>
      </c>
      <c r="E14" s="700"/>
    </row>
    <row r="15" spans="1:5">
      <c r="A15" s="1427" t="s">
        <v>1091</v>
      </c>
      <c r="B15" s="1522"/>
      <c r="C15" s="1529"/>
      <c r="D15" s="1523" cm="1">
        <f t="array" aca="1" ref="D15" ca="1">IF(D14="Year 7 Takeout", INDIRECT("GapCalc!K46"), INDIRECT("GapCalc!K58"))</f>
        <v>9.0030856263596665E-2</v>
      </c>
      <c r="E15" s="700"/>
    </row>
    <row r="16" spans="1:5">
      <c r="A16" s="1525" t="s">
        <v>1092</v>
      </c>
      <c r="B16" s="702"/>
      <c r="D16" s="1524" cm="1">
        <f t="array" aca="1" ref="D16" ca="1">IF(D14="Year 7 Takeout", INDIRECT("GapCalc!K51"), INDIRECT("GapCalc!K63"))</f>
        <v>9.0030856263596665E-2</v>
      </c>
      <c r="E16" s="700"/>
    </row>
    <row r="17" spans="1:6">
      <c r="A17" s="1530"/>
      <c r="B17" s="702"/>
      <c r="D17" s="1526"/>
      <c r="E17" s="1598" t="s">
        <v>961</v>
      </c>
    </row>
    <row r="18" spans="1:6">
      <c r="A18" s="1527" t="s">
        <v>1093</v>
      </c>
      <c r="B18" s="47"/>
      <c r="C18" s="47"/>
      <c r="D18" s="1528" cm="1">
        <f t="array" aca="1" ref="D18" ca="1">IF(D14="Year 7 Takeout", INDIRECT("GapCalc!I55"), INDIRECT("GapCalc!I67"))</f>
        <v>2524.8289129771292</v>
      </c>
      <c r="E18" s="1599">
        <f ca="1">ABS(D18/D28)</f>
        <v>4.6379046510353407E-5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5" t="s">
        <v>382</v>
      </c>
    </row>
    <row r="21" spans="1:6">
      <c r="A21" s="64"/>
      <c r="B21" s="63" t="s">
        <v>15</v>
      </c>
      <c r="C21" s="63"/>
      <c r="D21" s="1376">
        <f>'Development Budget'!G28</f>
        <v>6740000</v>
      </c>
      <c r="E21" s="1376">
        <f>D21/$D$10</f>
        <v>66732.67326732674</v>
      </c>
    </row>
    <row r="22" spans="1:6">
      <c r="A22" s="64"/>
      <c r="B22" s="4" t="s">
        <v>16</v>
      </c>
      <c r="C22" s="4"/>
      <c r="D22" s="1376">
        <f>'Development Budget'!G44</f>
        <v>37135500</v>
      </c>
      <c r="E22" s="1376">
        <f t="shared" ref="E22:E28" si="0">D22/$D$10</f>
        <v>367678.21782178216</v>
      </c>
      <c r="F22" s="1169"/>
    </row>
    <row r="23" spans="1:6">
      <c r="A23" s="64"/>
      <c r="B23" s="4" t="s">
        <v>17</v>
      </c>
      <c r="C23" s="4"/>
      <c r="D23" s="1376">
        <f>SUM('Development Budget'!G80,'Development Budget'!G59)</f>
        <v>1437720</v>
      </c>
      <c r="E23" s="1376">
        <f t="shared" si="0"/>
        <v>14234.851485148514</v>
      </c>
    </row>
    <row r="24" spans="1:6">
      <c r="A24" s="64"/>
      <c r="B24" s="4" t="s">
        <v>18</v>
      </c>
      <c r="C24" s="4"/>
      <c r="D24" s="1376">
        <f>'Development Budget'!G97</f>
        <v>1903349</v>
      </c>
      <c r="E24" s="1376">
        <f t="shared" si="0"/>
        <v>18845.039603960395</v>
      </c>
    </row>
    <row r="25" spans="1:6">
      <c r="A25" s="64"/>
      <c r="B25" s="4" t="s">
        <v>19</v>
      </c>
      <c r="C25" s="4"/>
      <c r="D25" s="1376">
        <f>'Development Budget'!G148+'Development Budget'!G170+'Development Budget'!G176</f>
        <v>5778078.1071093539</v>
      </c>
      <c r="E25" s="1376">
        <f t="shared" si="0"/>
        <v>57208.694129795585</v>
      </c>
    </row>
    <row r="26" spans="1:6">
      <c r="A26" s="64"/>
      <c r="B26" s="4" t="s">
        <v>20</v>
      </c>
      <c r="C26" s="4"/>
      <c r="D26" s="1376">
        <f>'Development Budget'!G181</f>
        <v>2631514.8458820791</v>
      </c>
      <c r="E26" s="1376">
        <f t="shared" si="0"/>
        <v>26054.60243447603</v>
      </c>
    </row>
    <row r="27" spans="1:6" ht="16.5" thickBot="1">
      <c r="A27" s="146"/>
      <c r="B27" s="67" t="s">
        <v>21</v>
      </c>
      <c r="C27" s="67"/>
      <c r="D27" s="1377">
        <f>'Development Budget'!G250-SUM(D21:D26)</f>
        <v>-1187161.9529914334</v>
      </c>
      <c r="E27" s="1377">
        <f t="shared" si="0"/>
        <v>-11754.078742489441</v>
      </c>
    </row>
    <row r="28" spans="1:6" ht="16.5" thickTop="1">
      <c r="A28" s="4"/>
      <c r="B28" s="4"/>
      <c r="C28" s="150" t="s">
        <v>14</v>
      </c>
      <c r="D28" s="1378">
        <f>SUM(D21:D27)</f>
        <v>54439000</v>
      </c>
      <c r="E28" s="1376">
        <f t="shared" si="0"/>
        <v>539000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5" t="s">
        <v>382</v>
      </c>
    </row>
    <row r="31" spans="1:6">
      <c r="A31" s="4"/>
      <c r="B31" s="4" t="s">
        <v>23</v>
      </c>
      <c r="C31" s="4"/>
      <c r="D31" s="61"/>
      <c r="E31" s="1376">
        <f t="shared" ref="E31:E32" si="1">D31/$D$10</f>
        <v>0</v>
      </c>
    </row>
    <row r="32" spans="1:6">
      <c r="A32" s="4"/>
      <c r="B32" s="4" t="s">
        <v>24</v>
      </c>
      <c r="C32" s="4"/>
      <c r="D32" s="1431">
        <f>Data!C20</f>
        <v>35385350</v>
      </c>
      <c r="E32" s="1431">
        <f t="shared" si="1"/>
        <v>350350</v>
      </c>
    </row>
    <row r="33" spans="1:5">
      <c r="A33" s="64"/>
      <c r="B33" s="4" t="s">
        <v>1051</v>
      </c>
      <c r="C33" s="4"/>
      <c r="D33" s="1432">
        <f>GapCalc!D29</f>
        <v>2858047.5000000005</v>
      </c>
      <c r="E33" s="1431">
        <f>D33/$D$10</f>
        <v>28297.500000000004</v>
      </c>
    </row>
    <row r="34" spans="1:5">
      <c r="A34" s="65"/>
      <c r="B34" s="4" t="s">
        <v>26</v>
      </c>
      <c r="C34" s="4"/>
      <c r="D34" s="1432">
        <f>GapCalc!D30</f>
        <v>16195602.500000002</v>
      </c>
      <c r="E34" s="1431">
        <f>D34/$D$10</f>
        <v>160352.50000000003</v>
      </c>
    </row>
    <row r="35" spans="1:5" ht="16.5" thickBot="1">
      <c r="A35" s="66"/>
      <c r="B35" s="67" t="s">
        <v>27</v>
      </c>
      <c r="C35" s="67"/>
      <c r="D35" s="1433">
        <v>0</v>
      </c>
      <c r="E35" s="1433">
        <f>D35/$D$10</f>
        <v>0</v>
      </c>
    </row>
    <row r="36" spans="1:5" ht="16.5" thickTop="1">
      <c r="A36" s="4"/>
      <c r="B36" s="690"/>
      <c r="C36" s="150" t="s">
        <v>28</v>
      </c>
      <c r="D36" s="1434">
        <f>SUM(D31:D35)</f>
        <v>54439000</v>
      </c>
      <c r="E36" s="1431">
        <f>D36/$D$10</f>
        <v>539000</v>
      </c>
    </row>
    <row r="37" spans="1:5">
      <c r="A37" s="60"/>
      <c r="B37" s="4"/>
      <c r="C37" s="4"/>
      <c r="D37" s="1431"/>
      <c r="E37" s="1439"/>
    </row>
    <row r="38" spans="1:5" ht="18.75">
      <c r="A38" s="152" t="s">
        <v>29</v>
      </c>
      <c r="B38" s="148"/>
      <c r="C38" s="148"/>
      <c r="D38" s="1435"/>
      <c r="E38" s="1440" t="s">
        <v>382</v>
      </c>
    </row>
    <row r="39" spans="1:5">
      <c r="A39" s="60"/>
      <c r="B39" s="4" t="s">
        <v>1047</v>
      </c>
      <c r="C39" s="4"/>
      <c r="D39" s="1431">
        <f>Data!G30</f>
        <v>0</v>
      </c>
      <c r="E39" s="1431">
        <f>D39/$D$10</f>
        <v>0</v>
      </c>
    </row>
    <row r="40" spans="1:5">
      <c r="A40" s="60"/>
      <c r="B40" s="4" t="s">
        <v>995</v>
      </c>
      <c r="C40" s="4"/>
      <c r="D40" s="1431">
        <f>GapCalc!D37</f>
        <v>40788217.028538823</v>
      </c>
      <c r="E40" s="1431">
        <f t="shared" ref="E40" si="2">D40/$D$10</f>
        <v>403843.73295582994</v>
      </c>
    </row>
    <row r="41" spans="1:5">
      <c r="A41" s="60"/>
      <c r="B41" s="4" t="s">
        <v>1051</v>
      </c>
      <c r="C41" s="4"/>
      <c r="D41" s="1436">
        <f>GapCalc!D29+GapCalc!D38</f>
        <v>2858047.5000000005</v>
      </c>
      <c r="E41" s="1431">
        <f>D41/$D$10</f>
        <v>28297.500000000004</v>
      </c>
    </row>
    <row r="42" spans="1:5">
      <c r="A42" s="60"/>
      <c r="B42" s="1402" t="s">
        <v>26</v>
      </c>
      <c r="C42" s="4"/>
      <c r="D42" s="1437">
        <f>GapCalc!D30+GapCalc!D39</f>
        <v>16195602.500000002</v>
      </c>
      <c r="E42" s="1431">
        <f>D42/$D$10</f>
        <v>160352.50000000003</v>
      </c>
    </row>
    <row r="43" spans="1:5">
      <c r="A43" s="60"/>
      <c r="B43" s="1558" t="s">
        <v>1102</v>
      </c>
      <c r="C43" s="4"/>
      <c r="D43" s="1437">
        <f>IF(D32-D40&gt;0,0,D32-D40)</f>
        <v>-5402867.0285388231</v>
      </c>
      <c r="E43" s="1431">
        <f>D43/$D$10</f>
        <v>-53493.732955829932</v>
      </c>
    </row>
    <row r="44" spans="1:5">
      <c r="A44" s="60"/>
      <c r="B44" s="4" t="s">
        <v>27</v>
      </c>
      <c r="C44" s="4"/>
      <c r="D44" s="1437">
        <v>0</v>
      </c>
      <c r="E44" s="1431">
        <v>0</v>
      </c>
    </row>
    <row r="45" spans="1:5" ht="16.5" thickBot="1">
      <c r="A45" s="66"/>
      <c r="B45" s="731"/>
      <c r="C45" s="1519" t="s">
        <v>33</v>
      </c>
      <c r="D45" s="1520">
        <f>SUM(D39:D44)</f>
        <v>54439000</v>
      </c>
      <c r="E45" s="1433">
        <f>D45/$D$10</f>
        <v>539000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6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5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6">
        <f>'Development Budget'!G28</f>
        <v>6740000</v>
      </c>
      <c r="E17" s="1376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376">
        <f>'Development Budget'!G44</f>
        <v>37135500</v>
      </c>
      <c r="E18" s="1376">
        <f t="shared" ref="E18:E24" si="0">D18/$D$11</f>
        <v>367678.21782178216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6">
        <f>SUM('Development Budget'!G80,'Development Budget'!G59)</f>
        <v>1437720</v>
      </c>
      <c r="E19" s="1376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376">
        <f>'Development Budget'!G97</f>
        <v>1903349</v>
      </c>
      <c r="E20" s="1376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376">
        <f>'Development Budget'!G148+'Development Budget'!G170+'Development Budget'!G176</f>
        <v>5778078.1071093539</v>
      </c>
      <c r="E21" s="1376">
        <f t="shared" si="0"/>
        <v>57208.694129795585</v>
      </c>
      <c r="F21" s="62"/>
      <c r="G21" s="144"/>
      <c r="H21" s="145"/>
    </row>
    <row r="22" spans="1:10" s="4" customFormat="1" ht="15.75">
      <c r="A22" s="64"/>
      <c r="B22" s="4" t="s">
        <v>20</v>
      </c>
      <c r="D22" s="1376">
        <f>'Development Budget'!G181</f>
        <v>2631514.8458820791</v>
      </c>
      <c r="E22" s="1376">
        <f t="shared" si="0"/>
        <v>26054.60243447603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7">
        <f>'Development Budget'!G250-SUM(D17:D22)</f>
        <v>-1187161.9529914334</v>
      </c>
      <c r="E23" s="1377">
        <f t="shared" si="0"/>
        <v>-11754.078742489441</v>
      </c>
      <c r="F23" s="62"/>
      <c r="G23" s="144"/>
      <c r="H23" s="145"/>
    </row>
    <row r="24" spans="1:10" s="4" customFormat="1" ht="16.5" thickTop="1">
      <c r="C24" s="150" t="s">
        <v>14</v>
      </c>
      <c r="D24" s="1378">
        <f>SUM(D17:D23)</f>
        <v>54439000</v>
      </c>
      <c r="E24" s="1376">
        <f t="shared" si="0"/>
        <v>539000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5" t="s">
        <v>382</v>
      </c>
      <c r="G26" s="1360" t="s">
        <v>1050</v>
      </c>
      <c r="H26" s="1282">
        <f>SUM(D29:D30)/H34</f>
        <v>1</v>
      </c>
    </row>
    <row r="27" spans="1:10" ht="15.75">
      <c r="A27" s="4"/>
      <c r="B27" s="4" t="s">
        <v>23</v>
      </c>
      <c r="C27" s="4"/>
      <c r="D27" s="61"/>
      <c r="E27" s="1376">
        <f t="shared" ref="E27:E28" si="1">D27/$D$11</f>
        <v>0</v>
      </c>
      <c r="F27" s="62"/>
      <c r="G27" s="1266" t="s">
        <v>981</v>
      </c>
      <c r="H27" s="1267"/>
      <c r="I27" s="695"/>
    </row>
    <row r="28" spans="1:10" ht="15.75">
      <c r="A28" s="4"/>
      <c r="B28" s="4" t="s">
        <v>24</v>
      </c>
      <c r="C28" s="4"/>
      <c r="D28" s="1431">
        <f>Data!C20</f>
        <v>35385350</v>
      </c>
      <c r="E28" s="1431">
        <f t="shared" si="1"/>
        <v>350350</v>
      </c>
      <c r="F28" s="62"/>
      <c r="G28" s="1264" t="s">
        <v>608</v>
      </c>
      <c r="H28" s="1453">
        <f>H32/D11</f>
        <v>28297.500000000004</v>
      </c>
      <c r="I28" s="703"/>
    </row>
    <row r="29" spans="1:10" ht="15.75">
      <c r="A29" s="64"/>
      <c r="B29" s="4" t="s">
        <v>1051</v>
      </c>
      <c r="C29" s="4"/>
      <c r="D29" s="1432">
        <v>2858047.5000000005</v>
      </c>
      <c r="E29" s="1431">
        <f>D29/$D$11</f>
        <v>28297.500000000004</v>
      </c>
      <c r="F29" s="520"/>
      <c r="G29" s="1265" t="s">
        <v>971</v>
      </c>
      <c r="H29" s="1454">
        <f>H33/D11</f>
        <v>160352.50000000003</v>
      </c>
      <c r="I29" s="703"/>
    </row>
    <row r="30" spans="1:10" ht="16.5" thickBot="1">
      <c r="A30" s="65"/>
      <c r="B30" s="4" t="s">
        <v>26</v>
      </c>
      <c r="C30" s="4"/>
      <c r="D30" s="1432">
        <v>16195602.500000002</v>
      </c>
      <c r="E30" s="1431">
        <f>D30/$D$11</f>
        <v>160352.50000000003</v>
      </c>
      <c r="F30" s="62"/>
      <c r="G30" s="4"/>
      <c r="H30" s="1436"/>
      <c r="I30" s="695"/>
      <c r="J30" s="690"/>
    </row>
    <row r="31" spans="1:10" ht="16.5" thickBot="1">
      <c r="A31" s="60"/>
      <c r="B31" s="4" t="s">
        <v>27</v>
      </c>
      <c r="C31" s="4"/>
      <c r="D31" s="1431">
        <v>0</v>
      </c>
      <c r="E31" s="1431">
        <f>D31/$D$11</f>
        <v>0</v>
      </c>
      <c r="F31" s="62"/>
      <c r="G31" s="1283" t="s">
        <v>1000</v>
      </c>
      <c r="H31" s="1455"/>
      <c r="I31" s="1284"/>
      <c r="J31" s="690"/>
    </row>
    <row r="32" spans="1:10" ht="16.5" thickBot="1">
      <c r="A32" s="1278"/>
      <c r="B32" s="67" t="s">
        <v>997</v>
      </c>
      <c r="C32" s="67"/>
      <c r="D32" s="1433">
        <f>SUM(D28:D31)-D24</f>
        <v>0</v>
      </c>
      <c r="E32" s="1433">
        <f>D32/$D$11</f>
        <v>0</v>
      </c>
      <c r="F32" s="62"/>
      <c r="G32" s="1185" t="s">
        <v>608</v>
      </c>
      <c r="H32" s="1456">
        <f>D29+D38</f>
        <v>2858047.5000000005</v>
      </c>
      <c r="I32" s="1192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434">
        <f>SUM(D27:D31)</f>
        <v>54439000</v>
      </c>
      <c r="E33" s="1431">
        <f>D33/$D$11</f>
        <v>539000</v>
      </c>
      <c r="F33" s="62"/>
      <c r="G33" s="1286" t="s">
        <v>971</v>
      </c>
      <c r="H33" s="1456">
        <f>D30+D39</f>
        <v>16195602.500000002</v>
      </c>
      <c r="I33" s="1192">
        <f>H33/H34</f>
        <v>0.85</v>
      </c>
      <c r="J33" s="690"/>
    </row>
    <row r="34" spans="1:12" ht="17.25" thickTop="1" thickBot="1">
      <c r="A34" s="60"/>
      <c r="B34" s="4"/>
      <c r="C34" s="4"/>
      <c r="D34" s="1431"/>
      <c r="E34" s="1439"/>
      <c r="F34" s="62"/>
      <c r="G34" s="1285" t="s">
        <v>37</v>
      </c>
      <c r="H34" s="1457">
        <f>SUM(H32:H33)</f>
        <v>19053650.000000004</v>
      </c>
      <c r="I34" s="1192"/>
      <c r="J34" s="690"/>
    </row>
    <row r="35" spans="1:12" ht="18.75">
      <c r="A35" s="152" t="s">
        <v>29</v>
      </c>
      <c r="B35" s="148"/>
      <c r="C35" s="148"/>
      <c r="D35" s="1435"/>
      <c r="E35" s="1440" t="s">
        <v>382</v>
      </c>
      <c r="F35" s="68"/>
      <c r="G35" s="1185"/>
      <c r="H35" s="1448"/>
      <c r="I35" s="1187" t="s">
        <v>961</v>
      </c>
      <c r="J35" s="690"/>
    </row>
    <row r="36" spans="1:12" ht="16.5" thickBot="1">
      <c r="A36" s="60"/>
      <c r="B36" s="4" t="s">
        <v>1047</v>
      </c>
      <c r="C36" s="4"/>
      <c r="D36" s="1431">
        <f>Data!G30</f>
        <v>0</v>
      </c>
      <c r="E36" s="1431">
        <f>D36/$D$11</f>
        <v>0</v>
      </c>
      <c r="F36" s="62"/>
      <c r="G36" s="1186"/>
      <c r="H36" s="1458"/>
      <c r="I36" s="1188">
        <f>H34/D24</f>
        <v>0.35000000000000009</v>
      </c>
      <c r="J36" s="704"/>
    </row>
    <row r="37" spans="1:12" ht="16.5" thickBot="1">
      <c r="A37" s="60"/>
      <c r="B37" s="4" t="s">
        <v>995</v>
      </c>
      <c r="C37" s="4"/>
      <c r="D37" s="1431">
        <f>Data!C38</f>
        <v>40788217.028538823</v>
      </c>
      <c r="E37" s="1431">
        <f t="shared" ref="E37" si="2">D37/$D$11</f>
        <v>403843.73295582994</v>
      </c>
      <c r="F37" s="62"/>
      <c r="G37" s="335"/>
      <c r="H37" s="1459"/>
      <c r="I37" s="703"/>
      <c r="J37" s="704"/>
    </row>
    <row r="38" spans="1:12" ht="16.5" thickBot="1">
      <c r="A38" s="60"/>
      <c r="B38" s="4" t="s">
        <v>1051</v>
      </c>
      <c r="C38" s="4"/>
      <c r="D38" s="1436">
        <v>0</v>
      </c>
      <c r="E38" s="1431">
        <f>D38/$D$11</f>
        <v>0</v>
      </c>
      <c r="F38" s="62"/>
      <c r="G38" s="1279" t="s">
        <v>998</v>
      </c>
      <c r="H38" s="1460" t="s">
        <v>982</v>
      </c>
      <c r="I38" s="1287" t="s">
        <v>1002</v>
      </c>
      <c r="J38" s="690"/>
    </row>
    <row r="39" spans="1:12" ht="15.75">
      <c r="A39" s="60"/>
      <c r="B39" s="1402" t="s">
        <v>26</v>
      </c>
      <c r="C39" s="4"/>
      <c r="D39" s="1437">
        <v>0</v>
      </c>
      <c r="E39" s="1431">
        <f>D39/$D$11</f>
        <v>0</v>
      </c>
      <c r="F39" s="62"/>
      <c r="G39" s="1280" t="s">
        <v>608</v>
      </c>
      <c r="H39" s="1461">
        <f>-D32*0.15</f>
        <v>0</v>
      </c>
      <c r="I39" s="1441">
        <f>D29+H39</f>
        <v>2858047.5000000005</v>
      </c>
      <c r="J39" s="690"/>
    </row>
    <row r="40" spans="1:12" ht="16.5" thickBot="1">
      <c r="A40" s="60"/>
      <c r="B40" s="4" t="s">
        <v>27</v>
      </c>
      <c r="C40" s="4"/>
      <c r="D40" s="1437">
        <v>0</v>
      </c>
      <c r="E40" s="1431">
        <v>0</v>
      </c>
      <c r="F40" s="62"/>
      <c r="G40" s="1281" t="s">
        <v>971</v>
      </c>
      <c r="H40" s="1462">
        <f>-D32*0.85</f>
        <v>0</v>
      </c>
      <c r="I40" s="1442">
        <f>D30+H40</f>
        <v>16195602.500000002</v>
      </c>
      <c r="J40" s="690"/>
    </row>
    <row r="41" spans="1:12" ht="16.5" thickBot="1">
      <c r="A41" s="66"/>
      <c r="B41" s="67" t="s">
        <v>997</v>
      </c>
      <c r="C41" s="67"/>
      <c r="D41" s="1438">
        <f>SUM(D36:D39)-D28</f>
        <v>5402867.0285388231</v>
      </c>
      <c r="E41" s="1433">
        <f>D41/$D$11</f>
        <v>53493.732955829932</v>
      </c>
      <c r="F41" s="62"/>
      <c r="H41" s="1461"/>
      <c r="I41" s="1443"/>
      <c r="J41" s="690"/>
    </row>
    <row r="42" spans="1:12" ht="17.25" thickTop="1" thickBot="1">
      <c r="A42" s="60"/>
      <c r="B42" s="690"/>
      <c r="C42" s="150" t="s">
        <v>33</v>
      </c>
      <c r="D42" s="1434">
        <f>SUM(D36:D39)</f>
        <v>40788217.028538823</v>
      </c>
      <c r="E42" s="1431">
        <f>D42/$D$11</f>
        <v>403843.73295582994</v>
      </c>
      <c r="G42" s="1279" t="s">
        <v>999</v>
      </c>
      <c r="H42" s="1460" t="s">
        <v>982</v>
      </c>
      <c r="I42" s="1444" t="s">
        <v>1002</v>
      </c>
      <c r="J42" s="690"/>
    </row>
    <row r="43" spans="1:12" ht="15.75">
      <c r="A43" s="65"/>
      <c r="B43" s="60"/>
      <c r="C43" s="60"/>
      <c r="D43" s="61"/>
      <c r="E43" s="61"/>
      <c r="G43" s="1280" t="s">
        <v>608</v>
      </c>
      <c r="H43" s="1461">
        <f>-D41*0.15</f>
        <v>-810430.05428082345</v>
      </c>
      <c r="I43" s="1441">
        <f>D38+H43</f>
        <v>-810430.05428082345</v>
      </c>
      <c r="J43" s="690"/>
    </row>
    <row r="44" spans="1:12" ht="16.5" thickBot="1">
      <c r="A44" s="60"/>
      <c r="B44" s="60"/>
      <c r="C44" s="60"/>
      <c r="D44" s="159"/>
      <c r="E44" s="159"/>
      <c r="G44" s="1281" t="s">
        <v>971</v>
      </c>
      <c r="H44" s="1461">
        <f>-D41*0.85</f>
        <v>-4592436.9742579991</v>
      </c>
      <c r="I44" s="1441">
        <f>D39+H44</f>
        <v>-4592436.9742579991</v>
      </c>
      <c r="J44" s="690"/>
    </row>
    <row r="45" spans="1:12" ht="15.75">
      <c r="A45" s="60"/>
      <c r="D45" s="159"/>
      <c r="E45" s="159"/>
      <c r="G45" s="4"/>
      <c r="H45" s="1549" t="s">
        <v>1095</v>
      </c>
      <c r="I45" s="1553"/>
      <c r="J45" s="1551"/>
      <c r="K45" s="1550"/>
      <c r="L45" s="1539"/>
    </row>
    <row r="46" spans="1:12" ht="15.75">
      <c r="A46" s="60"/>
      <c r="D46" s="1289"/>
      <c r="E46" s="1289"/>
      <c r="G46" s="690"/>
      <c r="H46" s="1417" t="s">
        <v>1061</v>
      </c>
      <c r="I46" s="1445">
        <f>'Cash Flow'!C66</f>
        <v>16197748.604576033</v>
      </c>
      <c r="J46" s="1427" t="s">
        <v>1083</v>
      </c>
      <c r="K46" s="1428">
        <f>'Cash Flow'!C76</f>
        <v>9.0030856263596665E-2</v>
      </c>
      <c r="L46" s="1540"/>
    </row>
    <row r="47" spans="1:12" ht="16.5" thickBot="1">
      <c r="A47" s="696"/>
      <c r="C47" s="1288"/>
      <c r="D47" s="690"/>
      <c r="E47" s="690"/>
      <c r="G47" s="690"/>
      <c r="H47" s="1418" t="s">
        <v>1062</v>
      </c>
      <c r="I47" s="1446">
        <f>'Cash Flow'!C80</f>
        <v>6552969.155551251</v>
      </c>
      <c r="J47" s="1429" t="s">
        <v>1098</v>
      </c>
      <c r="K47" s="1452">
        <f>'Cash Flow'!C70</f>
        <v>26402330.225458931</v>
      </c>
      <c r="L47" s="1540"/>
    </row>
    <row r="48" spans="1:12" ht="15.75" thickTop="1">
      <c r="A48" s="6"/>
      <c r="B48" s="696"/>
      <c r="C48" s="696"/>
      <c r="D48" s="690"/>
      <c r="E48" s="690"/>
      <c r="H48" s="1415" t="s">
        <v>1059</v>
      </c>
      <c r="I48" s="1447">
        <f>I46-H33</f>
        <v>2146.1045760307461</v>
      </c>
      <c r="J48" s="1541"/>
      <c r="K48" s="1542"/>
      <c r="L48" s="1540"/>
    </row>
    <row r="49" spans="1:12" ht="15.75">
      <c r="A49" s="696"/>
      <c r="B49" s="696"/>
      <c r="C49" s="696"/>
      <c r="D49" s="690"/>
      <c r="E49" s="690"/>
      <c r="F49" s="68"/>
      <c r="H49" s="1543"/>
      <c r="I49" s="1448"/>
      <c r="J49" s="707"/>
      <c r="K49" s="1542"/>
      <c r="L49" s="1540"/>
    </row>
    <row r="50" spans="1:12">
      <c r="A50" s="696"/>
      <c r="B50" s="696"/>
      <c r="C50" s="696"/>
      <c r="D50" s="690"/>
      <c r="E50" s="690"/>
      <c r="F50" s="692"/>
      <c r="H50" s="1543"/>
      <c r="I50" s="1542"/>
      <c r="J50" s="707"/>
      <c r="K50" s="1542"/>
      <c r="L50" s="1540"/>
    </row>
    <row r="51" spans="1:12">
      <c r="A51" s="6"/>
      <c r="B51" s="696"/>
      <c r="C51" s="696"/>
      <c r="D51" s="690"/>
      <c r="E51" s="690"/>
      <c r="F51" s="692"/>
      <c r="H51" s="1419" t="s">
        <v>1070</v>
      </c>
      <c r="I51" s="1449">
        <f>'Cash Flow'!H66</f>
        <v>2858426.2243369468</v>
      </c>
      <c r="J51" s="1430" t="s">
        <v>1083</v>
      </c>
      <c r="K51" s="1463">
        <f>'Cash Flow'!H76</f>
        <v>9.0030856263596665E-2</v>
      </c>
      <c r="L51" s="1540"/>
    </row>
    <row r="52" spans="1:12" ht="15.75" thickBot="1">
      <c r="A52" s="696"/>
      <c r="B52" s="696"/>
      <c r="C52" s="696"/>
      <c r="D52" s="690"/>
      <c r="E52" s="690"/>
      <c r="F52" s="708"/>
      <c r="H52" s="1421" t="s">
        <v>1071</v>
      </c>
      <c r="I52" s="1450">
        <f>H32</f>
        <v>2858047.5000000005</v>
      </c>
      <c r="J52" s="1429" t="s">
        <v>1097</v>
      </c>
      <c r="K52" s="1452">
        <f>'Cash Flow'!H70</f>
        <v>4659234.7456692234</v>
      </c>
      <c r="L52" s="1540"/>
    </row>
    <row r="53" spans="1:12" ht="15.75" thickTop="1">
      <c r="A53" s="696"/>
      <c r="B53" s="696"/>
      <c r="C53" s="696"/>
      <c r="D53" s="690"/>
      <c r="E53" s="690"/>
      <c r="F53" s="708"/>
      <c r="H53" s="1420" t="s">
        <v>1059</v>
      </c>
      <c r="I53" s="1451">
        <f>I51-I52</f>
        <v>378.72433694638312</v>
      </c>
      <c r="J53" s="690"/>
      <c r="L53" s="1540"/>
    </row>
    <row r="54" spans="1:12">
      <c r="A54" s="696"/>
      <c r="B54" s="696"/>
      <c r="C54" s="696"/>
      <c r="D54" s="690"/>
      <c r="E54" s="690"/>
      <c r="F54" s="692"/>
      <c r="H54" s="1543"/>
      <c r="I54" s="1542"/>
      <c r="J54" s="690"/>
      <c r="L54" s="1540"/>
    </row>
    <row r="55" spans="1:12">
      <c r="A55" s="696"/>
      <c r="B55" s="690"/>
      <c r="C55" s="690"/>
      <c r="D55" s="690"/>
      <c r="E55" s="690"/>
      <c r="F55" s="690"/>
      <c r="H55" s="1554" t="s">
        <v>1075</v>
      </c>
      <c r="I55" s="1555">
        <f>I48+I53</f>
        <v>2524.8289129771292</v>
      </c>
      <c r="J55" s="1556"/>
      <c r="K55" s="1547"/>
      <c r="L55" s="1548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9" t="s">
        <v>1096</v>
      </c>
      <c r="I57" s="1550"/>
      <c r="J57" s="1551"/>
      <c r="K57" s="1550"/>
      <c r="L57" s="1552"/>
    </row>
    <row r="58" spans="1:12" ht="15.75">
      <c r="A58" s="696"/>
      <c r="B58" s="696"/>
      <c r="C58" s="696"/>
      <c r="D58" s="690"/>
      <c r="E58" s="690"/>
      <c r="F58" s="692"/>
      <c r="H58" s="1417" t="s">
        <v>1061</v>
      </c>
      <c r="I58" s="1445">
        <f>'Cash Flow'!C93</f>
        <v>22539070.296049293</v>
      </c>
      <c r="J58" s="1427" t="s">
        <v>1083</v>
      </c>
      <c r="K58" s="1428">
        <f>'Cash Flow'!C103</f>
        <v>0.12684358042598504</v>
      </c>
      <c r="L58" s="1540"/>
    </row>
    <row r="59" spans="1:12" ht="16.5" thickBot="1">
      <c r="A59" s="696"/>
      <c r="B59" s="696"/>
      <c r="C59" s="696"/>
      <c r="D59" s="690"/>
      <c r="E59" s="690"/>
      <c r="F59" s="692"/>
      <c r="H59" s="1418" t="s">
        <v>1062</v>
      </c>
      <c r="I59" s="1446">
        <f>'Cash Flow'!C92</f>
        <v>0</v>
      </c>
      <c r="J59" s="1429" t="s">
        <v>1097</v>
      </c>
      <c r="K59" s="1452">
        <f>'Cash Flow'!C97</f>
        <v>36738684.582560346</v>
      </c>
      <c r="L59" s="1540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5" t="s">
        <v>1059</v>
      </c>
      <c r="I60" s="1447">
        <f>I58-H33</f>
        <v>6343467.7960492913</v>
      </c>
      <c r="J60" s="1541"/>
      <c r="K60" s="1542"/>
      <c r="L60" s="1540"/>
    </row>
    <row r="61" spans="1:12">
      <c r="A61" s="696"/>
      <c r="B61" s="696"/>
      <c r="C61" s="696"/>
      <c r="D61" s="690"/>
      <c r="E61" s="690"/>
      <c r="F61" s="709"/>
      <c r="G61" s="703"/>
      <c r="H61" s="1543"/>
      <c r="I61" s="1448"/>
      <c r="J61" s="707"/>
      <c r="K61" s="1542"/>
      <c r="L61" s="1540"/>
    </row>
    <row r="62" spans="1:12">
      <c r="A62" s="696"/>
      <c r="B62" s="696"/>
      <c r="C62" s="696"/>
      <c r="D62" s="690"/>
      <c r="E62" s="690"/>
      <c r="F62" s="692"/>
      <c r="G62" s="703"/>
      <c r="H62" s="1543"/>
      <c r="I62" s="1542"/>
      <c r="J62" s="707"/>
      <c r="K62" s="1542"/>
      <c r="L62" s="1540"/>
    </row>
    <row r="63" spans="1:12">
      <c r="A63" s="696"/>
      <c r="B63" s="696"/>
      <c r="C63" s="696"/>
      <c r="D63" s="690"/>
      <c r="E63" s="690"/>
      <c r="F63" s="692"/>
      <c r="G63" s="703"/>
      <c r="H63" s="1419" t="s">
        <v>1070</v>
      </c>
      <c r="I63" s="1449">
        <f>'Cash Flow'!H93</f>
        <v>3171278.0556563423</v>
      </c>
      <c r="J63" s="1430" t="s">
        <v>1083</v>
      </c>
      <c r="K63" s="1463">
        <f>'Cash Flow'!H103</f>
        <v>8.0864146964661585E-2</v>
      </c>
      <c r="L63" s="1540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21" t="s">
        <v>1071</v>
      </c>
      <c r="I64" s="1450">
        <f>H32</f>
        <v>2858047.5000000005</v>
      </c>
      <c r="J64" s="1429" t="s">
        <v>1097</v>
      </c>
      <c r="K64" s="1452">
        <f>'Cash Flow'!H97</f>
        <v>5169183.2307198374</v>
      </c>
      <c r="L64" s="1540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20" t="s">
        <v>1059</v>
      </c>
      <c r="I65" s="1451">
        <f>I63-I64</f>
        <v>313230.55565634184</v>
      </c>
      <c r="J65" s="690"/>
      <c r="L65" s="1540"/>
    </row>
    <row r="66" spans="1:14">
      <c r="A66" s="696"/>
      <c r="B66" s="696"/>
      <c r="C66" s="696"/>
      <c r="D66" s="690"/>
      <c r="E66" s="690"/>
      <c r="F66" s="692"/>
      <c r="G66" s="703"/>
      <c r="H66" s="1543"/>
      <c r="I66" s="1542"/>
      <c r="J66" s="690"/>
      <c r="L66" s="1540"/>
    </row>
    <row r="67" spans="1:14">
      <c r="A67" s="6"/>
      <c r="B67" s="696"/>
      <c r="C67" s="696"/>
      <c r="D67" s="690"/>
      <c r="E67" s="690"/>
      <c r="F67" s="692"/>
      <c r="G67" s="703"/>
      <c r="H67" s="1544" t="s">
        <v>1075</v>
      </c>
      <c r="I67" s="1545">
        <f>I60+I65</f>
        <v>6656698.3517056331</v>
      </c>
      <c r="J67" s="690"/>
      <c r="L67" s="1540"/>
    </row>
    <row r="68" spans="1:14">
      <c r="A68" s="696"/>
      <c r="B68" s="696"/>
      <c r="C68" s="696"/>
      <c r="D68" s="690"/>
      <c r="E68" s="690"/>
      <c r="F68" s="709"/>
      <c r="G68" s="703"/>
      <c r="H68" s="1546"/>
      <c r="I68" s="1547"/>
      <c r="J68" s="1547"/>
      <c r="K68" s="1547"/>
      <c r="L68" s="1548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597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37" zoomScale="130" zoomScaleNormal="130" workbookViewId="0">
      <selection activeCell="M116" sqref="M116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20</v>
      </c>
      <c r="O8" s="521">
        <f t="shared" si="0"/>
        <v>0.19801980198019803</v>
      </c>
      <c r="Q8" s="283">
        <f>SUM(O10:O15)</f>
        <v>0.79207920792079212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61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62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346910</v>
      </c>
      <c r="F18" s="285"/>
      <c r="H18" s="286"/>
      <c r="I18" s="287"/>
      <c r="K18" s="226"/>
      <c r="M18" s="328" t="s">
        <v>10</v>
      </c>
      <c r="N18" s="1268">
        <f>N17+N16</f>
        <v>101</v>
      </c>
      <c r="O18" s="1269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10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4000</v>
      </c>
      <c r="K32" s="292">
        <f>E32*I32</f>
        <v>12130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5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3350</v>
      </c>
      <c r="K33" s="292">
        <f>E33*I33</f>
        <v>6500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5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5000</v>
      </c>
      <c r="K34" s="292">
        <f>E34*I34</f>
        <v>7800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20</v>
      </c>
      <c r="F37" s="241"/>
      <c r="G37" s="241"/>
      <c r="H37" s="243"/>
      <c r="I37" s="241"/>
      <c r="J37" s="293">
        <f>SUM(J32:J36)</f>
        <v>12350</v>
      </c>
      <c r="K37" s="294">
        <f>SUM(K32:K36)</f>
        <v>26430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481"/>
      <c r="M41" s="1481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481"/>
      <c r="M42" s="1481"/>
      <c r="O42" s="1476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481"/>
      <c r="M43" s="1481"/>
      <c r="O43" s="1477"/>
      <c r="P43" s="1478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81"/>
      <c r="O44" s="1480"/>
      <c r="P44" s="1478"/>
      <c r="Q44" s="1479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7"/>
      <c r="P45" s="1478"/>
      <c r="Q45" s="1479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477"/>
      <c r="P46" s="1478"/>
      <c r="Q46" s="1479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477"/>
      <c r="P47" s="1478"/>
      <c r="Q47" s="1479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624">
        <v>2400</v>
      </c>
      <c r="J50" s="284">
        <f>D50*E50</f>
        <v>4800</v>
      </c>
      <c r="K50" s="292">
        <f>E50*I50</f>
        <v>28800</v>
      </c>
      <c r="L50" s="1536"/>
      <c r="M50" s="1481"/>
      <c r="N50" s="1481"/>
      <c r="O50" s="1537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624">
        <f>ROUND(G51-H51,0)</f>
        <v>3120</v>
      </c>
      <c r="J51" s="284">
        <f>D51*E51</f>
        <v>8040</v>
      </c>
      <c r="K51" s="292">
        <f>E51*I51</f>
        <v>37440</v>
      </c>
      <c r="L51" s="1536"/>
      <c r="M51" s="1481"/>
      <c r="N51" s="1481"/>
      <c r="O51" s="1537"/>
      <c r="Q51" s="1538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624">
        <v>4540</v>
      </c>
      <c r="J52" s="284">
        <f>D52*E52</f>
        <v>56000</v>
      </c>
      <c r="K52" s="292">
        <f>E52*I52</f>
        <v>254240</v>
      </c>
      <c r="L52" s="1536"/>
      <c r="M52" s="1481"/>
      <c r="N52" s="1481"/>
      <c r="O52" s="1537"/>
      <c r="Q52" s="1538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624">
        <f>ROUND(G53-H53,0)</f>
        <v>4327</v>
      </c>
      <c r="J53" s="284">
        <f>D53*E53</f>
        <v>0</v>
      </c>
      <c r="K53" s="292">
        <f>E53*I53</f>
        <v>0</v>
      </c>
      <c r="L53" s="1536"/>
      <c r="O53" s="1537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624">
        <f>ROUND(G54-H54,0)</f>
        <v>0</v>
      </c>
      <c r="J54" s="284">
        <f>D54*E54</f>
        <v>0</v>
      </c>
      <c r="K54" s="292">
        <f>E54*I54</f>
        <v>0</v>
      </c>
      <c r="L54" s="1414"/>
    </row>
    <row r="55" spans="2:22" ht="12.75" customHeight="1" outlineLevel="1">
      <c r="B55" s="269"/>
      <c r="C55" s="252" t="s">
        <v>59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538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4"/>
      <c r="L127" s="203"/>
    </row>
    <row r="128" spans="2:12" outlineLevel="1">
      <c r="C128" s="1465"/>
      <c r="D128" s="309"/>
      <c r="E128" s="245"/>
      <c r="F128" s="203"/>
      <c r="G128" s="1466"/>
      <c r="H128" s="1467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8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9"/>
      <c r="D134" s="203"/>
      <c r="E134" s="1466"/>
      <c r="F134" s="203"/>
      <c r="G134" s="203"/>
      <c r="H134" s="1467"/>
      <c r="I134" s="203"/>
      <c r="J134" s="284"/>
      <c r="K134" s="285"/>
      <c r="L134" s="203"/>
    </row>
    <row r="135" spans="3:12" outlineLevel="1">
      <c r="C135" s="1465"/>
      <c r="D135" s="309"/>
      <c r="E135" s="245"/>
      <c r="F135" s="203"/>
      <c r="G135" s="1466"/>
      <c r="H135" s="1467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8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9"/>
      <c r="D141" s="203"/>
      <c r="E141" s="1466"/>
      <c r="F141" s="203"/>
      <c r="G141" s="203"/>
      <c r="H141" s="1467"/>
      <c r="I141" s="203"/>
      <c r="J141" s="284"/>
      <c r="K141" s="285"/>
    </row>
    <row r="142" spans="3:12" outlineLevel="1">
      <c r="C142" s="1465"/>
      <c r="D142" s="309"/>
      <c r="E142" s="245"/>
      <c r="F142" s="203"/>
      <c r="G142" s="1466"/>
      <c r="H142" s="1467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8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9"/>
      <c r="D148" s="203"/>
      <c r="E148" s="1466"/>
      <c r="F148" s="203"/>
      <c r="G148" s="203"/>
      <c r="H148" s="1467"/>
      <c r="I148" s="203"/>
      <c r="J148" s="284"/>
      <c r="K148" s="285"/>
    </row>
    <row r="149" spans="3:13" outlineLevel="1">
      <c r="C149" s="1465"/>
      <c r="D149" s="309"/>
      <c r="E149" s="245"/>
      <c r="F149" s="203"/>
      <c r="G149" s="1466"/>
      <c r="H149" s="1467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8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9"/>
      <c r="D155" s="203"/>
      <c r="E155" s="1466"/>
      <c r="F155" s="203"/>
      <c r="G155" s="203"/>
      <c r="H155" s="1467"/>
      <c r="I155" s="203"/>
      <c r="J155" s="284"/>
      <c r="K155" s="285"/>
    </row>
    <row r="156" spans="3:13" outlineLevel="1">
      <c r="C156" s="1465"/>
      <c r="D156" s="309"/>
      <c r="E156" s="245"/>
      <c r="F156" s="203"/>
      <c r="G156" s="1466"/>
      <c r="H156" s="1467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8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9"/>
      <c r="D162" s="203"/>
      <c r="E162" s="1466"/>
      <c r="F162" s="203"/>
      <c r="G162" s="203"/>
      <c r="H162" s="1467"/>
      <c r="I162" s="203"/>
      <c r="J162" s="284"/>
      <c r="K162" s="285"/>
    </row>
    <row r="163" spans="3:17" outlineLevel="1">
      <c r="C163" s="1465"/>
      <c r="D163" s="309"/>
      <c r="E163" s="245"/>
      <c r="F163" s="203"/>
      <c r="G163" s="1466"/>
      <c r="H163" s="1467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8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9"/>
      <c r="D169" s="203"/>
      <c r="E169" s="1466"/>
      <c r="F169" s="203"/>
      <c r="G169" s="203"/>
      <c r="H169" s="1467"/>
      <c r="I169" s="203"/>
      <c r="J169" s="284"/>
      <c r="K169" s="285"/>
    </row>
    <row r="170" spans="3:17" outlineLevel="1">
      <c r="C170" s="1465"/>
      <c r="D170" s="309"/>
      <c r="E170" s="245"/>
      <c r="F170" s="203"/>
      <c r="G170" s="1466"/>
      <c r="H170" s="1467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8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9"/>
      <c r="D176" s="203"/>
      <c r="E176" s="1466"/>
      <c r="F176" s="203"/>
      <c r="G176" s="203"/>
      <c r="H176" s="1467"/>
      <c r="I176" s="203"/>
      <c r="J176" s="284"/>
      <c r="K176" s="285"/>
      <c r="O176" s="298"/>
      <c r="Q176" s="298"/>
    </row>
    <row r="177" spans="3:15" outlineLevel="1">
      <c r="C177" s="1465"/>
      <c r="D177" s="309"/>
      <c r="E177" s="245"/>
      <c r="F177" s="203"/>
      <c r="G177" s="1466"/>
      <c r="H177" s="1467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8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9"/>
      <c r="D183" s="203"/>
      <c r="E183" s="1466"/>
      <c r="F183" s="203"/>
      <c r="G183" s="203"/>
      <c r="H183" s="1467"/>
      <c r="I183" s="203"/>
      <c r="J183" s="284"/>
      <c r="K183" s="285"/>
      <c r="O183" s="1470"/>
    </row>
    <row r="184" spans="3:15" outlineLevel="1">
      <c r="C184" s="1465"/>
      <c r="D184" s="309"/>
      <c r="E184" s="245"/>
      <c r="F184" s="203"/>
      <c r="G184" s="1466"/>
      <c r="H184" s="1467"/>
      <c r="I184" s="203"/>
      <c r="J184" s="284"/>
      <c r="K184" s="285"/>
      <c r="O184" s="1470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70"/>
    </row>
    <row r="186" spans="3:15" outlineLevel="1">
      <c r="D186" s="244"/>
      <c r="E186" s="1468"/>
      <c r="F186" s="238"/>
      <c r="G186" s="238"/>
      <c r="H186" s="238"/>
      <c r="I186" s="237"/>
      <c r="J186" s="222"/>
      <c r="K186" s="222"/>
      <c r="O186" s="1470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70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70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70"/>
    </row>
    <row r="190" spans="3:15" outlineLevel="1">
      <c r="C190" s="1469"/>
      <c r="D190" s="203"/>
      <c r="E190" s="1466"/>
      <c r="F190" s="203"/>
      <c r="G190" s="203"/>
      <c r="H190" s="1467"/>
      <c r="I190" s="203"/>
      <c r="J190" s="284"/>
      <c r="K190" s="285"/>
      <c r="O190" s="1470"/>
    </row>
    <row r="191" spans="3:15" outlineLevel="1">
      <c r="C191" s="1465"/>
      <c r="D191" s="309"/>
      <c r="E191" s="245"/>
      <c r="F191" s="203"/>
      <c r="G191" s="1466"/>
      <c r="H191" s="1467"/>
      <c r="I191" s="203"/>
      <c r="J191" s="284"/>
      <c r="K191" s="285"/>
      <c r="O191" s="1470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70"/>
    </row>
    <row r="193" spans="3:15" outlineLevel="1">
      <c r="D193" s="244"/>
      <c r="E193" s="1468"/>
      <c r="F193" s="238"/>
      <c r="G193" s="238"/>
      <c r="H193" s="238"/>
      <c r="I193" s="237"/>
      <c r="J193" s="222"/>
      <c r="K193" s="222"/>
      <c r="O193" s="1470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70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70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70"/>
    </row>
    <row r="197" spans="3:15" outlineLevel="1">
      <c r="C197" s="1469"/>
      <c r="D197" s="203"/>
      <c r="E197" s="1466"/>
      <c r="F197" s="203"/>
      <c r="G197" s="203"/>
      <c r="H197" s="1467"/>
      <c r="I197" s="203"/>
      <c r="J197" s="284"/>
      <c r="K197" s="285"/>
      <c r="O197" s="1470"/>
    </row>
    <row r="198" spans="3:15" outlineLevel="1">
      <c r="C198" s="1465"/>
      <c r="D198" s="309"/>
      <c r="E198" s="245"/>
      <c r="F198" s="203"/>
      <c r="G198" s="1466"/>
      <c r="H198" s="1467"/>
      <c r="I198" s="203"/>
      <c r="J198" s="284"/>
      <c r="K198" s="285"/>
      <c r="O198" s="1470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70"/>
    </row>
    <row r="200" spans="3:15" outlineLevel="1">
      <c r="D200" s="244"/>
      <c r="E200" s="1468"/>
      <c r="F200" s="238"/>
      <c r="G200" s="238"/>
      <c r="H200" s="238"/>
      <c r="I200" s="237"/>
      <c r="J200" s="222"/>
      <c r="K200" s="222"/>
      <c r="O200" s="1470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70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70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70"/>
    </row>
    <row r="204" spans="3:15" outlineLevel="1">
      <c r="C204" s="1469"/>
      <c r="D204" s="203"/>
      <c r="E204" s="1466"/>
      <c r="F204" s="203"/>
      <c r="G204" s="203"/>
      <c r="H204" s="1467"/>
      <c r="I204" s="203"/>
      <c r="J204" s="284"/>
      <c r="K204" s="285"/>
      <c r="O204" s="1470"/>
    </row>
    <row r="205" spans="3:15" outlineLevel="1">
      <c r="O205" s="1470"/>
    </row>
    <row r="206" spans="3:15" outlineLevel="1">
      <c r="C206" s="288"/>
      <c r="D206" s="288"/>
      <c r="E206" s="288"/>
      <c r="J206" s="1471"/>
      <c r="O206" s="1470"/>
    </row>
    <row r="207" spans="3:15" outlineLevel="1">
      <c r="O207" s="1470"/>
    </row>
    <row r="208" spans="3:15" outlineLevel="1"/>
    <row r="209" spans="3:11" ht="16.5" outlineLevel="1">
      <c r="C209" s="1464"/>
    </row>
    <row r="210" spans="3:11" outlineLevel="1">
      <c r="C210" s="1465"/>
      <c r="D210" s="309"/>
      <c r="E210" s="245"/>
      <c r="F210" s="203"/>
      <c r="G210" s="1466"/>
      <c r="H210" s="1467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8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9"/>
      <c r="D216" s="203"/>
      <c r="E216" s="1466"/>
      <c r="F216" s="203"/>
      <c r="G216" s="203"/>
      <c r="H216" s="1467"/>
      <c r="I216" s="203"/>
      <c r="J216" s="284"/>
      <c r="K216" s="285"/>
    </row>
    <row r="217" spans="3:11" outlineLevel="1">
      <c r="C217" s="1465"/>
      <c r="D217" s="309"/>
      <c r="E217" s="245"/>
      <c r="F217" s="203"/>
      <c r="G217" s="1466"/>
      <c r="H217" s="1467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72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7"/>
      <c r="I223" s="203"/>
      <c r="J223" s="284"/>
      <c r="K223" s="285"/>
    </row>
    <row r="224" spans="3:11" outlineLevel="1">
      <c r="C224" s="1465"/>
      <c r="D224" s="309"/>
      <c r="E224" s="245"/>
      <c r="F224" s="203"/>
      <c r="G224" s="1466"/>
      <c r="H224" s="1467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3"/>
      <c r="F226" s="238"/>
      <c r="G226" s="238"/>
      <c r="H226" s="1472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4"/>
      <c r="D230" s="203"/>
      <c r="E230" s="1466"/>
      <c r="F230" s="203"/>
      <c r="G230" s="203"/>
      <c r="H230" s="1467"/>
      <c r="I230" s="203"/>
      <c r="J230" s="284"/>
      <c r="K230" s="285"/>
    </row>
    <row r="231" spans="3:11" outlineLevel="1">
      <c r="C231" s="1465"/>
      <c r="D231" s="309"/>
      <c r="E231" s="245"/>
      <c r="F231" s="203"/>
      <c r="G231" s="1466"/>
      <c r="H231" s="1467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72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7"/>
      <c r="I237" s="203"/>
      <c r="J237" s="284"/>
      <c r="K237" s="285"/>
    </row>
    <row r="238" spans="3:11" outlineLevel="1">
      <c r="C238" s="1465"/>
      <c r="D238" s="309"/>
      <c r="E238" s="245"/>
      <c r="F238" s="203"/>
      <c r="G238" s="1466"/>
      <c r="H238" s="1467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3"/>
      <c r="F240" s="238"/>
      <c r="G240" s="238"/>
      <c r="H240" s="1472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4"/>
      <c r="D244" s="203"/>
      <c r="E244" s="1466"/>
      <c r="F244" s="203"/>
      <c r="G244" s="203"/>
      <c r="H244" s="1467"/>
      <c r="I244" s="203"/>
      <c r="J244" s="284"/>
      <c r="K244" s="285"/>
    </row>
    <row r="245" spans="3:11" outlineLevel="1">
      <c r="C245" s="1465"/>
      <c r="D245" s="1466"/>
      <c r="E245" s="203"/>
      <c r="F245" s="203"/>
      <c r="G245" s="1466"/>
      <c r="H245" s="1467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8"/>
      <c r="F247" s="238"/>
      <c r="G247" s="238"/>
      <c r="H247" s="1472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4"/>
      <c r="D251" s="203"/>
      <c r="E251" s="1466"/>
      <c r="F251" s="203"/>
      <c r="G251" s="203"/>
      <c r="H251" s="1467"/>
      <c r="I251" s="203"/>
      <c r="J251" s="284"/>
      <c r="K251" s="285"/>
    </row>
    <row r="252" spans="3:11" outlineLevel="1">
      <c r="C252" s="1465"/>
      <c r="D252" s="1466"/>
      <c r="E252" s="203"/>
      <c r="F252" s="203"/>
      <c r="G252" s="1466"/>
      <c r="H252" s="1467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72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4"/>
      <c r="D258" s="203"/>
      <c r="E258" s="1466"/>
      <c r="F258" s="203"/>
      <c r="G258" s="203"/>
      <c r="H258" s="1467"/>
      <c r="I258" s="203"/>
      <c r="J258" s="284"/>
      <c r="K258" s="285"/>
    </row>
    <row r="259" spans="3:11" outlineLevel="1">
      <c r="C259" s="1465"/>
      <c r="D259" s="1466"/>
      <c r="E259" s="203"/>
      <c r="F259" s="203"/>
      <c r="G259" s="1466"/>
      <c r="H259" s="1467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72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4"/>
      <c r="D265" s="203"/>
      <c r="E265" s="1466"/>
      <c r="F265" s="203"/>
      <c r="G265" s="203"/>
      <c r="H265" s="1467"/>
      <c r="I265" s="203"/>
      <c r="J265" s="284"/>
      <c r="K265" s="285"/>
    </row>
    <row r="266" spans="3:11" outlineLevel="1"/>
    <row r="267" spans="3:11" outlineLevel="1">
      <c r="C267" s="288"/>
      <c r="D267" s="288"/>
      <c r="E267" s="1475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abSelected="1" topLeftCell="A232" zoomScaleNormal="100" workbookViewId="0">
      <selection activeCell="J248" sqref="J248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71" t="s">
        <v>988</v>
      </c>
      <c r="J4" s="717">
        <f>GapCalc!D41</f>
        <v>5402867.0285388231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722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723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724</v>
      </c>
      <c r="AK11" s="966"/>
      <c r="AL11" s="967"/>
      <c r="AM11" s="968"/>
      <c r="AN11" s="969"/>
      <c r="AO11" s="969"/>
      <c r="AP11" s="968"/>
      <c r="AQ11" s="970" t="s">
        <v>725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601" t="s">
        <v>84</v>
      </c>
      <c r="G14" s="1602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347</v>
      </c>
      <c r="D15" s="988"/>
      <c r="E15" s="975"/>
      <c r="F15" s="975"/>
      <c r="G15" s="975" t="s">
        <v>726</v>
      </c>
      <c r="I15" s="981" t="s">
        <v>382</v>
      </c>
      <c r="J15" s="976"/>
      <c r="K15" s="975" t="s">
        <v>727</v>
      </c>
      <c r="L15" s="976"/>
      <c r="M15" s="989" t="s">
        <v>728</v>
      </c>
      <c r="N15" s="990"/>
      <c r="P15" s="991" t="s">
        <v>729</v>
      </c>
      <c r="Q15" s="992"/>
      <c r="R15" s="992"/>
      <c r="S15" s="992"/>
      <c r="U15" s="983" t="s">
        <v>730</v>
      </c>
      <c r="V15" s="983" t="s">
        <v>731</v>
      </c>
      <c r="X15" s="983" t="s">
        <v>732</v>
      </c>
      <c r="Z15" s="983" t="s">
        <v>733</v>
      </c>
      <c r="AB15" s="983" t="s">
        <v>734</v>
      </c>
      <c r="AD15" s="984" t="s">
        <v>735</v>
      </c>
      <c r="AF15" s="984" t="s">
        <v>736</v>
      </c>
      <c r="AH15" s="985" t="s">
        <v>737</v>
      </c>
      <c r="AJ15" s="993" t="s">
        <v>738</v>
      </c>
      <c r="AL15" s="985" t="s">
        <v>739</v>
      </c>
      <c r="AN15" s="984" t="s">
        <v>740</v>
      </c>
      <c r="AO15" s="984" t="s">
        <v>741</v>
      </c>
      <c r="AQ15" s="984" t="s">
        <v>742</v>
      </c>
      <c r="AR15" s="984" t="s">
        <v>743</v>
      </c>
      <c r="AS15" s="984" t="s">
        <v>744</v>
      </c>
      <c r="AT15" s="984" t="s">
        <v>745</v>
      </c>
      <c r="AU15" s="984" t="s">
        <v>746</v>
      </c>
      <c r="AV15" s="984" t="s">
        <v>747</v>
      </c>
      <c r="AW15" s="984" t="s">
        <v>748</v>
      </c>
      <c r="AX15" s="984" t="s">
        <v>749</v>
      </c>
      <c r="AY15" s="984" t="s">
        <v>750</v>
      </c>
      <c r="AZ15" s="984" t="s">
        <v>751</v>
      </c>
      <c r="BA15" s="984" t="s">
        <v>752</v>
      </c>
      <c r="BB15" s="984" t="s">
        <v>753</v>
      </c>
      <c r="BC15" s="984" t="s">
        <v>754</v>
      </c>
      <c r="BD15" s="984" t="s">
        <v>755</v>
      </c>
      <c r="BE15" s="984" t="s">
        <v>756</v>
      </c>
      <c r="BF15" s="984" t="s">
        <v>757</v>
      </c>
      <c r="BG15" s="984" t="s">
        <v>758</v>
      </c>
      <c r="BH15" s="984" t="s">
        <v>759</v>
      </c>
      <c r="BI15" s="984" t="s">
        <v>760</v>
      </c>
      <c r="BJ15" s="984" t="s">
        <v>761</v>
      </c>
      <c r="BK15" s="984" t="s">
        <v>762</v>
      </c>
      <c r="BL15" s="984" t="s">
        <v>763</v>
      </c>
      <c r="BM15" s="984" t="s">
        <v>764</v>
      </c>
      <c r="BN15" s="984" t="s">
        <v>765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87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994</v>
      </c>
      <c r="N17" s="1517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845"/>
      <c r="C18" s="1625" t="s">
        <v>640</v>
      </c>
      <c r="D18" s="1625"/>
      <c r="E18" s="1626">
        <f>N18</f>
        <v>6565000</v>
      </c>
      <c r="F18" s="1627"/>
      <c r="G18" s="1628">
        <f>E18</f>
        <v>6565000</v>
      </c>
      <c r="H18" s="1629"/>
      <c r="I18" s="1629">
        <f>G18/$F$9</f>
        <v>65000</v>
      </c>
      <c r="J18" s="1003"/>
      <c r="K18" s="1004"/>
      <c r="L18" s="1004"/>
      <c r="M18" s="1276">
        <f>F9*N17</f>
        <v>6565000</v>
      </c>
      <c r="N18" s="1518">
        <v>6565000</v>
      </c>
      <c r="O18" s="1005"/>
      <c r="P18" s="1006"/>
      <c r="Q18" s="845" t="s">
        <v>766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6565000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845"/>
      <c r="C19" s="1625" t="s">
        <v>641</v>
      </c>
      <c r="D19" s="1625"/>
      <c r="E19" s="1630"/>
      <c r="F19" s="1631"/>
      <c r="G19" s="1632">
        <f>SUM(F20:F22)</f>
        <v>25000</v>
      </c>
      <c r="H19" s="1629"/>
      <c r="I19" s="1629">
        <f t="shared" ref="I19:I82" si="0">G19/$F$9</f>
        <v>247.52475247524754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767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845"/>
      <c r="C20" s="1633"/>
      <c r="D20" s="1625" t="s">
        <v>642</v>
      </c>
      <c r="E20" s="1630"/>
      <c r="F20" s="1631">
        <v>10000</v>
      </c>
      <c r="G20" s="1632"/>
      <c r="H20" s="1629"/>
      <c r="I20" s="1629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768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845"/>
      <c r="C21" s="1633"/>
      <c r="D21" s="1625" t="s">
        <v>643</v>
      </c>
      <c r="E21" s="1634">
        <v>0</v>
      </c>
      <c r="F21" s="1631">
        <f>E21*G18</f>
        <v>0</v>
      </c>
      <c r="G21" s="1632"/>
      <c r="H21" s="1629"/>
      <c r="I21" s="1629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845"/>
      <c r="C22" s="1633"/>
      <c r="D22" s="1625" t="s">
        <v>644</v>
      </c>
      <c r="E22" s="1630"/>
      <c r="F22" s="1631">
        <v>15000</v>
      </c>
      <c r="G22" s="1632"/>
      <c r="H22" s="1629"/>
      <c r="I22" s="1629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845"/>
      <c r="C23" s="1625" t="s">
        <v>645</v>
      </c>
      <c r="D23" s="1625"/>
      <c r="E23" s="1635">
        <v>150000</v>
      </c>
      <c r="F23" s="1631"/>
      <c r="G23" s="1632">
        <f>E23</f>
        <v>150000</v>
      </c>
      <c r="H23" s="1629"/>
      <c r="I23" s="1629">
        <f t="shared" si="0"/>
        <v>1485.1485148514851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845"/>
      <c r="C24" s="1625" t="s">
        <v>646</v>
      </c>
      <c r="D24" s="1625"/>
      <c r="E24" s="1636"/>
      <c r="F24" s="1631"/>
      <c r="G24" s="1632">
        <f>SUM(F25:F26)</f>
        <v>0</v>
      </c>
      <c r="H24" s="1629"/>
      <c r="I24" s="1629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845"/>
      <c r="C25" s="1633"/>
      <c r="D25" s="1625" t="s">
        <v>647</v>
      </c>
      <c r="E25" s="1637">
        <f>5</f>
        <v>5</v>
      </c>
      <c r="F25" s="1638">
        <v>0</v>
      </c>
      <c r="G25" s="1632"/>
      <c r="H25" s="1629"/>
      <c r="I25" s="1629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845"/>
      <c r="C26" s="1633"/>
      <c r="D26" s="1625" t="s">
        <v>648</v>
      </c>
      <c r="E26" s="1637">
        <v>7</v>
      </c>
      <c r="F26" s="1638">
        <v>0</v>
      </c>
      <c r="G26" s="1632"/>
      <c r="H26" s="1629"/>
      <c r="I26" s="1629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845"/>
      <c r="C27" s="1625" t="s">
        <v>769</v>
      </c>
      <c r="D27" s="1625"/>
      <c r="E27" s="1639"/>
      <c r="F27" s="1631"/>
      <c r="G27" s="1632">
        <v>0</v>
      </c>
      <c r="H27" s="1629"/>
      <c r="I27" s="1629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1"/>
      <c r="B28" s="1182"/>
      <c r="C28" s="1640" t="s">
        <v>770</v>
      </c>
      <c r="D28" s="1641"/>
      <c r="E28" s="1642"/>
      <c r="F28" s="1643"/>
      <c r="G28" s="1644">
        <f>SUM(G18:G27)</f>
        <v>6740000</v>
      </c>
      <c r="H28" s="1645"/>
      <c r="I28" s="1646">
        <f t="shared" si="0"/>
        <v>66732.67326732674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6740000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845"/>
      <c r="C29" s="1647" t="s">
        <v>90</v>
      </c>
      <c r="D29" s="1625"/>
      <c r="E29" s="1648"/>
      <c r="F29" s="1631"/>
      <c r="G29" s="1649"/>
      <c r="H29" s="1650"/>
      <c r="I29" s="1629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845"/>
      <c r="C30" s="1625" t="s">
        <v>707</v>
      </c>
      <c r="D30" s="1625"/>
      <c r="E30" s="1651">
        <v>0</v>
      </c>
      <c r="F30" s="1631"/>
      <c r="G30" s="1649">
        <v>0</v>
      </c>
      <c r="H30" s="1650"/>
      <c r="I30" s="1629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845"/>
      <c r="C31" s="1625" t="s">
        <v>708</v>
      </c>
      <c r="D31" s="1625"/>
      <c r="E31" s="1626">
        <v>35</v>
      </c>
      <c r="F31" s="1631"/>
      <c r="G31" s="1652">
        <f>E31*'Construction Calculation'!G11</f>
        <v>0</v>
      </c>
      <c r="H31" s="1653"/>
      <c r="I31" s="1629">
        <f t="shared" si="0"/>
        <v>0</v>
      </c>
      <c r="J31" s="1003"/>
      <c r="K31" s="1030"/>
      <c r="L31" s="935"/>
      <c r="M31" s="1401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845"/>
      <c r="C32" s="1625" t="s">
        <v>94</v>
      </c>
      <c r="D32" s="1625"/>
      <c r="E32" s="1654"/>
      <c r="F32" s="1655"/>
      <c r="G32" s="1649">
        <f>F33+F35</f>
        <v>29588400</v>
      </c>
      <c r="H32" s="1650"/>
      <c r="I32" s="1629">
        <f t="shared" si="0"/>
        <v>292954.45544554456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32547240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845"/>
      <c r="C33" s="1625"/>
      <c r="D33" s="1625" t="s">
        <v>669</v>
      </c>
      <c r="E33" s="1656">
        <v>300</v>
      </c>
      <c r="F33" s="1657">
        <f>E33*'Construction Calculation'!C14</f>
        <v>29588400</v>
      </c>
      <c r="G33" s="1649"/>
      <c r="H33" s="1650"/>
      <c r="I33" s="1629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845"/>
      <c r="C34" s="1625"/>
      <c r="D34" s="1625" t="s">
        <v>709</v>
      </c>
      <c r="E34" s="1656">
        <v>35</v>
      </c>
      <c r="F34" s="1657">
        <v>0</v>
      </c>
      <c r="G34" s="1649"/>
      <c r="H34" s="1650"/>
      <c r="I34" s="1629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845"/>
      <c r="C35" s="1625"/>
      <c r="D35" s="1625" t="s">
        <v>691</v>
      </c>
      <c r="E35" s="1656">
        <f>'Construction Calculation'!G49</f>
        <v>143</v>
      </c>
      <c r="F35" s="1657">
        <f>'Construction Calculation'!I55</f>
        <v>0</v>
      </c>
      <c r="G35" s="1649">
        <f>0*F35</f>
        <v>0</v>
      </c>
      <c r="H35" s="1650"/>
      <c r="I35" s="1629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845"/>
      <c r="C36" s="1633"/>
      <c r="D36" s="1625" t="s">
        <v>710</v>
      </c>
      <c r="E36" s="1658">
        <v>0.1</v>
      </c>
      <c r="F36" s="1659">
        <f>E36*(G32+G31+G30)</f>
        <v>2958840</v>
      </c>
      <c r="G36" s="1632">
        <f>F36</f>
        <v>2958840</v>
      </c>
      <c r="H36" s="1629"/>
      <c r="I36" s="1629">
        <f t="shared" si="0"/>
        <v>29295.445544554455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845"/>
      <c r="C37" s="1625" t="s">
        <v>711</v>
      </c>
      <c r="D37" s="1625"/>
      <c r="E37" s="1658">
        <v>7.0000000000000007E-2</v>
      </c>
      <c r="F37" s="1660"/>
      <c r="G37" s="1661">
        <f>SUM($G$29:$G$32,$G$20,$G$21)*E37</f>
        <v>2071188.0000000002</v>
      </c>
      <c r="H37" s="1662"/>
      <c r="I37" s="1629">
        <f t="shared" si="0"/>
        <v>20506.811881188121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2071188.0000000002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845"/>
      <c r="C38" s="1625" t="s">
        <v>712</v>
      </c>
      <c r="D38" s="1625"/>
      <c r="E38" s="1658">
        <v>0.05</v>
      </c>
      <c r="F38" s="1660"/>
      <c r="G38" s="1661">
        <f>SUM($G$29:$G$32,$G$20,$G$21)*E38</f>
        <v>1479420</v>
      </c>
      <c r="H38" s="1662"/>
      <c r="I38" s="1629">
        <f t="shared" si="0"/>
        <v>14647.722772277228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1479420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845"/>
      <c r="C39" s="1625" t="s">
        <v>713</v>
      </c>
      <c r="D39" s="1625"/>
      <c r="E39" s="1658">
        <v>0</v>
      </c>
      <c r="F39" s="1660"/>
      <c r="G39" s="1661">
        <f>SUM($G$29:$G$32,$G$20,$G$21)*E39</f>
        <v>0</v>
      </c>
      <c r="H39" s="1662"/>
      <c r="I39" s="1629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845"/>
      <c r="C40" s="1625" t="s">
        <v>714</v>
      </c>
      <c r="D40" s="1625"/>
      <c r="E40" s="1658">
        <v>1.4999999999999999E-2</v>
      </c>
      <c r="F40" s="1660"/>
      <c r="G40" s="1661">
        <f>SUM($G$29:$G$32,$G$20,$G$21)*E40</f>
        <v>443826</v>
      </c>
      <c r="H40" s="1662"/>
      <c r="I40" s="1629">
        <f t="shared" si="0"/>
        <v>4394.3168316831679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443826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845"/>
      <c r="C41" s="1625" t="s">
        <v>715</v>
      </c>
      <c r="D41" s="1625"/>
      <c r="E41" s="1658">
        <v>1.4999999999999999E-2</v>
      </c>
      <c r="F41" s="1663"/>
      <c r="G41" s="1661">
        <f>SUM($G$29:$G$33,$G$20,$G$21)*E41</f>
        <v>443826</v>
      </c>
      <c r="H41" s="1662"/>
      <c r="I41" s="1629">
        <f t="shared" si="0"/>
        <v>4394.3168316831679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443826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845"/>
      <c r="C42" s="1625" t="s">
        <v>224</v>
      </c>
      <c r="D42" s="1625"/>
      <c r="E42" s="1658">
        <v>0</v>
      </c>
      <c r="F42" s="1664"/>
      <c r="G42" s="1661">
        <f>SUM($G$29:$G$32,$G$20,$G$21)*E42</f>
        <v>0</v>
      </c>
      <c r="H42" s="1662"/>
      <c r="I42" s="1629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845"/>
      <c r="C43" s="1633" t="s">
        <v>716</v>
      </c>
      <c r="D43" s="1660"/>
      <c r="E43" s="1658">
        <v>0</v>
      </c>
      <c r="F43" s="1660"/>
      <c r="G43" s="1661">
        <f>SUM($G$29:$G$32,$G$20,$G$21)*E43</f>
        <v>0</v>
      </c>
      <c r="H43" s="1662"/>
      <c r="I43" s="1629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180"/>
      <c r="C44" s="1665" t="s">
        <v>717</v>
      </c>
      <c r="D44" s="1666"/>
      <c r="E44" s="1667"/>
      <c r="F44" s="1668"/>
      <c r="G44" s="1669">
        <f>SUM(G30:G43)+G23+G24</f>
        <v>37135500</v>
      </c>
      <c r="H44" s="1670"/>
      <c r="I44" s="1646">
        <f t="shared" si="0"/>
        <v>367678.21782178216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37135500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845"/>
      <c r="C45" s="1647" t="s">
        <v>718</v>
      </c>
      <c r="D45" s="1625"/>
      <c r="E45" s="1671">
        <v>0</v>
      </c>
      <c r="F45" s="1672"/>
      <c r="G45" s="1673">
        <f>E45*G44</f>
        <v>0</v>
      </c>
      <c r="H45" s="1674"/>
      <c r="I45" s="1629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183"/>
      <c r="C46" s="1665" t="s">
        <v>719</v>
      </c>
      <c r="D46" s="1675"/>
      <c r="E46" s="1676"/>
      <c r="F46" s="1677"/>
      <c r="G46" s="1644">
        <f>SUM(G44:G45)</f>
        <v>37135500</v>
      </c>
      <c r="H46" s="1645"/>
      <c r="I46" s="1646">
        <f t="shared" si="0"/>
        <v>367678.21782178216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37135500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845"/>
      <c r="C47" s="1647" t="s">
        <v>720</v>
      </c>
      <c r="D47" s="1625"/>
      <c r="E47" s="1678">
        <v>0.1</v>
      </c>
      <c r="F47" s="1679">
        <v>0.15</v>
      </c>
      <c r="G47" s="1649">
        <f>(E47*G46)</f>
        <v>3713550</v>
      </c>
      <c r="H47" s="1650"/>
      <c r="I47" s="1629">
        <f t="shared" si="0"/>
        <v>36767.821782178216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3713550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845"/>
      <c r="C48" s="1680" t="s">
        <v>721</v>
      </c>
      <c r="D48" s="1625"/>
      <c r="E48" s="1681"/>
      <c r="F48" s="1682"/>
      <c r="G48" s="1649"/>
      <c r="H48" s="1650"/>
      <c r="I48" s="1629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845"/>
      <c r="C49" s="1683"/>
      <c r="D49" s="1625" t="s">
        <v>771</v>
      </c>
      <c r="E49" s="1655"/>
      <c r="F49" s="1655">
        <f>335*F9</f>
        <v>33835</v>
      </c>
      <c r="G49" s="1684">
        <f>F49</f>
        <v>33835</v>
      </c>
      <c r="H49" s="1685"/>
      <c r="I49" s="1629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845"/>
      <c r="C50" s="1683"/>
      <c r="D50" s="1625" t="s">
        <v>772</v>
      </c>
      <c r="E50" s="1655">
        <v>0</v>
      </c>
      <c r="F50" s="1655">
        <f>368*F9</f>
        <v>37168</v>
      </c>
      <c r="G50" s="1684">
        <f>F50</f>
        <v>37168</v>
      </c>
      <c r="H50" s="1685"/>
      <c r="I50" s="1629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845"/>
      <c r="C51" s="1680"/>
      <c r="D51" s="1625" t="s">
        <v>773</v>
      </c>
      <c r="E51" s="1682">
        <v>0</v>
      </c>
      <c r="F51" s="1682">
        <v>1225</v>
      </c>
      <c r="G51" s="1684">
        <f>F51</f>
        <v>1225</v>
      </c>
      <c r="H51" s="1650"/>
      <c r="I51" s="1629">
        <f t="shared" si="0"/>
        <v>12.128712871287128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858"/>
      <c r="C52" s="1680" t="s">
        <v>774</v>
      </c>
      <c r="D52" s="1647"/>
      <c r="E52" s="1686"/>
      <c r="F52" s="1687"/>
      <c r="G52" s="1688">
        <f>SUM(F49:F51)</f>
        <v>72228</v>
      </c>
      <c r="H52" s="1689"/>
      <c r="I52" s="1629">
        <f t="shared" si="0"/>
        <v>715.12871287128712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72228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845"/>
      <c r="C53" s="1647" t="s">
        <v>775</v>
      </c>
      <c r="D53" s="1625"/>
      <c r="E53" s="1690"/>
      <c r="F53" s="1672"/>
      <c r="G53" s="1649"/>
      <c r="H53" s="1650"/>
      <c r="I53" s="1629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845"/>
      <c r="C54" s="1625" t="s">
        <v>385</v>
      </c>
      <c r="D54" s="1625"/>
      <c r="E54" s="1691"/>
      <c r="F54" s="1672"/>
      <c r="G54" s="1649">
        <f>SUM(F55:F56)</f>
        <v>1331800</v>
      </c>
      <c r="H54" s="1650"/>
      <c r="I54" s="1629">
        <f t="shared" si="0"/>
        <v>13186.138613861385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1331800</v>
      </c>
      <c r="Y54" s="972"/>
      <c r="Z54" s="972"/>
      <c r="AA54"/>
      <c r="AB54" s="972">
        <v>40636.275750000001</v>
      </c>
    </row>
    <row r="55" spans="1:28" ht="15.75">
      <c r="A55" s="3"/>
      <c r="B55" s="845"/>
      <c r="C55" s="1625"/>
      <c r="D55" s="1625" t="s">
        <v>776</v>
      </c>
      <c r="E55" s="1633"/>
      <c r="F55" s="1662">
        <v>163800</v>
      </c>
      <c r="G55" s="1692"/>
      <c r="H55" s="1693"/>
      <c r="I55" s="1629">
        <f t="shared" si="0"/>
        <v>0</v>
      </c>
      <c r="J55" s="1051"/>
      <c r="K55" s="1054"/>
      <c r="L55" s="1001"/>
      <c r="M55" s="1050" t="s">
        <v>1089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845"/>
      <c r="C56" s="1625"/>
      <c r="D56" s="1625" t="s">
        <v>385</v>
      </c>
      <c r="E56" s="1671">
        <v>0.06</v>
      </c>
      <c r="F56" s="1655">
        <f>M56</f>
        <v>1168000</v>
      </c>
      <c r="G56" s="1692"/>
      <c r="H56" s="1693"/>
      <c r="I56" s="1629">
        <f>G56/$F$9</f>
        <v>0</v>
      </c>
      <c r="J56" s="1051"/>
      <c r="K56" s="1055" t="s">
        <v>984</v>
      </c>
      <c r="L56" s="1056"/>
      <c r="M56" s="1515">
        <f>SUM(M57:M58)</f>
        <v>1168000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845"/>
      <c r="C57" s="1625" t="s">
        <v>777</v>
      </c>
      <c r="D57" s="1625"/>
      <c r="E57" s="1694">
        <v>6.5000000000000002E-2</v>
      </c>
      <c r="F57" s="1655"/>
      <c r="G57" s="1695">
        <f>E57*F56</f>
        <v>75920</v>
      </c>
      <c r="H57" s="1696"/>
      <c r="I57" s="1629">
        <f t="shared" si="0"/>
        <v>751.68316831683171</v>
      </c>
      <c r="J57" s="1003"/>
      <c r="K57" s="1057"/>
      <c r="L57" s="1058"/>
      <c r="M57" s="1059">
        <f>(5000*F9)*1.6</f>
        <v>808000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75920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845"/>
      <c r="C58" s="1625" t="s">
        <v>778</v>
      </c>
      <c r="D58" s="1625"/>
      <c r="E58" s="1634"/>
      <c r="F58" s="1655"/>
      <c r="G58" s="1695">
        <v>30000</v>
      </c>
      <c r="H58" s="1696"/>
      <c r="I58" s="1629">
        <f t="shared" si="0"/>
        <v>297.02970297029702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858"/>
      <c r="C59" s="1680" t="s">
        <v>966</v>
      </c>
      <c r="D59" s="1647"/>
      <c r="E59" s="1697"/>
      <c r="F59" s="1698"/>
      <c r="G59" s="1699">
        <f>SUM(G54:G58)-SUM(F75:F76,G78:G79,G67:G69)</f>
        <v>1153881.25</v>
      </c>
      <c r="H59" s="1700"/>
      <c r="I59" s="1629">
        <f t="shared" si="0"/>
        <v>11424.566831683169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1437720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845"/>
      <c r="C60" s="1647" t="s">
        <v>967</v>
      </c>
      <c r="D60" s="1625"/>
      <c r="E60" s="1691"/>
      <c r="F60" s="1655"/>
      <c r="G60" s="1692"/>
      <c r="H60" s="1693"/>
      <c r="I60" s="1629">
        <f t="shared" si="0"/>
        <v>0</v>
      </c>
      <c r="J60" s="1051"/>
      <c r="K60" s="1049" t="s">
        <v>779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845"/>
      <c r="C61" s="1625" t="s">
        <v>385</v>
      </c>
      <c r="D61" s="1625"/>
      <c r="E61" s="1691"/>
      <c r="F61" s="1672"/>
      <c r="G61" s="1649">
        <v>0</v>
      </c>
      <c r="H61" s="1650"/>
      <c r="I61" s="1629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845"/>
      <c r="C62" s="1625"/>
      <c r="D62" s="1625" t="s">
        <v>776</v>
      </c>
      <c r="E62" s="1691"/>
      <c r="F62" s="1662">
        <v>0</v>
      </c>
      <c r="G62" s="1692"/>
      <c r="H62" s="1693"/>
      <c r="I62" s="1629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845"/>
      <c r="C63" s="1625"/>
      <c r="D63" s="1625" t="s">
        <v>385</v>
      </c>
      <c r="E63" s="1681">
        <v>0.06</v>
      </c>
      <c r="F63" s="1655">
        <v>0</v>
      </c>
      <c r="G63" s="1692"/>
      <c r="H63" s="1693"/>
      <c r="I63" s="1629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845"/>
      <c r="C64" s="1625" t="s">
        <v>777</v>
      </c>
      <c r="D64" s="1625"/>
      <c r="E64" s="1634">
        <v>0.15</v>
      </c>
      <c r="F64" s="1701"/>
      <c r="G64" s="1702">
        <f>+E64*F63</f>
        <v>0</v>
      </c>
      <c r="H64" s="1648"/>
      <c r="I64" s="1629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858"/>
      <c r="C65" s="1680" t="s">
        <v>780</v>
      </c>
      <c r="D65" s="1647"/>
      <c r="E65" s="1697"/>
      <c r="F65" s="1703"/>
      <c r="G65" s="1688">
        <f>SUM(G61:G64)</f>
        <v>0</v>
      </c>
      <c r="H65" s="1689"/>
      <c r="I65" s="1629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845"/>
      <c r="C66" s="1680" t="s">
        <v>368</v>
      </c>
      <c r="D66" s="1625"/>
      <c r="E66" s="1691"/>
      <c r="F66" s="1672"/>
      <c r="G66" s="1649"/>
      <c r="H66" s="1650"/>
      <c r="I66" s="1629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845"/>
      <c r="C67" s="1625" t="s">
        <v>781</v>
      </c>
      <c r="D67" s="1633"/>
      <c r="E67" s="1681">
        <v>2.5000000000000001E-3</v>
      </c>
      <c r="F67" s="1682"/>
      <c r="G67" s="1649">
        <f>(E67*G46)</f>
        <v>92838.75</v>
      </c>
      <c r="H67" s="1650"/>
      <c r="I67" s="1629">
        <f t="shared" si="0"/>
        <v>919.19554455445541</v>
      </c>
      <c r="J67" s="1065"/>
      <c r="K67" s="1066" t="s">
        <v>782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92838.75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845"/>
      <c r="C68" s="1625" t="s">
        <v>783</v>
      </c>
      <c r="D68" s="1633"/>
      <c r="E68" s="1704">
        <v>0</v>
      </c>
      <c r="F68" s="1682"/>
      <c r="G68" s="1702">
        <v>7000</v>
      </c>
      <c r="H68" s="1648"/>
      <c r="I68" s="1629">
        <f t="shared" si="0"/>
        <v>69.306930693069305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845"/>
      <c r="C69" s="1625" t="s">
        <v>395</v>
      </c>
      <c r="D69" s="1633"/>
      <c r="E69" s="1704"/>
      <c r="F69" s="1682"/>
      <c r="G69" s="1702">
        <f>F70+F71+F72+F73</f>
        <v>95000</v>
      </c>
      <c r="H69" s="1648"/>
      <c r="I69" s="1629">
        <f t="shared" si="0"/>
        <v>940.59405940594058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845"/>
      <c r="C70" s="1625"/>
      <c r="D70" s="1625" t="s">
        <v>784</v>
      </c>
      <c r="E70" s="1704"/>
      <c r="F70" s="1648">
        <v>0</v>
      </c>
      <c r="G70" s="1705"/>
      <c r="H70" s="1660"/>
      <c r="I70" s="1629">
        <f t="shared" si="0"/>
        <v>0</v>
      </c>
      <c r="J70" s="1003"/>
      <c r="K70" s="1067" t="s">
        <v>785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845"/>
      <c r="C71" s="1660"/>
      <c r="D71" s="1625" t="s">
        <v>786</v>
      </c>
      <c r="E71" s="1704"/>
      <c r="F71" s="1648">
        <v>8000</v>
      </c>
      <c r="G71" s="1705"/>
      <c r="H71" s="1660"/>
      <c r="I71" s="1629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845"/>
      <c r="C72" s="1660"/>
      <c r="D72" s="1625" t="s">
        <v>787</v>
      </c>
      <c r="E72" s="1704"/>
      <c r="F72" s="1648">
        <v>42000</v>
      </c>
      <c r="G72" s="1705"/>
      <c r="H72" s="1660"/>
      <c r="I72" s="1629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845"/>
      <c r="C73" s="1660"/>
      <c r="D73" s="1625" t="s">
        <v>773</v>
      </c>
      <c r="E73" s="1704"/>
      <c r="F73" s="1648">
        <v>45000</v>
      </c>
      <c r="G73" s="1705"/>
      <c r="H73" s="1660"/>
      <c r="I73" s="1629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845"/>
      <c r="C74" s="1625" t="s">
        <v>104</v>
      </c>
      <c r="D74" s="1633"/>
      <c r="E74" s="1706"/>
      <c r="F74" s="1682"/>
      <c r="G74" s="1649">
        <f>SUM(F75:F76)</f>
        <v>25000</v>
      </c>
      <c r="H74" s="1650"/>
      <c r="I74" s="1629">
        <f t="shared" si="0"/>
        <v>247.52475247524754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845"/>
      <c r="C75" s="1633"/>
      <c r="D75" s="1625" t="s">
        <v>788</v>
      </c>
      <c r="E75" s="1706"/>
      <c r="F75" s="1682">
        <v>20000</v>
      </c>
      <c r="G75" s="1649"/>
      <c r="H75" s="1650"/>
      <c r="I75" s="1629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845"/>
      <c r="C76" s="1633"/>
      <c r="D76" s="1625" t="s">
        <v>789</v>
      </c>
      <c r="E76" s="1706"/>
      <c r="F76" s="1682">
        <v>5000</v>
      </c>
      <c r="G76" s="1649"/>
      <c r="H76" s="1650"/>
      <c r="I76" s="1629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845"/>
      <c r="C77" s="1633"/>
      <c r="D77" s="1625" t="s">
        <v>790</v>
      </c>
      <c r="E77" s="1706"/>
      <c r="F77" s="1682">
        <v>0</v>
      </c>
      <c r="G77" s="1649"/>
      <c r="H77" s="1650"/>
      <c r="I77" s="1629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845"/>
      <c r="C78" s="1625" t="s">
        <v>791</v>
      </c>
      <c r="D78" s="1633"/>
      <c r="E78" s="1691"/>
      <c r="F78" s="1655"/>
      <c r="G78" s="1632">
        <v>30000</v>
      </c>
      <c r="H78" s="1629"/>
      <c r="I78" s="1629">
        <f t="shared" si="0"/>
        <v>297.02970297029702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845"/>
      <c r="C79" s="1625" t="s">
        <v>792</v>
      </c>
      <c r="D79" s="1633"/>
      <c r="E79" s="1691"/>
      <c r="F79" s="1655"/>
      <c r="G79" s="1632">
        <v>34000</v>
      </c>
      <c r="H79" s="1629"/>
      <c r="I79" s="1629">
        <f t="shared" si="0"/>
        <v>336.63366336633663</v>
      </c>
      <c r="J79" s="1003"/>
      <c r="K79" s="1070" t="s">
        <v>793</v>
      </c>
      <c r="L79" s="1036"/>
      <c r="M79" s="1002"/>
      <c r="N79" s="845"/>
      <c r="O79" s="845"/>
      <c r="P79" s="845" t="s">
        <v>794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858"/>
      <c r="C80" s="1680" t="s">
        <v>795</v>
      </c>
      <c r="D80" s="1647"/>
      <c r="E80" s="1686"/>
      <c r="F80" s="1687"/>
      <c r="G80" s="1688">
        <f>SUM(G67:G79)</f>
        <v>283838.75</v>
      </c>
      <c r="H80" s="1689"/>
      <c r="I80" s="1629">
        <f t="shared" si="0"/>
        <v>2810.2846534653463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283838.75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845"/>
      <c r="C81" s="1680" t="s">
        <v>796</v>
      </c>
      <c r="D81" s="1625"/>
      <c r="E81" s="1681"/>
      <c r="F81" s="1682"/>
      <c r="G81" s="1649"/>
      <c r="H81" s="1650"/>
      <c r="I81" s="1629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845"/>
      <c r="C82" s="1625" t="s">
        <v>797</v>
      </c>
      <c r="D82" s="1625"/>
      <c r="E82" s="1681"/>
      <c r="F82" s="1682"/>
      <c r="G82" s="1692">
        <v>0</v>
      </c>
      <c r="H82" s="1693"/>
      <c r="I82" s="1629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845"/>
      <c r="C83" s="1633"/>
      <c r="D83" s="1625" t="s">
        <v>968</v>
      </c>
      <c r="E83" s="1707">
        <v>4.08</v>
      </c>
      <c r="F83" s="1655">
        <v>0</v>
      </c>
      <c r="G83" s="1692"/>
      <c r="H83" s="1693"/>
      <c r="I83" s="1629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845"/>
      <c r="C84" s="1633"/>
      <c r="D84" s="1625"/>
      <c r="E84" s="1707"/>
      <c r="F84" s="1655"/>
      <c r="G84" s="1692"/>
      <c r="H84" s="1693"/>
      <c r="I84" s="1629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845"/>
      <c r="C85" s="1633"/>
      <c r="D85" s="1625"/>
      <c r="E85" s="1707"/>
      <c r="F85" s="1655"/>
      <c r="G85" s="1692"/>
      <c r="H85" s="1693"/>
      <c r="I85" s="1629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845"/>
      <c r="C86" s="1633"/>
      <c r="D86" s="1625"/>
      <c r="E86" s="1707"/>
      <c r="F86" s="1655"/>
      <c r="G86" s="1692"/>
      <c r="H86" s="1693"/>
      <c r="I86" s="1629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845"/>
      <c r="C87" s="1633"/>
      <c r="D87" s="1625"/>
      <c r="E87" s="1707"/>
      <c r="F87" s="1655"/>
      <c r="G87" s="1692"/>
      <c r="H87" s="1693"/>
      <c r="I87" s="1629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845"/>
      <c r="C88" s="1633"/>
      <c r="D88" s="1625"/>
      <c r="E88" s="1708"/>
      <c r="F88" s="1655">
        <v>0</v>
      </c>
      <c r="G88" s="1692"/>
      <c r="H88" s="1693"/>
      <c r="I88" s="1629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845"/>
      <c r="C89" s="1633"/>
      <c r="D89" s="1625"/>
      <c r="E89" s="1709">
        <v>0</v>
      </c>
      <c r="F89" s="1655">
        <v>0</v>
      </c>
      <c r="G89" s="1692"/>
      <c r="H89" s="1693"/>
      <c r="I89" s="1629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845"/>
      <c r="C90" s="1633" t="s">
        <v>413</v>
      </c>
      <c r="D90" s="1625"/>
      <c r="E90" s="1633"/>
      <c r="F90" s="1655"/>
      <c r="G90" s="1692">
        <f>SUM(F91:F96)</f>
        <v>1803349</v>
      </c>
      <c r="H90" s="1693"/>
      <c r="I90" s="1629">
        <f t="shared" si="3"/>
        <v>17854.940594059404</v>
      </c>
      <c r="J90" s="1046"/>
      <c r="K90" s="1061">
        <v>0</v>
      </c>
      <c r="L90" s="1024"/>
      <c r="M90" s="1002"/>
      <c r="N90" s="845"/>
      <c r="O90" s="845"/>
      <c r="P90" s="858" t="s">
        <v>798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1803349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845"/>
      <c r="C91" s="1633"/>
      <c r="D91" s="1625" t="s">
        <v>799</v>
      </c>
      <c r="E91" s="1681"/>
      <c r="F91" s="1710">
        <v>51432</v>
      </c>
      <c r="G91" s="1692">
        <v>100000</v>
      </c>
      <c r="H91" s="1693"/>
      <c r="I91" s="1629">
        <f t="shared" si="3"/>
        <v>990.09900990099015</v>
      </c>
      <c r="J91" s="1046"/>
      <c r="K91" s="1068" t="s">
        <v>800</v>
      </c>
      <c r="L91" s="1025"/>
      <c r="M91" s="1516">
        <f>'Permit Fee Breakdown'!F17</f>
        <v>7491</v>
      </c>
      <c r="N91" s="845"/>
      <c r="O91" s="845"/>
      <c r="P91" t="s">
        <v>801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845"/>
      <c r="C92" s="1633"/>
      <c r="D92" s="1625" t="s">
        <v>802</v>
      </c>
      <c r="E92" s="1681"/>
      <c r="F92" s="1711">
        <v>11500</v>
      </c>
      <c r="G92" s="1692"/>
      <c r="H92" s="1693"/>
      <c r="I92" s="1629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845"/>
      <c r="C93" s="1633"/>
      <c r="D93" s="1625" t="s">
        <v>803</v>
      </c>
      <c r="E93" s="1712"/>
      <c r="F93" s="1713">
        <v>285455</v>
      </c>
      <c r="G93" s="1692"/>
      <c r="H93" s="1693"/>
      <c r="I93" s="1629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845"/>
      <c r="C94" s="1633"/>
      <c r="D94" s="1625" t="s">
        <v>535</v>
      </c>
      <c r="E94" s="1633"/>
      <c r="F94" s="1711">
        <f>M94</f>
        <v>1190487</v>
      </c>
      <c r="G94" s="1692"/>
      <c r="H94" s="1693"/>
      <c r="I94" s="1629">
        <f t="shared" si="3"/>
        <v>0</v>
      </c>
      <c r="J94" s="1046"/>
      <c r="K94" s="1068" t="s">
        <v>800</v>
      </c>
      <c r="L94" s="1025"/>
      <c r="M94" s="1516">
        <f>11787*F9</f>
        <v>1190487</v>
      </c>
      <c r="N94" s="845"/>
      <c r="O94" s="845"/>
      <c r="P94" s="1076" t="s">
        <v>801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845"/>
      <c r="C95" s="1633"/>
      <c r="D95" s="1625" t="s">
        <v>804</v>
      </c>
      <c r="E95" s="1708">
        <v>2600</v>
      </c>
      <c r="F95" s="1713">
        <f>E95*F9</f>
        <v>262600</v>
      </c>
      <c r="G95" s="1692"/>
      <c r="H95" s="1693"/>
      <c r="I95" s="1629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845"/>
      <c r="C96" s="1633"/>
      <c r="D96" s="1625" t="s">
        <v>805</v>
      </c>
      <c r="E96" s="1671">
        <v>0</v>
      </c>
      <c r="F96" s="1713">
        <v>1875</v>
      </c>
      <c r="G96" s="1692"/>
      <c r="H96" s="1693"/>
      <c r="I96" s="1629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858"/>
      <c r="C97" s="1680" t="s">
        <v>806</v>
      </c>
      <c r="D97" s="1647"/>
      <c r="E97" s="1686"/>
      <c r="F97" s="1687"/>
      <c r="G97" s="1688">
        <f>SUM(G82:G96)</f>
        <v>1903349</v>
      </c>
      <c r="H97" s="1689"/>
      <c r="I97" s="1629">
        <f t="shared" si="3"/>
        <v>18845.039603960395</v>
      </c>
      <c r="J97" s="1048"/>
      <c r="K97" s="1080">
        <f>I97/I250</f>
        <v>3.4962967725343963E-2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1903349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845"/>
      <c r="C98" s="1680" t="s">
        <v>807</v>
      </c>
      <c r="D98" s="1625"/>
      <c r="E98" s="1681"/>
      <c r="F98" s="1682"/>
      <c r="G98" s="1692"/>
      <c r="H98" s="1693"/>
      <c r="I98" s="1629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845"/>
      <c r="C99" s="1625" t="s">
        <v>808</v>
      </c>
      <c r="D99" s="1625"/>
      <c r="E99" s="1681"/>
      <c r="F99" s="1682"/>
      <c r="G99" s="1692">
        <f>SUM(F100:F101)</f>
        <v>0</v>
      </c>
      <c r="H99" s="1693"/>
      <c r="I99" s="1629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845"/>
      <c r="C100" s="1633"/>
      <c r="D100" s="1625" t="s">
        <v>809</v>
      </c>
      <c r="E100" s="1696"/>
      <c r="F100" s="1657">
        <v>0</v>
      </c>
      <c r="G100" s="1692"/>
      <c r="H100" s="1693"/>
      <c r="I100" s="1629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845"/>
      <c r="C101" s="1633"/>
      <c r="D101" s="1625" t="s">
        <v>810</v>
      </c>
      <c r="E101" s="1633"/>
      <c r="F101" s="1657">
        <v>0</v>
      </c>
      <c r="G101" s="1692"/>
      <c r="H101" s="1693"/>
      <c r="I101" s="1629">
        <f t="shared" si="3"/>
        <v>0</v>
      </c>
      <c r="J101" s="1046"/>
      <c r="K101" s="1061" t="s">
        <v>811</v>
      </c>
      <c r="L101" s="1024"/>
      <c r="M101" s="1002" t="s">
        <v>581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845"/>
      <c r="C102" s="1633" t="s">
        <v>812</v>
      </c>
      <c r="D102" s="1625"/>
      <c r="E102" s="1633"/>
      <c r="F102" s="1655"/>
      <c r="G102" s="1692">
        <f>SUM(F103:F105)</f>
        <v>189193.28975942294</v>
      </c>
      <c r="H102" s="1693"/>
      <c r="I102" s="1629">
        <f t="shared" si="3"/>
        <v>1873.2008887071579</v>
      </c>
      <c r="J102" s="1046"/>
      <c r="K102" s="1054"/>
      <c r="L102" s="1001"/>
      <c r="M102" s="1082" t="s">
        <v>813</v>
      </c>
      <c r="N102" s="1083" t="s">
        <v>814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189193.28975942294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845"/>
      <c r="C103" s="1633"/>
      <c r="D103" s="1625" t="s">
        <v>809</v>
      </c>
      <c r="E103" s="1714">
        <v>0.05</v>
      </c>
      <c r="F103" s="1655">
        <f>E103*N103</f>
        <v>174193.28975942294</v>
      </c>
      <c r="G103" s="1692"/>
      <c r="H103" s="1693"/>
      <c r="I103" s="1629">
        <f t="shared" si="3"/>
        <v>0</v>
      </c>
      <c r="J103" s="1046"/>
      <c r="K103" s="1054" t="s">
        <v>815</v>
      </c>
      <c r="L103" s="1001"/>
      <c r="M103" s="1084">
        <f>(0.7*G234)+(0.9*(SUM(G97,G59,)+(0.5*G120)))</f>
        <v>3540955.6032837802</v>
      </c>
      <c r="N103" s="1085">
        <v>3483865.7951884586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845"/>
      <c r="C104" s="1633"/>
      <c r="D104" s="1625" t="s">
        <v>816</v>
      </c>
      <c r="E104" s="1633"/>
      <c r="F104" s="1655"/>
      <c r="G104" s="1692"/>
      <c r="H104" s="1693"/>
      <c r="I104" s="1629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845"/>
      <c r="C105" s="1633"/>
      <c r="D105" s="1625" t="s">
        <v>817</v>
      </c>
      <c r="E105" s="1633"/>
      <c r="F105" s="1655">
        <v>15000</v>
      </c>
      <c r="G105" s="1692"/>
      <c r="H105" s="1693"/>
      <c r="I105" s="1629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845"/>
      <c r="C106" s="1633" t="s">
        <v>818</v>
      </c>
      <c r="D106" s="1625"/>
      <c r="E106" s="1633"/>
      <c r="F106" s="1655"/>
      <c r="G106" s="1692">
        <f>SUM(F107:F109)</f>
        <v>0</v>
      </c>
      <c r="H106" s="1693"/>
      <c r="I106" s="1629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845"/>
      <c r="C107" s="1633"/>
      <c r="D107" s="1625" t="s">
        <v>809</v>
      </c>
      <c r="E107" s="1633"/>
      <c r="F107" s="1655">
        <f>N107</f>
        <v>0</v>
      </c>
      <c r="G107" s="1692"/>
      <c r="H107" s="1693"/>
      <c r="I107" s="1629">
        <f t="shared" si="3"/>
        <v>0</v>
      </c>
      <c r="J107" s="1046"/>
      <c r="K107" s="1054" t="s">
        <v>815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845"/>
      <c r="C108" s="1633"/>
      <c r="D108" s="1625" t="s">
        <v>816</v>
      </c>
      <c r="E108" s="1633"/>
      <c r="F108" s="1655">
        <f>N108</f>
        <v>0</v>
      </c>
      <c r="G108" s="1692"/>
      <c r="H108" s="1693"/>
      <c r="I108" s="1629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845"/>
      <c r="C109" s="1633"/>
      <c r="D109" s="1625" t="s">
        <v>817</v>
      </c>
      <c r="E109" s="1633"/>
      <c r="F109" s="1655"/>
      <c r="G109" s="1692"/>
      <c r="H109" s="1693"/>
      <c r="I109" s="1629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845"/>
      <c r="C110" s="1633" t="s">
        <v>819</v>
      </c>
      <c r="D110" s="1625"/>
      <c r="E110" s="1633"/>
      <c r="F110" s="1655"/>
      <c r="G110" s="1692">
        <f>SUM(F111:F113)</f>
        <v>0</v>
      </c>
      <c r="H110" s="1693"/>
      <c r="I110" s="1629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845"/>
      <c r="C111" s="1633"/>
      <c r="D111" s="1625" t="s">
        <v>809</v>
      </c>
      <c r="E111" s="1633"/>
      <c r="F111" s="1655">
        <f>N111</f>
        <v>0</v>
      </c>
      <c r="G111" s="1692"/>
      <c r="H111" s="1693"/>
      <c r="I111" s="1629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845"/>
      <c r="C112" s="1633"/>
      <c r="D112" s="1625" t="s">
        <v>816</v>
      </c>
      <c r="E112" s="1633"/>
      <c r="F112" s="1655">
        <f>N112</f>
        <v>0</v>
      </c>
      <c r="G112" s="1692"/>
      <c r="H112" s="1693"/>
      <c r="I112" s="1629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845"/>
      <c r="C113" s="1633"/>
      <c r="D113" s="1625" t="s">
        <v>817</v>
      </c>
      <c r="E113" s="1633"/>
      <c r="F113" s="1655"/>
      <c r="G113" s="1692"/>
      <c r="H113" s="1693"/>
      <c r="I113" s="1629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858"/>
      <c r="C114" s="1680" t="s">
        <v>820</v>
      </c>
      <c r="D114" s="1647"/>
      <c r="E114" s="1697"/>
      <c r="F114" s="1703"/>
      <c r="G114" s="1688">
        <f>SUM(G99:G110)</f>
        <v>189193.28975942294</v>
      </c>
      <c r="H114" s="1689"/>
      <c r="I114" s="1629">
        <f t="shared" si="3"/>
        <v>1873.2008887071579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189193.28975942294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845"/>
      <c r="C115" s="1647" t="s">
        <v>821</v>
      </c>
      <c r="D115" s="1625"/>
      <c r="E115" s="1691"/>
      <c r="F115" s="1655"/>
      <c r="G115" s="1649"/>
      <c r="H115" s="1650"/>
      <c r="I115" s="1629">
        <f>G115/$F$9</f>
        <v>0</v>
      </c>
      <c r="J115" s="1051"/>
      <c r="K115" s="1054"/>
      <c r="L115" s="1001"/>
      <c r="M115" s="1082" t="s">
        <v>813</v>
      </c>
      <c r="N115" s="1083" t="s">
        <v>814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845"/>
      <c r="C116" s="1715" t="s">
        <v>108</v>
      </c>
      <c r="D116" s="1715"/>
      <c r="E116" s="1716"/>
      <c r="F116" s="1717"/>
      <c r="G116" s="1718">
        <f>N116</f>
        <v>2821058.682502347</v>
      </c>
      <c r="H116" s="1719"/>
      <c r="I116" s="1629">
        <f t="shared" si="3"/>
        <v>27931.274084181652</v>
      </c>
      <c r="J116" s="1088"/>
      <c r="K116" s="1089" t="s">
        <v>822</v>
      </c>
      <c r="L116" s="1039"/>
      <c r="M116" s="1090">
        <f>0.5*Data!C20*Data!C17/12*Data!C19</f>
        <v>2494667.1750000003</v>
      </c>
      <c r="N116" s="1091">
        <v>2821058.682502347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2821058.682502347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845"/>
      <c r="C117" s="1625" t="s">
        <v>823</v>
      </c>
      <c r="D117" s="1625"/>
      <c r="E117" s="1691"/>
      <c r="F117" s="1655"/>
      <c r="G117" s="1720">
        <f>N117</f>
        <v>400150.16773082933</v>
      </c>
      <c r="H117" s="1721"/>
      <c r="I117" s="1629">
        <f t="shared" si="3"/>
        <v>3961.8828488200925</v>
      </c>
      <c r="J117" s="1003"/>
      <c r="K117" s="1093" t="s">
        <v>824</v>
      </c>
      <c r="L117" s="1094"/>
      <c r="M117" s="1095">
        <f>0.01*Data!C20</f>
        <v>353853.5</v>
      </c>
      <c r="N117" s="1085">
        <v>400150.16773082933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400150.16773082933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845"/>
      <c r="C118" s="1625" t="s">
        <v>825</v>
      </c>
      <c r="D118" s="1625"/>
      <c r="E118" s="1691"/>
      <c r="F118" s="1655"/>
      <c r="G118" s="1720"/>
      <c r="H118" s="1721"/>
      <c r="I118" s="1629">
        <f t="shared" si="3"/>
        <v>0</v>
      </c>
      <c r="J118" s="1003"/>
      <c r="K118" s="1054" t="s">
        <v>826</v>
      </c>
      <c r="L118" s="1001"/>
      <c r="M118" s="1095">
        <v>0</v>
      </c>
      <c r="N118" s="1085">
        <v>0</v>
      </c>
      <c r="O118" s="1086"/>
      <c r="P118" s="1096" t="s">
        <v>827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845"/>
      <c r="C119" s="1625" t="s">
        <v>828</v>
      </c>
      <c r="D119" s="1625"/>
      <c r="E119" s="1691"/>
      <c r="F119" s="1655"/>
      <c r="G119" s="1720"/>
      <c r="H119" s="1721"/>
      <c r="I119" s="1629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845"/>
      <c r="C120" s="1625" t="s">
        <v>829</v>
      </c>
      <c r="D120" s="1625"/>
      <c r="E120" s="1722">
        <f>'Tax Calc'!E3</f>
        <v>1.199398E-2</v>
      </c>
      <c r="F120" s="1660"/>
      <c r="G120" s="1649">
        <f>'Tax Calc'!C15</f>
        <v>196851.19675</v>
      </c>
      <c r="H120" s="1650"/>
      <c r="I120" s="1629">
        <f t="shared" si="3"/>
        <v>1949.0217500000001</v>
      </c>
      <c r="J120" s="1003"/>
      <c r="K120" s="1054" t="s">
        <v>987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196851.19675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845"/>
      <c r="C121" s="1625" t="s">
        <v>407</v>
      </c>
      <c r="D121" s="1625"/>
      <c r="E121" s="1723"/>
      <c r="F121" s="1655"/>
      <c r="G121" s="1695">
        <f>SUM(F122:F124)</f>
        <v>533066.853825</v>
      </c>
      <c r="H121" s="1696"/>
      <c r="I121" s="1629">
        <f t="shared" si="3"/>
        <v>5277.8896418316835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533066.853825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845"/>
      <c r="C122" s="1625"/>
      <c r="D122" s="1625" t="s">
        <v>830</v>
      </c>
      <c r="E122" s="1633"/>
      <c r="F122" s="1655">
        <v>0</v>
      </c>
      <c r="G122" s="1692"/>
      <c r="H122" s="1693"/>
      <c r="I122" s="1629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845"/>
      <c r="C123" s="1625"/>
      <c r="D123" s="1625" t="s">
        <v>831</v>
      </c>
      <c r="E123" s="1724"/>
      <c r="F123" s="1725">
        <f>'Insurance Estimator'!E19*1.35</f>
        <v>533066.853825</v>
      </c>
      <c r="G123" s="1692"/>
      <c r="H123" s="1693"/>
      <c r="I123" s="1629">
        <f t="shared" si="3"/>
        <v>0</v>
      </c>
      <c r="J123" s="1046"/>
      <c r="K123" s="1101" t="s">
        <v>832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845"/>
      <c r="C124" s="1625"/>
      <c r="D124" s="1625" t="s">
        <v>833</v>
      </c>
      <c r="E124" s="1691"/>
      <c r="F124" s="1655">
        <v>0</v>
      </c>
      <c r="G124" s="1692"/>
      <c r="H124" s="1693"/>
      <c r="I124" s="1629">
        <f t="shared" si="3"/>
        <v>0</v>
      </c>
      <c r="J124" s="1046"/>
      <c r="K124" s="1061" t="s">
        <v>832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845"/>
      <c r="C125" s="1625" t="s">
        <v>834</v>
      </c>
      <c r="D125" s="1625"/>
      <c r="E125" s="1691"/>
      <c r="F125" s="1655"/>
      <c r="G125" s="1692">
        <f>SUM(F126:F127)</f>
        <v>70022.525159624405</v>
      </c>
      <c r="H125" s="1693"/>
      <c r="I125" s="1629">
        <f t="shared" si="3"/>
        <v>693.29232831311288</v>
      </c>
      <c r="J125" s="1046"/>
      <c r="K125" s="1054"/>
      <c r="L125" s="1001"/>
      <c r="M125" s="1082" t="s">
        <v>813</v>
      </c>
      <c r="N125" s="1083" t="s">
        <v>814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70022.525159624405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845"/>
      <c r="C126" s="1625"/>
      <c r="D126" s="1625" t="s">
        <v>835</v>
      </c>
      <c r="E126" s="1724">
        <v>1.5E-3</v>
      </c>
      <c r="F126" s="1655">
        <f>N126</f>
        <v>60022.525159624405</v>
      </c>
      <c r="G126" s="1692"/>
      <c r="H126" s="1693"/>
      <c r="I126" s="1629">
        <f t="shared" si="3"/>
        <v>0</v>
      </c>
      <c r="J126" s="1046"/>
      <c r="K126" s="1049"/>
      <c r="L126" s="1015"/>
      <c r="M126" s="1095">
        <f>+E126*Data!C20</f>
        <v>53078.025000000001</v>
      </c>
      <c r="N126" s="1085">
        <v>60022.525159624405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845"/>
      <c r="C127" s="1625"/>
      <c r="D127" s="1625" t="s">
        <v>836</v>
      </c>
      <c r="E127" s="1691"/>
      <c r="F127" s="1655">
        <v>10000</v>
      </c>
      <c r="G127" s="1692"/>
      <c r="H127" s="1693"/>
      <c r="I127" s="1629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845"/>
      <c r="C128" s="1625" t="s">
        <v>837</v>
      </c>
      <c r="D128" s="1625"/>
      <c r="E128" s="1691"/>
      <c r="F128" s="1655"/>
      <c r="G128" s="1692">
        <f>SUM(F129:F131)</f>
        <v>15400</v>
      </c>
      <c r="H128" s="1693"/>
      <c r="I128" s="1629">
        <f t="shared" si="3"/>
        <v>152.47524752475246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845"/>
      <c r="C129" s="1625"/>
      <c r="D129" s="1625" t="s">
        <v>838</v>
      </c>
      <c r="E129" s="1691"/>
      <c r="F129" s="1655">
        <v>10000</v>
      </c>
      <c r="G129" s="1692"/>
      <c r="H129" s="1693"/>
      <c r="I129" s="1629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845"/>
      <c r="C130" s="1625"/>
      <c r="D130" s="1625" t="s">
        <v>839</v>
      </c>
      <c r="E130" s="1633">
        <v>600</v>
      </c>
      <c r="F130" s="1655">
        <v>2400</v>
      </c>
      <c r="G130" s="1692"/>
      <c r="H130" s="1693"/>
      <c r="I130" s="1629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845"/>
      <c r="C131" s="1625"/>
      <c r="D131" s="1625" t="s">
        <v>840</v>
      </c>
      <c r="E131" s="1691"/>
      <c r="F131" s="1655">
        <v>3000</v>
      </c>
      <c r="G131" s="1692"/>
      <c r="H131" s="1693"/>
      <c r="I131" s="1629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845"/>
      <c r="C132" s="1715" t="s">
        <v>841</v>
      </c>
      <c r="D132" s="1715"/>
      <c r="E132" s="1726" t="s">
        <v>842</v>
      </c>
      <c r="F132" s="1727">
        <v>0</v>
      </c>
      <c r="G132" s="1728"/>
      <c r="H132" s="1729"/>
      <c r="I132" s="1629">
        <f t="shared" si="3"/>
        <v>0</v>
      </c>
      <c r="J132" s="1087"/>
      <c r="K132" s="1104" t="s">
        <v>843</v>
      </c>
      <c r="L132" s="1105"/>
      <c r="M132" s="1082"/>
      <c r="N132" s="1083" t="s">
        <v>814</v>
      </c>
      <c r="O132" s="1083"/>
      <c r="P132" t="s">
        <v>844</v>
      </c>
      <c r="Q132" s="1106" t="s">
        <v>845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845"/>
      <c r="C133" s="1730"/>
      <c r="D133" s="1730"/>
      <c r="E133" s="1731"/>
      <c r="F133" s="1732"/>
      <c r="G133" s="1733"/>
      <c r="H133" s="1730"/>
      <c r="I133" s="1629">
        <f t="shared" si="3"/>
        <v>0</v>
      </c>
      <c r="J133" s="845"/>
      <c r="K133" s="1107" t="s">
        <v>846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845"/>
      <c r="C134" s="1633"/>
      <c r="D134" s="1633"/>
      <c r="E134" s="1734"/>
      <c r="F134" s="1732"/>
      <c r="G134" s="1735"/>
      <c r="H134" s="1633"/>
      <c r="I134" s="1629">
        <f t="shared" si="3"/>
        <v>0</v>
      </c>
      <c r="J134" s="844"/>
      <c r="K134" s="1113" t="s">
        <v>847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845"/>
      <c r="C135" s="1633"/>
      <c r="D135" s="1633"/>
      <c r="E135" s="1633"/>
      <c r="F135" s="1732"/>
      <c r="G135" s="1735"/>
      <c r="H135" s="1633"/>
      <c r="I135" s="1629">
        <f t="shared" si="3"/>
        <v>0</v>
      </c>
      <c r="J135" s="844"/>
      <c r="K135" s="1113" t="s">
        <v>848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845"/>
      <c r="C136" s="1633"/>
      <c r="D136" s="1633"/>
      <c r="E136" s="1734"/>
      <c r="F136" s="1732"/>
      <c r="G136" s="1735"/>
      <c r="H136" s="1633"/>
      <c r="I136" s="1629">
        <f t="shared" si="3"/>
        <v>0</v>
      </c>
      <c r="J136" s="844"/>
      <c r="K136" s="1113" t="s">
        <v>849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845"/>
      <c r="C137" s="1633"/>
      <c r="D137" s="1633"/>
      <c r="E137" s="1633"/>
      <c r="F137" s="1732"/>
      <c r="G137" s="1735"/>
      <c r="H137" s="1633"/>
      <c r="I137" s="1629">
        <f t="shared" si="3"/>
        <v>0</v>
      </c>
      <c r="J137" s="844"/>
      <c r="K137" s="1113" t="s">
        <v>850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845"/>
      <c r="C138" s="1633"/>
      <c r="D138" s="1633"/>
      <c r="E138" s="1633"/>
      <c r="F138" s="1732"/>
      <c r="G138" s="1735"/>
      <c r="H138" s="1633"/>
      <c r="I138" s="1629">
        <f t="shared" si="3"/>
        <v>0</v>
      </c>
      <c r="J138" s="844"/>
      <c r="K138" s="1113" t="s">
        <v>851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845"/>
      <c r="C139" s="1633"/>
      <c r="D139" s="1633"/>
      <c r="E139" s="1633"/>
      <c r="F139" s="1732"/>
      <c r="G139" s="1735"/>
      <c r="H139" s="1633"/>
      <c r="I139" s="1629">
        <f t="shared" si="3"/>
        <v>0</v>
      </c>
      <c r="J139" s="844"/>
      <c r="K139" s="1113" t="s">
        <v>852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845"/>
      <c r="C140" s="1633"/>
      <c r="D140" s="1633"/>
      <c r="E140" s="1633"/>
      <c r="F140" s="1732"/>
      <c r="G140" s="1735"/>
      <c r="H140" s="1633"/>
      <c r="I140" s="1629">
        <f t="shared" si="3"/>
        <v>0</v>
      </c>
      <c r="J140" s="844"/>
      <c r="K140" s="1113" t="s">
        <v>853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845"/>
      <c r="C141" s="1633"/>
      <c r="D141" s="1633"/>
      <c r="E141" s="1633"/>
      <c r="F141" s="1732"/>
      <c r="G141" s="1735"/>
      <c r="H141" s="1633"/>
      <c r="I141" s="1629">
        <f t="shared" si="3"/>
        <v>0</v>
      </c>
      <c r="J141" s="844"/>
      <c r="K141" s="1113" t="s">
        <v>854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845"/>
      <c r="C142" s="1633"/>
      <c r="D142" s="1633"/>
      <c r="E142" s="1633"/>
      <c r="F142" s="1732"/>
      <c r="G142" s="1735"/>
      <c r="H142" s="1633"/>
      <c r="I142" s="1629">
        <f t="shared" si="3"/>
        <v>0</v>
      </c>
      <c r="J142" s="844"/>
      <c r="K142" s="1113" t="s">
        <v>855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845"/>
      <c r="C143" s="1633"/>
      <c r="D143" s="1633"/>
      <c r="E143" s="1633"/>
      <c r="F143" s="1732"/>
      <c r="G143" s="1735"/>
      <c r="H143" s="1633"/>
      <c r="I143" s="1629">
        <f t="shared" si="3"/>
        <v>0</v>
      </c>
      <c r="J143" s="844"/>
      <c r="K143" s="1113" t="s">
        <v>855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845"/>
      <c r="C144" s="1633"/>
      <c r="D144" s="1633"/>
      <c r="E144" s="1633"/>
      <c r="F144" s="1732"/>
      <c r="G144" s="1735"/>
      <c r="H144" s="1633"/>
      <c r="I144" s="1629">
        <f t="shared" si="3"/>
        <v>0</v>
      </c>
      <c r="J144" s="844"/>
      <c r="K144" s="1113" t="s">
        <v>856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845"/>
      <c r="C145" s="1633"/>
      <c r="D145" s="1633"/>
      <c r="E145" s="1633"/>
      <c r="F145" s="1732"/>
      <c r="G145" s="1735"/>
      <c r="H145" s="1633"/>
      <c r="I145" s="1629">
        <f t="shared" si="3"/>
        <v>0</v>
      </c>
      <c r="J145" s="844"/>
      <c r="K145" s="1113" t="s">
        <v>857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845"/>
      <c r="C146" s="1633"/>
      <c r="D146" s="1633"/>
      <c r="E146" s="1734"/>
      <c r="F146" s="1732"/>
      <c r="G146" s="1735"/>
      <c r="H146" s="1633"/>
      <c r="I146" s="1629">
        <f t="shared" si="3"/>
        <v>0</v>
      </c>
      <c r="J146" s="844"/>
      <c r="K146" s="1113" t="s">
        <v>858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845"/>
      <c r="C147" s="1633"/>
      <c r="D147" s="1633"/>
      <c r="E147" s="1633"/>
      <c r="F147" s="1732"/>
      <c r="G147" s="1735"/>
      <c r="H147" s="1633"/>
      <c r="I147" s="1629">
        <f t="shared" ref="I147:I222" si="6">G147/$F$9</f>
        <v>0</v>
      </c>
      <c r="J147" s="844"/>
      <c r="K147" s="1113" t="s">
        <v>859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858"/>
      <c r="C148" s="1680" t="s">
        <v>860</v>
      </c>
      <c r="D148" s="1647"/>
      <c r="E148" s="1697"/>
      <c r="F148" s="1698"/>
      <c r="G148" s="1699">
        <f>SUM(G116:G147)</f>
        <v>4036549.4259678009</v>
      </c>
      <c r="H148" s="1700"/>
      <c r="I148" s="1629">
        <f t="shared" si="6"/>
        <v>39965.835900671293</v>
      </c>
      <c r="J148" s="1134"/>
      <c r="K148" s="1062"/>
      <c r="L148" s="1063"/>
      <c r="M148" s="1064" t="s">
        <v>1037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4036549.4259678009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858"/>
      <c r="C149" s="1647" t="s">
        <v>996</v>
      </c>
      <c r="D149" s="1625"/>
      <c r="E149" s="1691"/>
      <c r="F149" s="1655"/>
      <c r="G149" s="1692"/>
      <c r="H149" s="1693"/>
      <c r="I149" s="1629">
        <f>G149/$F$9</f>
        <v>0</v>
      </c>
      <c r="J149" s="1046"/>
      <c r="K149" s="1054"/>
      <c r="L149" s="1001"/>
      <c r="M149" s="1050" t="s">
        <v>813</v>
      </c>
      <c r="N149" s="858" t="s">
        <v>963</v>
      </c>
      <c r="O149" s="858"/>
      <c r="P149" s="858"/>
      <c r="Q149" s="1272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858"/>
      <c r="C150" s="1625"/>
      <c r="D150" s="1625"/>
      <c r="E150" s="1691"/>
      <c r="F150" s="1655"/>
      <c r="G150" s="1692">
        <f>N150</f>
        <v>0</v>
      </c>
      <c r="H150" s="1693"/>
      <c r="I150" s="1629"/>
      <c r="J150" s="1046"/>
      <c r="K150" s="1054"/>
      <c r="L150" s="1001"/>
      <c r="M150" s="1403"/>
      <c r="N150" s="1190">
        <v>0</v>
      </c>
      <c r="O150" s="858"/>
      <c r="P150" s="858"/>
      <c r="Q150" s="1272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858"/>
      <c r="C151" s="1625" t="s">
        <v>861</v>
      </c>
      <c r="D151" s="1625"/>
      <c r="E151" s="1681"/>
      <c r="F151" s="1655"/>
      <c r="G151" s="1692">
        <f>N151</f>
        <v>0</v>
      </c>
      <c r="H151" s="1685"/>
      <c r="I151" s="1629">
        <f t="shared" ref="I151:I158" si="7">G151/$F$9</f>
        <v>0</v>
      </c>
      <c r="J151" s="1046"/>
      <c r="K151" s="1136" t="s">
        <v>862</v>
      </c>
      <c r="L151" s="1137"/>
      <c r="M151" s="1403">
        <f>Data!C31*Data!C30</f>
        <v>378874.32620618382</v>
      </c>
      <c r="N151" s="1191">
        <v>0</v>
      </c>
      <c r="O151" s="858"/>
      <c r="P151" s="858"/>
      <c r="Q151" s="1272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858"/>
      <c r="C152" s="1625" t="s">
        <v>863</v>
      </c>
      <c r="D152" s="1625"/>
      <c r="E152" s="1691"/>
      <c r="F152" s="1655"/>
      <c r="G152" s="1692">
        <f>SUM(F153:F154)</f>
        <v>0</v>
      </c>
      <c r="H152" s="1693"/>
      <c r="I152" s="1629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72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858"/>
      <c r="C153" s="1625"/>
      <c r="D153" s="1625" t="s">
        <v>835</v>
      </c>
      <c r="E153" s="1691"/>
      <c r="F153" s="1655">
        <v>0</v>
      </c>
      <c r="G153" s="1692"/>
      <c r="H153" s="1693"/>
      <c r="I153" s="1629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72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858"/>
      <c r="C154" s="1625"/>
      <c r="D154" s="1625" t="s">
        <v>836</v>
      </c>
      <c r="E154" s="1691"/>
      <c r="F154" s="1655">
        <v>0</v>
      </c>
      <c r="G154" s="1692"/>
      <c r="H154" s="1693"/>
      <c r="I154" s="1629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72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858"/>
      <c r="C155" s="1625" t="s">
        <v>204</v>
      </c>
      <c r="D155" s="1625"/>
      <c r="E155" s="1691"/>
      <c r="F155" s="1655"/>
      <c r="G155" s="1692">
        <f>SUM(F156:F158)</f>
        <v>0</v>
      </c>
      <c r="H155" s="1693"/>
      <c r="I155" s="1629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72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858"/>
      <c r="C156" s="1625"/>
      <c r="D156" s="1625" t="s">
        <v>864</v>
      </c>
      <c r="E156" s="1736">
        <v>0</v>
      </c>
      <c r="F156" s="1713"/>
      <c r="G156" s="1692"/>
      <c r="H156" s="1693"/>
      <c r="I156" s="1629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72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858"/>
      <c r="C157" s="1625"/>
      <c r="D157" s="1625" t="s">
        <v>865</v>
      </c>
      <c r="E157" s="1737"/>
      <c r="F157" s="1713"/>
      <c r="G157" s="1692"/>
      <c r="H157" s="1693"/>
      <c r="I157" s="1629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72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858"/>
      <c r="C158" s="1625"/>
      <c r="D158" s="1625" t="s">
        <v>865</v>
      </c>
      <c r="E158" s="1691"/>
      <c r="F158" s="1655"/>
      <c r="G158" s="1692"/>
      <c r="H158" s="1693"/>
      <c r="I158" s="1629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72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858"/>
      <c r="C159" s="1680" t="s">
        <v>866</v>
      </c>
      <c r="D159" s="1625"/>
      <c r="E159" s="1691"/>
      <c r="F159" s="1655"/>
      <c r="G159" s="1692"/>
      <c r="H159" s="1693"/>
      <c r="I159" s="1629"/>
      <c r="J159" s="1046"/>
      <c r="K159" s="1054"/>
      <c r="L159" s="1001"/>
      <c r="M159" s="1361" t="s">
        <v>1036</v>
      </c>
      <c r="N159" s="845"/>
      <c r="O159" s="858"/>
      <c r="P159" s="858"/>
      <c r="Q159" s="1272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845"/>
      <c r="C160" s="1647" t="s">
        <v>965</v>
      </c>
      <c r="D160" s="1625"/>
      <c r="E160" s="1691"/>
      <c r="F160" s="1655"/>
      <c r="G160" s="1692"/>
      <c r="H160" s="1693"/>
      <c r="I160" s="1629">
        <f t="shared" si="6"/>
        <v>0</v>
      </c>
      <c r="J160" s="1046"/>
      <c r="K160" s="1054"/>
      <c r="L160" s="1001"/>
      <c r="M160" s="1050" t="s">
        <v>813</v>
      </c>
      <c r="N160" s="858" t="s">
        <v>963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845"/>
      <c r="C161" s="1625" t="s">
        <v>962</v>
      </c>
      <c r="D161" s="1625"/>
      <c r="E161" s="1691"/>
      <c r="F161" s="1655"/>
      <c r="G161" s="1692">
        <f>N161</f>
        <v>57894.108514269414</v>
      </c>
      <c r="H161" s="1693"/>
      <c r="I161" s="1629"/>
      <c r="J161" s="1046"/>
      <c r="K161" s="1054"/>
      <c r="L161" s="1001"/>
      <c r="M161" s="1189">
        <f>37500+(Data!C38*0.0005)</f>
        <v>57894.108514269414</v>
      </c>
      <c r="N161" s="1190">
        <v>57894.108514269414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845"/>
      <c r="C162" s="1625" t="s">
        <v>861</v>
      </c>
      <c r="D162" s="1625"/>
      <c r="E162" s="1681"/>
      <c r="F162" s="1655"/>
      <c r="G162" s="1692">
        <f>N162</f>
        <v>407882.17028538825</v>
      </c>
      <c r="H162" s="1685"/>
      <c r="I162" s="1629">
        <f t="shared" si="6"/>
        <v>4038.4373295582996</v>
      </c>
      <c r="J162" s="1046"/>
      <c r="K162" s="1136" t="s">
        <v>862</v>
      </c>
      <c r="L162" s="1137"/>
      <c r="M162" s="1189">
        <f>Data!C38*Data!C39</f>
        <v>407882.17028538825</v>
      </c>
      <c r="N162" s="1191">
        <v>407882.17028538825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407882.17028538825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845"/>
      <c r="C163" s="1625" t="s">
        <v>863</v>
      </c>
      <c r="D163" s="1625"/>
      <c r="E163" s="1691"/>
      <c r="F163" s="1655"/>
      <c r="G163" s="1692">
        <f>SUM(F164:F165)</f>
        <v>0</v>
      </c>
      <c r="H163" s="1693"/>
      <c r="I163" s="1629">
        <f t="shared" si="6"/>
        <v>0</v>
      </c>
      <c r="J163" s="1046"/>
      <c r="K163" s="1049"/>
      <c r="L163" s="1015"/>
      <c r="M163" s="1403">
        <f>0.015*Data!C38*2</f>
        <v>1223646.5108561646</v>
      </c>
      <c r="N163" s="1190">
        <v>1223646.5108561646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845"/>
      <c r="C164" s="1625"/>
      <c r="D164" s="1625" t="s">
        <v>835</v>
      </c>
      <c r="E164" s="1691"/>
      <c r="F164" s="1655">
        <v>0</v>
      </c>
      <c r="G164" s="1692"/>
      <c r="H164" s="1693"/>
      <c r="I164" s="1629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845"/>
      <c r="C165" s="1625"/>
      <c r="D165" s="1625" t="s">
        <v>836</v>
      </c>
      <c r="E165" s="1691"/>
      <c r="F165" s="1655">
        <v>0</v>
      </c>
      <c r="G165" s="1692"/>
      <c r="H165" s="1693"/>
      <c r="I165" s="1629">
        <f t="shared" si="6"/>
        <v>0</v>
      </c>
      <c r="J165" s="1046"/>
      <c r="K165" s="1054"/>
      <c r="L165" s="1001"/>
      <c r="M165" s="1361" t="s">
        <v>1056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845"/>
      <c r="C166" s="1625" t="s">
        <v>204</v>
      </c>
      <c r="D166" s="1625"/>
      <c r="E166" s="1691"/>
      <c r="F166" s="1655"/>
      <c r="G166" s="1692">
        <f>SUM(F167:F169)</f>
        <v>1223646.5108561646</v>
      </c>
      <c r="H166" s="1693"/>
      <c r="I166" s="1629">
        <f t="shared" si="6"/>
        <v>12115.311988674897</v>
      </c>
      <c r="J166" s="1046"/>
      <c r="K166" s="1049"/>
      <c r="L166" s="1015"/>
      <c r="M166" s="1050" t="s">
        <v>813</v>
      </c>
      <c r="N166" s="858" t="s">
        <v>963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1223646.5108561646</v>
      </c>
      <c r="Y166" s="972"/>
      <c r="Z166" s="972">
        <f>V166*G166</f>
        <v>0</v>
      </c>
      <c r="AA166"/>
      <c r="AB166" s="972">
        <v>0</v>
      </c>
    </row>
    <row r="167" spans="2:28" ht="15.75">
      <c r="B167" s="845"/>
      <c r="C167" s="1625"/>
      <c r="D167" s="1625" t="s">
        <v>1088</v>
      </c>
      <c r="E167" s="1736"/>
      <c r="F167" s="1713">
        <f>N163</f>
        <v>1223646.5108561646</v>
      </c>
      <c r="G167" s="1692"/>
      <c r="H167" s="1693"/>
      <c r="I167" s="1629">
        <f t="shared" si="6"/>
        <v>0</v>
      </c>
      <c r="J167" s="1046"/>
      <c r="K167" s="1054"/>
      <c r="L167" s="1001"/>
      <c r="M167" s="1090">
        <f>Data!C20*24*(Data!C33/12)</f>
        <v>3184681.5</v>
      </c>
      <c r="N167" s="1190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845"/>
      <c r="C168" s="1625"/>
      <c r="D168" s="1625" t="s">
        <v>865</v>
      </c>
      <c r="E168" s="1737"/>
      <c r="F168" s="1713"/>
      <c r="G168" s="1692"/>
      <c r="H168" s="1693"/>
      <c r="I168" s="1629">
        <f t="shared" si="6"/>
        <v>0</v>
      </c>
      <c r="J168" s="1046"/>
      <c r="K168" s="1054"/>
      <c r="L168" s="1001"/>
      <c r="M168" s="1189">
        <f>Data!C44*Data!C45</f>
        <v>1</v>
      </c>
      <c r="N168" s="1191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845"/>
      <c r="C169" s="1625"/>
      <c r="D169" s="1625" t="s">
        <v>865</v>
      </c>
      <c r="E169" s="1691"/>
      <c r="F169" s="1655"/>
      <c r="G169" s="1692"/>
      <c r="H169" s="1693"/>
      <c r="I169" s="1629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858"/>
      <c r="C170" s="1680" t="s">
        <v>866</v>
      </c>
      <c r="D170" s="1647"/>
      <c r="E170" s="1697"/>
      <c r="F170" s="1698"/>
      <c r="G170" s="1699">
        <f>SUM(G162:G166)</f>
        <v>1631528.681141553</v>
      </c>
      <c r="H170" s="1700"/>
      <c r="I170" s="1629">
        <f t="shared" si="6"/>
        <v>16153.749318233198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1631528.681141553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845"/>
      <c r="C171" s="1647" t="s">
        <v>118</v>
      </c>
      <c r="D171" s="1625"/>
      <c r="E171" s="1691"/>
      <c r="F171" s="1655"/>
      <c r="G171" s="1692"/>
      <c r="H171" s="1693"/>
      <c r="I171" s="1629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845"/>
      <c r="C172" s="1625" t="s">
        <v>867</v>
      </c>
      <c r="D172" s="1625"/>
      <c r="E172" s="1691"/>
      <c r="F172" s="1655"/>
      <c r="G172" s="1692">
        <v>60000</v>
      </c>
      <c r="H172" s="1693"/>
      <c r="I172" s="1629">
        <f t="shared" si="6"/>
        <v>594.05940594059405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845"/>
      <c r="C173" s="1625" t="s">
        <v>868</v>
      </c>
      <c r="D173" s="1625"/>
      <c r="E173" s="1691"/>
      <c r="F173" s="1655"/>
      <c r="G173" s="1692">
        <f>SUM(F174:F175)</f>
        <v>50000</v>
      </c>
      <c r="H173" s="1693"/>
      <c r="I173" s="1629">
        <f t="shared" si="6"/>
        <v>495.04950495049508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845"/>
      <c r="C174" s="1625"/>
      <c r="D174" s="1625" t="s">
        <v>869</v>
      </c>
      <c r="E174" s="1691"/>
      <c r="F174" s="1725">
        <v>50000</v>
      </c>
      <c r="G174" s="1738"/>
      <c r="H174" s="1723"/>
      <c r="I174" s="1629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845"/>
      <c r="C175" s="1625"/>
      <c r="D175" s="1625" t="s">
        <v>204</v>
      </c>
      <c r="E175" s="1691"/>
      <c r="F175" s="1655">
        <v>0</v>
      </c>
      <c r="G175" s="1692"/>
      <c r="H175" s="1693"/>
      <c r="I175" s="1629">
        <f t="shared" si="6"/>
        <v>0</v>
      </c>
      <c r="J175" s="1046"/>
      <c r="K175" s="1054" t="s">
        <v>870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858"/>
      <c r="C176" s="1680" t="s">
        <v>871</v>
      </c>
      <c r="D176" s="1647"/>
      <c r="E176" s="1697"/>
      <c r="F176" s="1698"/>
      <c r="G176" s="1699">
        <f>SUM(G172:G173)</f>
        <v>110000</v>
      </c>
      <c r="H176" s="1700"/>
      <c r="I176" s="1629">
        <f t="shared" si="6"/>
        <v>1089.1089108910892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845"/>
      <c r="C177" s="1647" t="s">
        <v>124</v>
      </c>
      <c r="D177" s="1625"/>
      <c r="E177" s="1691"/>
      <c r="F177" s="1655"/>
      <c r="G177" s="1692"/>
      <c r="H177" s="1693"/>
      <c r="I177" s="1629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845"/>
      <c r="C178" s="1625" t="s">
        <v>872</v>
      </c>
      <c r="D178" s="1625"/>
      <c r="E178" s="1630">
        <v>3</v>
      </c>
      <c r="F178" s="1655"/>
      <c r="G178" s="1684">
        <f>E178*(-'Cash Flow'!E18/12)-'Cash Flow'!E22</f>
        <v>2631514.8458820791</v>
      </c>
      <c r="H178" s="1685"/>
      <c r="I178" s="1629">
        <f t="shared" si="6"/>
        <v>26054.60243447603</v>
      </c>
      <c r="J178" s="1046"/>
      <c r="K178" s="1061" t="s">
        <v>873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2631514.8458820791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845"/>
      <c r="C179" s="1715" t="s">
        <v>874</v>
      </c>
      <c r="D179" s="1715"/>
      <c r="E179" s="1716"/>
      <c r="F179" s="1739" t="s">
        <v>875</v>
      </c>
      <c r="G179" s="1728" t="b">
        <v>0</v>
      </c>
      <c r="H179" s="1729"/>
      <c r="I179" s="1629">
        <f t="shared" si="6"/>
        <v>0</v>
      </c>
      <c r="J179" s="1087"/>
      <c r="K179" s="1089" t="s">
        <v>876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845"/>
      <c r="C180" s="1715" t="s">
        <v>253</v>
      </c>
      <c r="D180" s="1715"/>
      <c r="E180" s="1691"/>
      <c r="F180" s="1655"/>
      <c r="G180" s="1728">
        <v>0</v>
      </c>
      <c r="H180" s="1693"/>
      <c r="I180" s="1629">
        <f t="shared" si="6"/>
        <v>0</v>
      </c>
      <c r="J180" s="1046"/>
      <c r="K180" s="1054" t="s">
        <v>877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858"/>
      <c r="C181" s="1680" t="s">
        <v>878</v>
      </c>
      <c r="D181" s="1647"/>
      <c r="E181" s="1697"/>
      <c r="F181" s="1698"/>
      <c r="G181" s="1699">
        <f>SUM(G178:G180)</f>
        <v>2631514.8458820791</v>
      </c>
      <c r="H181" s="1700"/>
      <c r="I181" s="1629">
        <f t="shared" si="6"/>
        <v>26054.60243447603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2631514.8458820791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845"/>
      <c r="C182" s="1647" t="s">
        <v>409</v>
      </c>
      <c r="D182" s="1625"/>
      <c r="E182" s="1691"/>
      <c r="F182" s="1655"/>
      <c r="G182" s="1692"/>
      <c r="H182" s="1693"/>
      <c r="I182" s="1629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845"/>
      <c r="C183" s="1625" t="s">
        <v>879</v>
      </c>
      <c r="D183" s="1625"/>
      <c r="E183" s="1691"/>
      <c r="F183" s="1655"/>
      <c r="G183" s="1692">
        <f>SUM(F184:F185)</f>
        <v>13000</v>
      </c>
      <c r="H183" s="1693"/>
      <c r="I183" s="1629">
        <f t="shared" si="6"/>
        <v>128.71287128712871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845"/>
      <c r="C184" s="1683"/>
      <c r="D184" s="1625" t="s">
        <v>15</v>
      </c>
      <c r="E184" s="1691"/>
      <c r="F184" s="1655">
        <v>8000</v>
      </c>
      <c r="G184" s="1692"/>
      <c r="H184" s="1693"/>
      <c r="I184" s="1629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845"/>
      <c r="C185" s="1683"/>
      <c r="D185" s="1625" t="s">
        <v>880</v>
      </c>
      <c r="E185" s="1691"/>
      <c r="F185" s="1655">
        <v>5000</v>
      </c>
      <c r="G185" s="1692"/>
      <c r="H185" s="1693"/>
      <c r="I185" s="1629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845"/>
      <c r="C186" s="1625" t="s">
        <v>137</v>
      </c>
      <c r="D186" s="1625"/>
      <c r="E186" s="1691"/>
      <c r="F186" s="1655"/>
      <c r="G186" s="1692">
        <v>12000</v>
      </c>
      <c r="H186" s="1693"/>
      <c r="I186" s="1629">
        <f t="shared" si="6"/>
        <v>118.81188118811882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845"/>
      <c r="C187" s="1625" t="s">
        <v>881</v>
      </c>
      <c r="D187" s="1625"/>
      <c r="E187" s="1633"/>
      <c r="F187" s="1655"/>
      <c r="G187" s="1692">
        <v>0</v>
      </c>
      <c r="H187" s="1693"/>
      <c r="I187" s="1629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845"/>
      <c r="C188" s="1625" t="s">
        <v>882</v>
      </c>
      <c r="D188" s="1625"/>
      <c r="E188" s="1633"/>
      <c r="F188" s="1655"/>
      <c r="G188" s="1692">
        <v>0</v>
      </c>
      <c r="H188" s="1693"/>
      <c r="I188" s="1629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858"/>
      <c r="C189" s="1680" t="s">
        <v>883</v>
      </c>
      <c r="D189" s="1647"/>
      <c r="E189" s="1697"/>
      <c r="F189" s="1698"/>
      <c r="G189" s="1699">
        <f>SUM(G183:G188)</f>
        <v>25000</v>
      </c>
      <c r="H189" s="1700"/>
      <c r="I189" s="1629">
        <f t="shared" si="6"/>
        <v>247.52475247524754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845"/>
      <c r="C190" s="1647" t="s">
        <v>410</v>
      </c>
      <c r="D190" s="1625"/>
      <c r="E190" s="1633"/>
      <c r="F190" s="1655"/>
      <c r="G190" s="1692"/>
      <c r="H190" s="1693"/>
      <c r="I190" s="1629">
        <f t="shared" si="6"/>
        <v>0</v>
      </c>
      <c r="J190" s="1046"/>
      <c r="K190" s="1140"/>
      <c r="L190" s="1141"/>
      <c r="M190" s="1082" t="s">
        <v>813</v>
      </c>
      <c r="N190" s="1083" t="s">
        <v>814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845"/>
      <c r="C191" s="1740" t="s">
        <v>884</v>
      </c>
      <c r="D191" s="1625"/>
      <c r="E191" s="1630"/>
      <c r="F191" s="1655"/>
      <c r="G191" s="1684">
        <f>N191</f>
        <v>0</v>
      </c>
      <c r="H191" s="1685"/>
      <c r="I191" s="1629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845"/>
      <c r="C192" s="1625" t="s">
        <v>411</v>
      </c>
      <c r="D192" s="1740"/>
      <c r="E192" s="1633"/>
      <c r="F192" s="1655"/>
      <c r="G192" s="1692">
        <f>SUM(F193:F199)</f>
        <v>14500</v>
      </c>
      <c r="H192" s="1693"/>
      <c r="I192" s="1629">
        <f t="shared" si="6"/>
        <v>143.56435643564356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845"/>
      <c r="C193" s="1625"/>
      <c r="D193" s="1740" t="s">
        <v>885</v>
      </c>
      <c r="E193" s="1633"/>
      <c r="F193" s="1655">
        <v>2500</v>
      </c>
      <c r="G193" s="1692"/>
      <c r="H193" s="1693"/>
      <c r="I193" s="1629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845"/>
      <c r="C194" s="1625"/>
      <c r="D194" s="1740" t="s">
        <v>886</v>
      </c>
      <c r="E194" s="1633"/>
      <c r="F194" s="1655">
        <v>0</v>
      </c>
      <c r="G194" s="1692"/>
      <c r="H194" s="1693"/>
      <c r="I194" s="1629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845"/>
      <c r="C195" s="1625"/>
      <c r="D195" s="1740" t="s">
        <v>887</v>
      </c>
      <c r="E195" s="1633"/>
      <c r="F195" s="1655">
        <v>12000</v>
      </c>
      <c r="G195" s="1692"/>
      <c r="H195" s="1693"/>
      <c r="I195" s="1629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845"/>
      <c r="C196" s="1625"/>
      <c r="D196" s="1740" t="s">
        <v>888</v>
      </c>
      <c r="E196" s="1633"/>
      <c r="F196" s="1655">
        <v>0</v>
      </c>
      <c r="G196" s="1692"/>
      <c r="H196" s="1693"/>
      <c r="I196" s="1629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845"/>
      <c r="C197" s="1625"/>
      <c r="D197" s="1740" t="s">
        <v>889</v>
      </c>
      <c r="E197" s="1633"/>
      <c r="F197" s="1655">
        <v>0</v>
      </c>
      <c r="G197" s="1692"/>
      <c r="H197" s="1693"/>
      <c r="I197" s="1629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845"/>
      <c r="C198" s="1625"/>
      <c r="D198" s="1740" t="s">
        <v>890</v>
      </c>
      <c r="E198" s="1633"/>
      <c r="F198" s="1655">
        <v>0</v>
      </c>
      <c r="G198" s="1692"/>
      <c r="H198" s="1693"/>
      <c r="I198" s="1629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845"/>
      <c r="C199" s="1625"/>
      <c r="D199" s="1740" t="s">
        <v>891</v>
      </c>
      <c r="E199" s="1633"/>
      <c r="F199" s="1655">
        <v>0</v>
      </c>
      <c r="G199" s="1692"/>
      <c r="H199" s="1693"/>
      <c r="I199" s="1629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845"/>
      <c r="C200" s="1625" t="s">
        <v>892</v>
      </c>
      <c r="D200" s="1625"/>
      <c r="E200" s="1633"/>
      <c r="F200" s="1655"/>
      <c r="G200" s="1684">
        <f>SUM(F201:F205)</f>
        <v>93250</v>
      </c>
      <c r="H200" s="1685"/>
      <c r="I200" s="1629">
        <f t="shared" si="6"/>
        <v>923.26732673267327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845"/>
      <c r="C201" s="1683"/>
      <c r="D201" s="1625" t="s">
        <v>893</v>
      </c>
      <c r="E201" s="1704"/>
      <c r="F201" s="1655">
        <v>0</v>
      </c>
      <c r="G201" s="1684"/>
      <c r="H201" s="1685"/>
      <c r="I201" s="1629">
        <f t="shared" si="6"/>
        <v>0</v>
      </c>
      <c r="J201" s="1046"/>
      <c r="K201" s="1101" t="s">
        <v>894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845"/>
      <c r="C202" s="1683"/>
      <c r="D202" s="1625" t="s">
        <v>895</v>
      </c>
      <c r="E202" s="1633"/>
      <c r="F202" s="1655">
        <v>87750</v>
      </c>
      <c r="G202" s="1684"/>
      <c r="H202" s="1685"/>
      <c r="I202" s="1629">
        <f t="shared" si="6"/>
        <v>0</v>
      </c>
      <c r="J202" s="1046"/>
      <c r="K202" s="1075" t="s">
        <v>894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845"/>
      <c r="C203" s="1683"/>
      <c r="D203" s="1625" t="s">
        <v>896</v>
      </c>
      <c r="E203" s="1633"/>
      <c r="F203" s="1655">
        <v>2500</v>
      </c>
      <c r="G203" s="1684"/>
      <c r="H203" s="1685"/>
      <c r="I203" s="1629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845"/>
      <c r="C204" s="1683"/>
      <c r="D204" s="1625" t="s">
        <v>897</v>
      </c>
      <c r="E204" s="1633"/>
      <c r="F204" s="1655">
        <v>1500</v>
      </c>
      <c r="G204" s="1684"/>
      <c r="H204" s="1685"/>
      <c r="I204" s="1629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845"/>
      <c r="C205" s="1683"/>
      <c r="D205" s="1625" t="s">
        <v>898</v>
      </c>
      <c r="E205" s="1633"/>
      <c r="F205" s="1655">
        <v>1500</v>
      </c>
      <c r="G205" s="1684"/>
      <c r="H205" s="1685"/>
      <c r="I205" s="1629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845"/>
      <c r="C206" s="1625" t="s">
        <v>899</v>
      </c>
      <c r="D206" s="1625"/>
      <c r="E206" s="1633"/>
      <c r="F206" s="1655"/>
      <c r="G206" s="1692">
        <f>SUM(F207:F209)</f>
        <v>0</v>
      </c>
      <c r="H206" s="1693"/>
      <c r="I206" s="1629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845"/>
      <c r="C207" s="1625"/>
      <c r="D207" s="1625" t="s">
        <v>487</v>
      </c>
      <c r="E207" s="1633"/>
      <c r="F207" s="1655">
        <v>0</v>
      </c>
      <c r="G207" s="1692"/>
      <c r="H207" s="1693"/>
      <c r="I207" s="1629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845"/>
      <c r="C208" s="1625"/>
      <c r="D208" s="1625" t="s">
        <v>900</v>
      </c>
      <c r="E208" s="1633"/>
      <c r="F208" s="1655">
        <v>0</v>
      </c>
      <c r="G208" s="1692"/>
      <c r="H208" s="1693"/>
      <c r="I208" s="1629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845"/>
      <c r="C209" s="1625"/>
      <c r="D209" s="1625" t="s">
        <v>901</v>
      </c>
      <c r="E209" s="1633"/>
      <c r="F209" s="1655">
        <v>0</v>
      </c>
      <c r="G209" s="1692"/>
      <c r="H209" s="1693"/>
      <c r="I209" s="1629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845"/>
      <c r="C210" s="1625" t="s">
        <v>902</v>
      </c>
      <c r="D210" s="1625"/>
      <c r="E210" s="1633"/>
      <c r="F210" s="1655"/>
      <c r="G210" s="1684">
        <f>SUM(F211:F216)</f>
        <v>50000</v>
      </c>
      <c r="H210" s="1685"/>
      <c r="I210" s="1629">
        <f t="shared" si="6"/>
        <v>495.04950495049508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845"/>
      <c r="C211" s="1625"/>
      <c r="D211" s="1625" t="s">
        <v>903</v>
      </c>
      <c r="E211" s="1741">
        <v>2500</v>
      </c>
      <c r="F211" s="1655">
        <v>0</v>
      </c>
      <c r="G211" s="1684"/>
      <c r="H211" s="1685"/>
      <c r="I211" s="1629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845"/>
      <c r="C212" s="1625"/>
      <c r="D212" s="1625" t="s">
        <v>904</v>
      </c>
      <c r="E212" s="1633"/>
      <c r="F212" s="1655">
        <v>5000</v>
      </c>
      <c r="G212" s="1684"/>
      <c r="H212" s="1685"/>
      <c r="I212" s="1629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845"/>
      <c r="C213" s="1625"/>
      <c r="D213" s="1625" t="s">
        <v>905</v>
      </c>
      <c r="E213" s="1633"/>
      <c r="F213" s="1655">
        <v>15000</v>
      </c>
      <c r="G213" s="1684"/>
      <c r="H213" s="1685"/>
      <c r="I213" s="1629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845"/>
      <c r="C214" s="1625"/>
      <c r="D214" s="1625" t="s">
        <v>906</v>
      </c>
      <c r="E214" s="1633"/>
      <c r="F214" s="1655">
        <v>5000</v>
      </c>
      <c r="G214" s="1684"/>
      <c r="H214" s="1685"/>
      <c r="I214" s="1629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845"/>
      <c r="C215" s="1625"/>
      <c r="D215" s="1625" t="s">
        <v>907</v>
      </c>
      <c r="E215" s="1633"/>
      <c r="F215" s="1655">
        <v>20000</v>
      </c>
      <c r="G215" s="1684"/>
      <c r="H215" s="1685"/>
      <c r="I215" s="1629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845"/>
      <c r="C216" s="1625"/>
      <c r="D216" s="1625" t="s">
        <v>908</v>
      </c>
      <c r="E216" s="1633"/>
      <c r="F216" s="1655">
        <v>5000</v>
      </c>
      <c r="G216" s="1684"/>
      <c r="H216" s="1685"/>
      <c r="I216" s="1629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845"/>
      <c r="C217" s="1625" t="s">
        <v>909</v>
      </c>
      <c r="D217" s="1625"/>
      <c r="E217" s="1633"/>
      <c r="F217" s="1655"/>
      <c r="G217" s="1684">
        <f>SUM(F218:F220)</f>
        <v>0</v>
      </c>
      <c r="H217" s="1685"/>
      <c r="I217" s="1629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845"/>
      <c r="C218" s="1625"/>
      <c r="D218" s="1625" t="s">
        <v>487</v>
      </c>
      <c r="E218" s="1633"/>
      <c r="F218" s="1655">
        <v>0</v>
      </c>
      <c r="G218" s="1684"/>
      <c r="H218" s="1685"/>
      <c r="I218" s="1629">
        <f t="shared" si="6"/>
        <v>0</v>
      </c>
      <c r="J218" s="1046"/>
      <c r="K218" s="1101" t="s">
        <v>910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845"/>
      <c r="C219" s="1625"/>
      <c r="D219" s="1625" t="s">
        <v>106</v>
      </c>
      <c r="E219" s="1633"/>
      <c r="F219" s="1655">
        <v>0</v>
      </c>
      <c r="G219" s="1684"/>
      <c r="H219" s="1685"/>
      <c r="I219" s="1629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845"/>
      <c r="C220" s="1625"/>
      <c r="D220" s="1625" t="s">
        <v>911</v>
      </c>
      <c r="E220" s="1633"/>
      <c r="F220" s="1655">
        <v>0</v>
      </c>
      <c r="G220" s="1684"/>
      <c r="H220" s="1685"/>
      <c r="I220" s="1629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845"/>
      <c r="C221" s="1625" t="s">
        <v>912</v>
      </c>
      <c r="D221" s="1625"/>
      <c r="E221" s="1633"/>
      <c r="F221" s="1655"/>
      <c r="G221" s="1684">
        <f>SUM(F222:F230)</f>
        <v>281000</v>
      </c>
      <c r="H221" s="1685"/>
      <c r="I221" s="1629">
        <f t="shared" si="6"/>
        <v>2782.1782178217823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845"/>
      <c r="C222" s="1683"/>
      <c r="D222" s="1625" t="s">
        <v>224</v>
      </c>
      <c r="E222" s="1704">
        <v>0</v>
      </c>
      <c r="F222" s="1655">
        <v>0</v>
      </c>
      <c r="G222" s="1742"/>
      <c r="H222" s="1743"/>
      <c r="I222" s="1629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845"/>
      <c r="C223" s="1683"/>
      <c r="D223" s="1625" t="s">
        <v>415</v>
      </c>
      <c r="E223" s="1633"/>
      <c r="F223" s="1655">
        <v>25000</v>
      </c>
      <c r="G223" s="1684"/>
      <c r="H223" s="1685"/>
      <c r="I223" s="1629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845"/>
      <c r="C224" s="1683"/>
      <c r="D224" s="1625" t="s">
        <v>913</v>
      </c>
      <c r="E224" s="1741">
        <v>6500</v>
      </c>
      <c r="F224" s="1655">
        <f>E224*24</f>
        <v>156000</v>
      </c>
      <c r="G224" s="1684"/>
      <c r="H224" s="1685"/>
      <c r="I224" s="1629">
        <f t="shared" si="8"/>
        <v>0</v>
      </c>
      <c r="J224" s="1046"/>
      <c r="K224" s="1101" t="s">
        <v>148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845"/>
      <c r="C225" s="1683"/>
      <c r="D225" s="1625" t="s">
        <v>914</v>
      </c>
      <c r="E225" s="1633"/>
      <c r="F225" s="1655">
        <v>50000</v>
      </c>
      <c r="G225" s="1684"/>
      <c r="H225" s="1685"/>
      <c r="I225" s="1629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845"/>
      <c r="C226" s="1683"/>
      <c r="D226" s="1625" t="s">
        <v>915</v>
      </c>
      <c r="E226" s="1633"/>
      <c r="F226" s="1655">
        <v>0</v>
      </c>
      <c r="G226" s="1684"/>
      <c r="H226" s="1685"/>
      <c r="I226" s="1629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845"/>
      <c r="C227" s="1683"/>
      <c r="D227" s="1625" t="s">
        <v>916</v>
      </c>
      <c r="E227" s="1633"/>
      <c r="F227" s="1655">
        <v>50000</v>
      </c>
      <c r="G227" s="1684"/>
      <c r="H227" s="1685"/>
      <c r="I227" s="1629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845"/>
      <c r="C228" s="1683"/>
      <c r="D228" s="1625" t="s">
        <v>917</v>
      </c>
      <c r="E228" s="1633"/>
      <c r="F228" s="1655">
        <v>0</v>
      </c>
      <c r="G228" s="1684"/>
      <c r="H228" s="1685"/>
      <c r="I228" s="1629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845"/>
      <c r="C229" s="1683"/>
      <c r="D229" s="1625" t="s">
        <v>918</v>
      </c>
      <c r="E229" s="1633"/>
      <c r="F229" s="1655">
        <v>0</v>
      </c>
      <c r="G229" s="1684"/>
      <c r="H229" s="1685"/>
      <c r="I229" s="1629">
        <f t="shared" si="8"/>
        <v>0</v>
      </c>
      <c r="J229" s="1046"/>
      <c r="K229" s="1054" t="s">
        <v>919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845"/>
      <c r="C230" s="1683"/>
      <c r="D230" s="1625" t="s">
        <v>920</v>
      </c>
      <c r="E230" s="1633"/>
      <c r="F230" s="1655">
        <v>0</v>
      </c>
      <c r="G230" s="1684"/>
      <c r="H230" s="1685"/>
      <c r="I230" s="1629">
        <f t="shared" si="8"/>
        <v>0</v>
      </c>
      <c r="J230" s="1046"/>
      <c r="K230" s="1054" t="s">
        <v>921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845"/>
      <c r="C231" s="1625" t="s">
        <v>922</v>
      </c>
      <c r="D231" s="1625"/>
      <c r="E231" s="1633"/>
      <c r="F231" s="1655"/>
      <c r="G231" s="1684">
        <v>0</v>
      </c>
      <c r="H231" s="1685"/>
      <c r="I231" s="1629">
        <f t="shared" si="8"/>
        <v>0</v>
      </c>
      <c r="J231" s="1046"/>
      <c r="K231" s="1054" t="s">
        <v>923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845"/>
      <c r="C232" s="1625" t="s">
        <v>924</v>
      </c>
      <c r="D232" s="1625"/>
      <c r="E232" s="1633"/>
      <c r="F232" s="1655"/>
      <c r="G232" s="1684"/>
      <c r="H232" s="1685"/>
      <c r="I232" s="1629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845"/>
      <c r="C233" s="1625" t="s">
        <v>925</v>
      </c>
      <c r="D233" s="1625"/>
      <c r="E233" s="1744">
        <v>0.05</v>
      </c>
      <c r="F233" s="1682"/>
      <c r="G233" s="1692">
        <f>SUM(G190:G231,G189,G181,G176,G170,G148,G114,G97,G80)*E233</f>
        <v>562486.19963754283</v>
      </c>
      <c r="H233" s="1693"/>
      <c r="I233" s="1629">
        <f t="shared" si="8"/>
        <v>5569.1702934410177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562486.19963754283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858"/>
      <c r="C234" s="1680" t="s">
        <v>926</v>
      </c>
      <c r="D234" s="1647"/>
      <c r="E234" s="1745"/>
      <c r="F234" s="1698"/>
      <c r="G234" s="1746">
        <f>SUM(G191:G233)</f>
        <v>1001236.1996375428</v>
      </c>
      <c r="H234" s="1747"/>
      <c r="I234" s="1629">
        <f t="shared" si="8"/>
        <v>9913.2296993816126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1001236.1996375428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845"/>
      <c r="C235" s="1647" t="s">
        <v>150</v>
      </c>
      <c r="D235" s="1625"/>
      <c r="E235" s="1630"/>
      <c r="F235" s="1655"/>
      <c r="G235" s="1684"/>
      <c r="H235" s="1685"/>
      <c r="I235" s="1629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845"/>
      <c r="C236" s="1625" t="s">
        <v>151</v>
      </c>
      <c r="D236" s="1625"/>
      <c r="E236" s="1648"/>
      <c r="F236" s="1655"/>
      <c r="G236" s="1692">
        <v>2500000</v>
      </c>
      <c r="H236" s="1693"/>
      <c r="I236" s="1629">
        <f t="shared" si="8"/>
        <v>24752.475247524751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845"/>
      <c r="C237" s="1625" t="s">
        <v>145</v>
      </c>
      <c r="D237" s="1625"/>
      <c r="E237" s="1630"/>
      <c r="F237" s="1655"/>
      <c r="G237" s="1684">
        <v>0</v>
      </c>
      <c r="H237" s="1685"/>
      <c r="I237" s="1629">
        <f t="shared" si="8"/>
        <v>0</v>
      </c>
      <c r="J237" s="1046"/>
      <c r="K237" s="1054" t="s">
        <v>927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845"/>
      <c r="C238" s="1625" t="s">
        <v>143</v>
      </c>
      <c r="D238" s="1625"/>
      <c r="E238" s="1630"/>
      <c r="F238" s="1655"/>
      <c r="G238" s="1684">
        <f>SUM(F239:F241)</f>
        <v>20750</v>
      </c>
      <c r="H238" s="1685"/>
      <c r="I238" s="1629">
        <f t="shared" si="8"/>
        <v>205.44554455445544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845"/>
      <c r="C239" s="1625"/>
      <c r="D239" s="1625" t="s">
        <v>928</v>
      </c>
      <c r="E239" s="1635">
        <v>1300</v>
      </c>
      <c r="F239" s="1655">
        <v>3250</v>
      </c>
      <c r="G239" s="1684"/>
      <c r="H239" s="1685"/>
      <c r="I239" s="1629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845"/>
      <c r="C240" s="1625"/>
      <c r="D240" s="1625" t="s">
        <v>929</v>
      </c>
      <c r="E240" s="1630"/>
      <c r="F240" s="1725">
        <v>15000</v>
      </c>
      <c r="G240" s="1684"/>
      <c r="H240" s="1685"/>
      <c r="I240" s="1629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845"/>
      <c r="C241" s="1625"/>
      <c r="D241" s="1625" t="s">
        <v>930</v>
      </c>
      <c r="E241" s="1630"/>
      <c r="F241" s="1655">
        <v>2500</v>
      </c>
      <c r="G241" s="1684"/>
      <c r="H241" s="1685"/>
      <c r="I241" s="1629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858"/>
      <c r="C242" s="1680" t="s">
        <v>931</v>
      </c>
      <c r="D242" s="1647"/>
      <c r="E242" s="1748"/>
      <c r="F242" s="1698"/>
      <c r="G242" s="1699">
        <f>SUM(G236:G241)</f>
        <v>2520750</v>
      </c>
      <c r="H242" s="1700"/>
      <c r="I242" s="1629">
        <f>G242/$F$9</f>
        <v>24957.920792079207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845"/>
      <c r="C243" s="1647" t="s">
        <v>932</v>
      </c>
      <c r="D243" s="1625"/>
      <c r="E243" s="1749"/>
      <c r="F243" s="1682"/>
      <c r="G243" s="1692"/>
      <c r="H243" s="1693"/>
      <c r="I243" s="1629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845"/>
      <c r="C244" s="1625" t="s">
        <v>933</v>
      </c>
      <c r="D244" s="1633"/>
      <c r="E244" s="1750"/>
      <c r="F244" s="1682"/>
      <c r="G244" s="1692">
        <v>0</v>
      </c>
      <c r="H244" s="1693"/>
      <c r="I244" s="1629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845"/>
      <c r="C245" s="1625" t="s">
        <v>934</v>
      </c>
      <c r="D245" s="1633"/>
      <c r="E245" s="1749"/>
      <c r="F245" s="1682"/>
      <c r="G245" s="1692">
        <v>0</v>
      </c>
      <c r="H245" s="1693"/>
      <c r="I245" s="1629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845"/>
      <c r="C246" s="1625" t="s">
        <v>935</v>
      </c>
      <c r="D246" s="1633"/>
      <c r="E246" s="1749"/>
      <c r="F246" s="1682"/>
      <c r="G246" s="1692">
        <v>0</v>
      </c>
      <c r="H246" s="1693"/>
      <c r="I246" s="1629">
        <f t="shared" si="8"/>
        <v>0</v>
      </c>
      <c r="J246" s="1046"/>
      <c r="K246" s="1149" t="s">
        <v>936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845"/>
      <c r="C247" s="1625" t="s">
        <v>937</v>
      </c>
      <c r="D247" s="1633"/>
      <c r="E247" s="1751">
        <v>800</v>
      </c>
      <c r="F247" s="1682"/>
      <c r="G247" s="1692">
        <v>666.66666666666663</v>
      </c>
      <c r="H247" s="1693"/>
      <c r="I247" s="1629">
        <f t="shared" si="8"/>
        <v>6.6006600660066006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845"/>
      <c r="C248" s="1625" t="s">
        <v>938</v>
      </c>
      <c r="D248" s="1633"/>
      <c r="E248" s="1749"/>
      <c r="F248" s="1682"/>
      <c r="G248" s="1692">
        <v>2000</v>
      </c>
      <c r="H248" s="1693"/>
      <c r="I248" s="1629">
        <f t="shared" si="8"/>
        <v>19.801980198019802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858"/>
      <c r="C249" s="1680" t="s">
        <v>939</v>
      </c>
      <c r="D249" s="1647"/>
      <c r="E249" s="1748"/>
      <c r="F249" s="1698"/>
      <c r="G249" s="1699">
        <f>SUM(G244:G248)</f>
        <v>2666.6666666666665</v>
      </c>
      <c r="H249" s="1700"/>
      <c r="I249" s="1629">
        <f t="shared" si="8"/>
        <v>26.402640264026402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940</v>
      </c>
      <c r="D250" s="1157"/>
      <c r="E250" s="1158"/>
      <c r="F250" s="1159"/>
      <c r="G250" s="1160">
        <f>F9*I250</f>
        <v>54439000</v>
      </c>
      <c r="H250" s="1161"/>
      <c r="I250" s="1600">
        <v>539000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72" t="s">
        <v>1045</v>
      </c>
    </row>
    <row r="254" spans="2:28">
      <c r="G254" s="1373">
        <f>G250/'Construction Calculation'!C14</f>
        <v>551.9629314190696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193" t="s">
        <v>10</v>
      </c>
      <c r="C4" s="1194">
        <f>'Rental Income'!D15</f>
        <v>101</v>
      </c>
      <c r="D4" s="507" t="s">
        <v>261</v>
      </c>
      <c r="E4" s="507"/>
      <c r="F4" s="507"/>
      <c r="G4" s="508"/>
    </row>
    <row r="5" spans="1:15">
      <c r="B5" s="1195" t="s">
        <v>11</v>
      </c>
      <c r="C5" s="700">
        <f>'Construction Calculation'!C19</f>
        <v>98628</v>
      </c>
      <c r="D5" t="s">
        <v>427</v>
      </c>
      <c r="G5" s="510"/>
    </row>
    <row r="6" spans="1:15">
      <c r="B6" s="1196" t="s">
        <v>12</v>
      </c>
      <c r="C6" s="700">
        <f>'Construction Calculation'!C14</f>
        <v>98628</v>
      </c>
      <c r="D6" t="s">
        <v>427</v>
      </c>
      <c r="E6" s="53"/>
      <c r="G6" s="510"/>
    </row>
    <row r="7" spans="1:15">
      <c r="B7" s="1196" t="s">
        <v>13</v>
      </c>
      <c r="C7" s="700">
        <f>'Construction Calculation'!C18</f>
        <v>0</v>
      </c>
      <c r="D7" t="s">
        <v>427</v>
      </c>
      <c r="G7" s="1197"/>
    </row>
    <row r="8" spans="1:15">
      <c r="B8" s="1196" t="s">
        <v>428</v>
      </c>
      <c r="C8" s="700">
        <f>'Construction Calculation'!C13</f>
        <v>16438</v>
      </c>
      <c r="D8" t="s">
        <v>427</v>
      </c>
      <c r="G8" s="510"/>
    </row>
    <row r="9" spans="1:15">
      <c r="B9" s="1196" t="s">
        <v>429</v>
      </c>
      <c r="C9" s="700">
        <f>'Construction Calculation'!C47</f>
        <v>50.5</v>
      </c>
      <c r="D9" t="s">
        <v>430</v>
      </c>
      <c r="G9" s="510"/>
    </row>
    <row r="10" spans="1:15" ht="16.5" thickBot="1">
      <c r="B10" s="511"/>
      <c r="C10" s="1198">
        <v>22630</v>
      </c>
      <c r="D10" s="512" t="s">
        <v>427</v>
      </c>
      <c r="E10" s="512"/>
      <c r="F10" s="512"/>
      <c r="G10" s="1199"/>
    </row>
    <row r="11" spans="1:15" ht="16.5" thickBot="1"/>
    <row r="12" spans="1:15">
      <c r="A12" s="1202" t="s">
        <v>431</v>
      </c>
      <c r="B12" s="1203"/>
      <c r="C12" s="1203"/>
      <c r="D12" s="1204"/>
      <c r="E12" s="58"/>
    </row>
    <row r="13" spans="1:15">
      <c r="A13" s="1205"/>
      <c r="B13" t="s">
        <v>432</v>
      </c>
      <c r="D13" s="1274"/>
      <c r="F13" s="48"/>
      <c r="H13" s="147"/>
      <c r="I13" s="147"/>
      <c r="J13" s="147"/>
      <c r="L13" s="54"/>
      <c r="N13" s="48"/>
    </row>
    <row r="14" spans="1:15">
      <c r="A14" s="1205"/>
      <c r="B14" t="s">
        <v>433</v>
      </c>
      <c r="C14" s="318">
        <v>5.2999999999999999E-2</v>
      </c>
      <c r="D14" s="1274"/>
      <c r="F14" s="51"/>
      <c r="H14" s="147"/>
      <c r="I14" s="147"/>
      <c r="L14" s="54"/>
      <c r="N14" s="48"/>
      <c r="O14" s="53">
        <f>N14/2</f>
        <v>0</v>
      </c>
    </row>
    <row r="15" spans="1:15">
      <c r="A15" s="1205"/>
      <c r="B15" t="s">
        <v>434</v>
      </c>
      <c r="C15" s="318">
        <v>1.7500000000000002E-2</v>
      </c>
      <c r="D15" s="1274"/>
      <c r="F15" s="53"/>
      <c r="N15" s="147"/>
    </row>
    <row r="16" spans="1:15" ht="16.5" thickBot="1">
      <c r="A16" s="1205"/>
      <c r="B16" t="s">
        <v>435</v>
      </c>
      <c r="C16" s="319">
        <v>0</v>
      </c>
      <c r="D16" s="1274"/>
      <c r="F16" s="56"/>
    </row>
    <row r="17" spans="1:13" ht="16.5" thickTop="1">
      <c r="A17" s="1205"/>
      <c r="C17" s="1200">
        <f>SUM(C14:C16)</f>
        <v>7.0500000000000007E-2</v>
      </c>
      <c r="D17" s="1206"/>
      <c r="F17" s="48"/>
    </row>
    <row r="18" spans="1:13">
      <c r="A18" s="1205"/>
      <c r="B18" t="s">
        <v>443</v>
      </c>
      <c r="C18" s="55">
        <v>0.65</v>
      </c>
      <c r="D18" s="1206"/>
      <c r="M18" s="48"/>
    </row>
    <row r="19" spans="1:13">
      <c r="A19" s="1205"/>
      <c r="B19" t="s">
        <v>1100</v>
      </c>
      <c r="C19">
        <v>24</v>
      </c>
      <c r="D19" s="1206"/>
      <c r="K19" s="147"/>
      <c r="L19" s="147"/>
      <c r="M19" s="53"/>
    </row>
    <row r="20" spans="1:13">
      <c r="A20" s="1205"/>
      <c r="B20" t="s">
        <v>437</v>
      </c>
      <c r="C20" s="1201">
        <v>35385350</v>
      </c>
      <c r="D20" s="1221">
        <f>MIN(D22,GapCalc!D24)</f>
        <v>35385350</v>
      </c>
    </row>
    <row r="21" spans="1:13" ht="16.5" thickBot="1">
      <c r="A21" s="1205"/>
      <c r="B21" t="s">
        <v>109</v>
      </c>
      <c r="C21" s="482">
        <v>0.01</v>
      </c>
      <c r="D21" s="1206"/>
    </row>
    <row r="22" spans="1:13" ht="16.5" thickBot="1">
      <c r="A22" s="1205"/>
      <c r="C22" s="516" t="s">
        <v>1038</v>
      </c>
      <c r="D22" s="1237">
        <f>C18*'Development Budget'!G250</f>
        <v>35385350</v>
      </c>
      <c r="G22" s="147"/>
    </row>
    <row r="23" spans="1:13">
      <c r="A23" s="1275" t="s">
        <v>438</v>
      </c>
      <c r="B23" s="1216"/>
      <c r="C23" s="1216" t="s">
        <v>67</v>
      </c>
      <c r="D23" s="1216"/>
      <c r="E23" s="1236" t="s">
        <v>964</v>
      </c>
      <c r="F23" s="1228" t="s">
        <v>432</v>
      </c>
      <c r="G23" s="1379">
        <v>0.09</v>
      </c>
      <c r="H23" s="1229"/>
    </row>
    <row r="24" spans="1:13">
      <c r="A24" s="1217"/>
      <c r="B24" t="s">
        <v>432</v>
      </c>
      <c r="C24" s="1207">
        <v>6.0499999999999998E-2</v>
      </c>
      <c r="D24" s="1270">
        <f>PMT(C24/12,C25*12,C30)*12</f>
        <v>-2630163.8202657308</v>
      </c>
      <c r="E24" s="1230"/>
      <c r="G24" s="1223"/>
      <c r="H24" s="1231"/>
      <c r="K24" s="1270"/>
    </row>
    <row r="25" spans="1:13">
      <c r="A25" s="1217"/>
      <c r="B25" t="s">
        <v>1101</v>
      </c>
      <c r="C25">
        <v>34</v>
      </c>
      <c r="E25" s="1230"/>
      <c r="G25" s="1223"/>
      <c r="H25" s="1231"/>
    </row>
    <row r="26" spans="1:13" ht="16.5" thickBot="1">
      <c r="A26" s="1217"/>
      <c r="B26" t="s">
        <v>439</v>
      </c>
      <c r="C26">
        <v>1.2</v>
      </c>
      <c r="E26" s="1230"/>
      <c r="G26" s="1224"/>
      <c r="H26" s="1231"/>
    </row>
    <row r="27" spans="1:13" ht="16.5" thickTop="1">
      <c r="A27" s="1217"/>
      <c r="B27" t="s">
        <v>440</v>
      </c>
      <c r="C27" s="51">
        <f>'Cash Flow'!E21/Data!C26</f>
        <v>2480014.8458820791</v>
      </c>
      <c r="D27" s="40" t="s">
        <v>443</v>
      </c>
      <c r="E27" s="1230"/>
      <c r="G27" s="1225"/>
      <c r="H27" s="1231"/>
    </row>
    <row r="28" spans="1:13">
      <c r="A28" s="1217"/>
      <c r="B28" t="s">
        <v>441</v>
      </c>
      <c r="C28" s="482">
        <v>0.6</v>
      </c>
      <c r="D28" s="1362">
        <f>'Cash Flow'!E15/0.05*C28</f>
        <v>47520900</v>
      </c>
      <c r="E28" s="1230"/>
      <c r="F28" t="s">
        <v>1046</v>
      </c>
      <c r="G28" s="1226"/>
      <c r="H28" s="55">
        <v>1</v>
      </c>
    </row>
    <row r="29" spans="1:13">
      <c r="A29" s="1217"/>
      <c r="B29" t="s">
        <v>442</v>
      </c>
      <c r="C29">
        <v>34</v>
      </c>
      <c r="E29" s="1230"/>
      <c r="F29" t="s">
        <v>436</v>
      </c>
      <c r="G29" s="1226">
        <v>15</v>
      </c>
      <c r="H29" s="1231"/>
    </row>
    <row r="30" spans="1:13">
      <c r="A30" s="1217"/>
      <c r="B30" t="s">
        <v>437</v>
      </c>
      <c r="C30" s="1277">
        <v>37887432.620618381</v>
      </c>
      <c r="D30" s="1222">
        <f>-PV($C$24/12,$C$29*12,C27/12)</f>
        <v>35724541.052350491</v>
      </c>
      <c r="E30" s="1230"/>
      <c r="F30" t="s">
        <v>437</v>
      </c>
      <c r="G30" s="1227"/>
      <c r="H30" s="1222">
        <f>PV(G23,G29,-'Cash Flow'!E41*H28,)</f>
        <v>3998125.3948136875</v>
      </c>
    </row>
    <row r="31" spans="1:13" ht="16.5" thickBot="1">
      <c r="A31" s="1218"/>
      <c r="B31" s="1219" t="s">
        <v>109</v>
      </c>
      <c r="C31" s="1220">
        <v>0.01</v>
      </c>
      <c r="D31" s="1219"/>
      <c r="E31" s="1232"/>
      <c r="F31" s="1233" t="s">
        <v>109</v>
      </c>
      <c r="G31" s="1234">
        <v>0.01</v>
      </c>
      <c r="H31" s="1235"/>
    </row>
    <row r="32" spans="1:13">
      <c r="A32" s="1215" t="s">
        <v>1035</v>
      </c>
      <c r="E32" s="1209"/>
      <c r="G32" s="53"/>
    </row>
    <row r="33" spans="1:10">
      <c r="A33" s="1208"/>
      <c r="B33" t="s">
        <v>432</v>
      </c>
      <c r="C33" s="1207">
        <v>4.4999999999999998E-2</v>
      </c>
      <c r="E33" s="1209"/>
      <c r="I33" s="54"/>
    </row>
    <row r="34" spans="1:10">
      <c r="A34" s="1208"/>
      <c r="B34" t="s">
        <v>1101</v>
      </c>
      <c r="C34">
        <v>30</v>
      </c>
      <c r="E34" s="1210">
        <f>Data!M19</f>
        <v>0</v>
      </c>
      <c r="I34" s="318"/>
    </row>
    <row r="35" spans="1:10">
      <c r="A35" s="1208"/>
      <c r="B35" t="s">
        <v>439</v>
      </c>
      <c r="C35">
        <v>1.2</v>
      </c>
      <c r="E35" s="1209"/>
      <c r="I35" s="54"/>
    </row>
    <row r="36" spans="1:10">
      <c r="A36" s="1208"/>
      <c r="B36" t="s">
        <v>440</v>
      </c>
      <c r="C36" s="51">
        <f>'Cash Flow'!E21/Data!C35</f>
        <v>2480014.8458820791</v>
      </c>
      <c r="E36" s="1211">
        <f>-PV($C$33,$C$34,E34)</f>
        <v>0</v>
      </c>
      <c r="I36" s="1200"/>
    </row>
    <row r="37" spans="1:10" ht="16.5" thickBot="1">
      <c r="A37" s="1208"/>
      <c r="B37" t="s">
        <v>441</v>
      </c>
      <c r="C37" s="482">
        <v>0.8</v>
      </c>
      <c r="E37" s="1209"/>
    </row>
    <row r="38" spans="1:10" ht="16.5" thickBot="1">
      <c r="A38" s="1208"/>
      <c r="B38" t="s">
        <v>437</v>
      </c>
      <c r="C38" s="1277">
        <v>40788217.028538823</v>
      </c>
      <c r="D38" s="516" t="s">
        <v>1038</v>
      </c>
      <c r="E38" s="1237">
        <f>C37*GapCalc!D24</f>
        <v>43551200</v>
      </c>
    </row>
    <row r="39" spans="1:10">
      <c r="A39" s="1208"/>
      <c r="B39" t="s">
        <v>109</v>
      </c>
      <c r="C39" s="54">
        <f>C21</f>
        <v>0.01</v>
      </c>
      <c r="D39" t="s">
        <v>1052</v>
      </c>
      <c r="E39" s="1222">
        <f>PV($C$33/12,$C$34*12,-C36/12)</f>
        <v>40788217.028538823</v>
      </c>
      <c r="I39" s="48"/>
    </row>
    <row r="40" spans="1:10" ht="16.5" thickBot="1">
      <c r="A40" s="1212"/>
      <c r="B40" s="1213"/>
      <c r="C40" s="1213"/>
      <c r="D40" s="1213"/>
      <c r="E40" s="1214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270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4162920</v>
      </c>
      <c r="F12" s="89">
        <f>E12*(1+$D$12)</f>
        <v>4266993</v>
      </c>
      <c r="G12" s="89">
        <f t="shared" ref="G12:AH12" si="0">F12*(1+$D$12)</f>
        <v>4373667.8249999993</v>
      </c>
      <c r="H12" s="89">
        <f t="shared" si="0"/>
        <v>4483009.520624999</v>
      </c>
      <c r="I12" s="89">
        <f t="shared" si="0"/>
        <v>4595084.7586406237</v>
      </c>
      <c r="J12" s="89">
        <f t="shared" si="0"/>
        <v>4709961.8776066387</v>
      </c>
      <c r="K12" s="89">
        <f t="shared" si="0"/>
        <v>4827710.9245468043</v>
      </c>
      <c r="L12" s="89">
        <f t="shared" si="0"/>
        <v>4948403.6976604741</v>
      </c>
      <c r="M12" s="89">
        <f t="shared" si="0"/>
        <v>5072113.7901019854</v>
      </c>
      <c r="N12" s="89">
        <f t="shared" si="0"/>
        <v>5198916.6348545346</v>
      </c>
      <c r="O12" s="89">
        <f t="shared" si="0"/>
        <v>5328889.5507258978</v>
      </c>
      <c r="P12" s="89">
        <f t="shared" si="0"/>
        <v>5462111.7894940451</v>
      </c>
      <c r="Q12" s="89">
        <f t="shared" si="0"/>
        <v>5598664.5842313953</v>
      </c>
      <c r="R12" s="89">
        <f t="shared" si="0"/>
        <v>5738631.1988371797</v>
      </c>
      <c r="S12" s="90">
        <f t="shared" si="0"/>
        <v>5882096.9788081087</v>
      </c>
      <c r="T12" s="89">
        <f t="shared" si="0"/>
        <v>6029149.4032783108</v>
      </c>
      <c r="U12" s="89">
        <f t="shared" si="0"/>
        <v>6179878.1383602684</v>
      </c>
      <c r="V12" s="89">
        <f t="shared" si="0"/>
        <v>6334375.0918192742</v>
      </c>
      <c r="W12" s="89">
        <f t="shared" si="0"/>
        <v>6492734.4691147553</v>
      </c>
      <c r="X12" s="89">
        <f t="shared" si="0"/>
        <v>6655052.8308426235</v>
      </c>
      <c r="Y12" s="89">
        <f t="shared" si="0"/>
        <v>6821429.1516136881</v>
      </c>
      <c r="Z12" s="89">
        <f t="shared" si="0"/>
        <v>6991964.88040403</v>
      </c>
      <c r="AA12" s="89">
        <f t="shared" si="0"/>
        <v>7166764.0024141297</v>
      </c>
      <c r="AB12" s="89">
        <f t="shared" si="0"/>
        <v>7345933.1024744827</v>
      </c>
      <c r="AC12" s="89">
        <f t="shared" si="0"/>
        <v>7529581.4300363446</v>
      </c>
      <c r="AD12" s="89">
        <f t="shared" si="0"/>
        <v>7717820.9657872524</v>
      </c>
      <c r="AE12" s="89">
        <f t="shared" si="0"/>
        <v>7910766.4899319327</v>
      </c>
      <c r="AF12" s="89">
        <f t="shared" si="0"/>
        <v>8108535.6521802302</v>
      </c>
      <c r="AG12" s="89">
        <f t="shared" si="0"/>
        <v>8311249.0434847353</v>
      </c>
      <c r="AH12" s="89">
        <f t="shared" si="0"/>
        <v>8519030.2695718538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-208425</v>
      </c>
      <c r="F14" s="100">
        <f t="shared" ref="F14:AH14" si="2">-((F12+F13)*$C$14)</f>
        <v>-213635.625</v>
      </c>
      <c r="G14" s="100">
        <f t="shared" si="2"/>
        <v>-218976.51562499997</v>
      </c>
      <c r="H14" s="100">
        <f t="shared" si="2"/>
        <v>-224450.92851562495</v>
      </c>
      <c r="I14" s="100">
        <f t="shared" si="2"/>
        <v>-230062.20172851556</v>
      </c>
      <c r="J14" s="100">
        <f t="shared" si="2"/>
        <v>-235813.7567717284</v>
      </c>
      <c r="K14" s="100">
        <f t="shared" si="2"/>
        <v>-241709.10069102162</v>
      </c>
      <c r="L14" s="100">
        <f t="shared" si="2"/>
        <v>-247751.82820829714</v>
      </c>
      <c r="M14" s="100">
        <f t="shared" si="2"/>
        <v>-253945.62391350456</v>
      </c>
      <c r="N14" s="100">
        <f t="shared" si="2"/>
        <v>-260294.26451134213</v>
      </c>
      <c r="O14" s="100">
        <f t="shared" si="2"/>
        <v>-266801.62112412573</v>
      </c>
      <c r="P14" s="100">
        <f t="shared" si="2"/>
        <v>-273471.66165222879</v>
      </c>
      <c r="Q14" s="100">
        <f t="shared" si="2"/>
        <v>-280308.45319353451</v>
      </c>
      <c r="R14" s="100">
        <f t="shared" si="2"/>
        <v>-287316.16452337283</v>
      </c>
      <c r="S14" s="101">
        <f t="shared" si="2"/>
        <v>-294499.06863645714</v>
      </c>
      <c r="T14" s="100">
        <f t="shared" si="2"/>
        <v>-301861.54535236856</v>
      </c>
      <c r="U14" s="100">
        <f t="shared" si="2"/>
        <v>-309408.08398617775</v>
      </c>
      <c r="V14" s="100">
        <f t="shared" si="2"/>
        <v>-317143.28608583217</v>
      </c>
      <c r="W14" s="100">
        <f t="shared" si="2"/>
        <v>-325071.86823797791</v>
      </c>
      <c r="X14" s="100">
        <f t="shared" si="2"/>
        <v>-333198.66494392732</v>
      </c>
      <c r="Y14" s="100">
        <f t="shared" si="2"/>
        <v>-341528.63156752544</v>
      </c>
      <c r="Z14" s="100">
        <f t="shared" si="2"/>
        <v>-350066.84735671361</v>
      </c>
      <c r="AA14" s="100">
        <f t="shared" si="2"/>
        <v>-358818.51854063134</v>
      </c>
      <c r="AB14" s="100">
        <f t="shared" si="2"/>
        <v>-367788.98150414717</v>
      </c>
      <c r="AC14" s="100">
        <f t="shared" si="2"/>
        <v>-376983.70604175079</v>
      </c>
      <c r="AD14" s="100">
        <f t="shared" si="2"/>
        <v>-386408.29869279452</v>
      </c>
      <c r="AE14" s="100">
        <f t="shared" si="2"/>
        <v>-396068.50616011437</v>
      </c>
      <c r="AF14" s="100">
        <f t="shared" si="2"/>
        <v>-405970.21881411714</v>
      </c>
      <c r="AG14" s="100">
        <f t="shared" si="2"/>
        <v>-416119.47428447008</v>
      </c>
      <c r="AH14" s="100">
        <f t="shared" si="2"/>
        <v>-426522.46114158176</v>
      </c>
    </row>
    <row r="15" spans="1:34">
      <c r="A15" s="76"/>
      <c r="B15" s="102" t="s">
        <v>311</v>
      </c>
      <c r="C15" s="76"/>
      <c r="D15" s="76"/>
      <c r="E15" s="95">
        <f>SUM(E12:E14)</f>
        <v>3960075</v>
      </c>
      <c r="F15" s="95">
        <f t="shared" ref="F15:AH15" si="3">SUM(F12:F14)</f>
        <v>4059076.875</v>
      </c>
      <c r="G15" s="103">
        <f t="shared" si="3"/>
        <v>4160553.7968749991</v>
      </c>
      <c r="H15" s="104">
        <f t="shared" si="3"/>
        <v>4264567.6417968739</v>
      </c>
      <c r="I15" s="104">
        <f t="shared" si="3"/>
        <v>4371181.8328417959</v>
      </c>
      <c r="J15" s="95">
        <f t="shared" si="3"/>
        <v>4480461.3786628395</v>
      </c>
      <c r="K15" s="103">
        <f t="shared" si="3"/>
        <v>4592472.9131294107</v>
      </c>
      <c r="L15" s="95">
        <f t="shared" si="3"/>
        <v>4707284.7359576449</v>
      </c>
      <c r="M15" s="95">
        <f t="shared" si="3"/>
        <v>4824966.8543565869</v>
      </c>
      <c r="N15" s="95">
        <f t="shared" si="3"/>
        <v>4945591.0257155001</v>
      </c>
      <c r="O15" s="95">
        <f t="shared" si="3"/>
        <v>5069230.8013583878</v>
      </c>
      <c r="P15" s="95">
        <f t="shared" si="3"/>
        <v>5195961.5713923471</v>
      </c>
      <c r="Q15" s="95">
        <f t="shared" si="3"/>
        <v>5325860.6106771557</v>
      </c>
      <c r="R15" s="95">
        <f t="shared" si="3"/>
        <v>5459007.1259440836</v>
      </c>
      <c r="S15" s="96">
        <f t="shared" si="3"/>
        <v>5595482.3040926848</v>
      </c>
      <c r="T15" s="95">
        <f t="shared" si="3"/>
        <v>5735369.3616950018</v>
      </c>
      <c r="U15" s="95">
        <f t="shared" si="3"/>
        <v>5878753.5957373763</v>
      </c>
      <c r="V15" s="95">
        <f t="shared" si="3"/>
        <v>6025722.4356308104</v>
      </c>
      <c r="W15" s="95">
        <f t="shared" si="3"/>
        <v>6176365.49652158</v>
      </c>
      <c r="X15" s="95">
        <f t="shared" si="3"/>
        <v>6330774.6339346189</v>
      </c>
      <c r="Y15" s="95">
        <f t="shared" si="3"/>
        <v>6489043.9997829832</v>
      </c>
      <c r="Z15" s="95">
        <f t="shared" si="3"/>
        <v>6651270.0997775579</v>
      </c>
      <c r="AA15" s="95">
        <f t="shared" si="3"/>
        <v>6817551.8522719955</v>
      </c>
      <c r="AB15" s="95">
        <f t="shared" si="3"/>
        <v>6987990.6485787956</v>
      </c>
      <c r="AC15" s="95">
        <f t="shared" si="3"/>
        <v>7162690.4147932651</v>
      </c>
      <c r="AD15" s="95">
        <f t="shared" si="3"/>
        <v>7341757.6751630958</v>
      </c>
      <c r="AE15" s="95">
        <f t="shared" si="3"/>
        <v>7525301.6170421727</v>
      </c>
      <c r="AF15" s="95">
        <f t="shared" si="3"/>
        <v>7713434.1574682258</v>
      </c>
      <c r="AG15" s="95">
        <f t="shared" si="3"/>
        <v>7906270.0114049306</v>
      </c>
      <c r="AH15" s="95">
        <f t="shared" si="3"/>
        <v>8103926.7616900532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184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314</v>
      </c>
      <c r="C19" s="1557" t="s">
        <v>1099</v>
      </c>
      <c r="D19" s="88">
        <v>1.2500000000000001E-2</v>
      </c>
      <c r="E19" s="95">
        <f>IF(C19="Abatement", 0, -'Tax Calc'!B10)</f>
        <v>-347757.18494150497</v>
      </c>
      <c r="F19" s="89">
        <f>E19*(1+$D$19)</f>
        <v>-352104.14975327376</v>
      </c>
      <c r="G19" s="89">
        <f t="shared" ref="G19:AH19" si="6">F19*(1+$D$19)</f>
        <v>-356505.45162518969</v>
      </c>
      <c r="H19" s="89">
        <f t="shared" si="6"/>
        <v>-360961.76977050456</v>
      </c>
      <c r="I19" s="89">
        <f t="shared" si="6"/>
        <v>-365473.79189263587</v>
      </c>
      <c r="J19" s="89">
        <f t="shared" si="6"/>
        <v>-370042.21429129381</v>
      </c>
      <c r="K19" s="89">
        <f t="shared" si="6"/>
        <v>-374667.74196993496</v>
      </c>
      <c r="L19" s="89">
        <f t="shared" si="6"/>
        <v>-379351.08874455915</v>
      </c>
      <c r="M19" s="89">
        <f t="shared" si="6"/>
        <v>-384092.9773538661</v>
      </c>
      <c r="N19" s="89">
        <f t="shared" si="6"/>
        <v>-388894.13957078941</v>
      </c>
      <c r="O19" s="89">
        <f t="shared" si="6"/>
        <v>-393755.31631542428</v>
      </c>
      <c r="P19" s="89">
        <f t="shared" si="6"/>
        <v>-398677.25776936708</v>
      </c>
      <c r="Q19" s="89">
        <f t="shared" si="6"/>
        <v>-403660.72349148412</v>
      </c>
      <c r="R19" s="89">
        <f t="shared" si="6"/>
        <v>-408706.48253512767</v>
      </c>
      <c r="S19" s="90">
        <f t="shared" si="6"/>
        <v>-413815.31356681674</v>
      </c>
      <c r="T19" s="89">
        <f t="shared" si="6"/>
        <v>-418988.00498640194</v>
      </c>
      <c r="U19" s="89">
        <f t="shared" si="6"/>
        <v>-424225.35504873196</v>
      </c>
      <c r="V19" s="89">
        <f t="shared" si="6"/>
        <v>-429528.17198684107</v>
      </c>
      <c r="W19" s="89">
        <f t="shared" si="6"/>
        <v>-434897.27413667657</v>
      </c>
      <c r="X19" s="89">
        <f t="shared" si="6"/>
        <v>-440333.49006338499</v>
      </c>
      <c r="Y19" s="89">
        <f t="shared" si="6"/>
        <v>-445837.6586891773</v>
      </c>
      <c r="Z19" s="89">
        <f t="shared" si="6"/>
        <v>-451410.629422792</v>
      </c>
      <c r="AA19" s="89">
        <f t="shared" si="6"/>
        <v>-457053.26229057688</v>
      </c>
      <c r="AB19" s="89">
        <f t="shared" si="6"/>
        <v>-462766.4280692091</v>
      </c>
      <c r="AC19" s="89">
        <f t="shared" si="6"/>
        <v>-468551.00842007418</v>
      </c>
      <c r="AD19" s="89">
        <f t="shared" si="6"/>
        <v>-474407.89602532511</v>
      </c>
      <c r="AE19" s="89">
        <f t="shared" si="6"/>
        <v>-480337.99472564168</v>
      </c>
      <c r="AF19" s="89">
        <f t="shared" si="6"/>
        <v>-486342.21965971217</v>
      </c>
      <c r="AG19" s="89">
        <f t="shared" si="6"/>
        <v>-492421.49740545853</v>
      </c>
      <c r="AH19" s="89">
        <f t="shared" si="6"/>
        <v>-498576.76612302673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2976017.8150584949</v>
      </c>
      <c r="F21" s="95">
        <f t="shared" si="8"/>
        <v>3049462.7252467261</v>
      </c>
      <c r="G21" s="95">
        <f t="shared" si="8"/>
        <v>3124585.9952498092</v>
      </c>
      <c r="H21" s="95">
        <f t="shared" si="8"/>
        <v>3201422.8397763693</v>
      </c>
      <c r="I21" s="95">
        <f t="shared" si="8"/>
        <v>3280009.1025704099</v>
      </c>
      <c r="J21" s="95">
        <f t="shared" si="8"/>
        <v>3360381.2631495399</v>
      </c>
      <c r="K21" s="95">
        <f t="shared" si="8"/>
        <v>3442576.4433946996</v>
      </c>
      <c r="L21" s="95">
        <f t="shared" si="8"/>
        <v>3526632.4139765422</v>
      </c>
      <c r="M21" s="95">
        <f t="shared" si="8"/>
        <v>3612587.6006028983</v>
      </c>
      <c r="N21" s="95">
        <f t="shared" si="8"/>
        <v>3700481.0900708949</v>
      </c>
      <c r="O21" s="95">
        <f t="shared" si="8"/>
        <v>3790352.6361065642</v>
      </c>
      <c r="P21" s="95">
        <f t="shared" si="8"/>
        <v>3882242.6649738061</v>
      </c>
      <c r="Q21" s="95">
        <f t="shared" si="8"/>
        <v>3976192.280833777</v>
      </c>
      <c r="R21" s="95">
        <f t="shared" si="8"/>
        <v>4072243.2708347458</v>
      </c>
      <c r="S21" s="96">
        <f t="shared" si="8"/>
        <v>4170438.1099115601</v>
      </c>
      <c r="T21" s="95">
        <f t="shared" si="8"/>
        <v>4270819.9652727917</v>
      </c>
      <c r="U21" s="95">
        <f t="shared" si="8"/>
        <v>4373432.7005525827</v>
      </c>
      <c r="V21" s="95">
        <f t="shared" si="8"/>
        <v>4478320.8796031456</v>
      </c>
      <c r="W21" s="95">
        <f t="shared" si="8"/>
        <v>4585529.7699026512</v>
      </c>
      <c r="X21" s="95">
        <f t="shared" si="8"/>
        <v>4695105.3455521027</v>
      </c>
      <c r="Y21" s="95">
        <f t="shared" si="8"/>
        <v>4807094.2898335047</v>
      </c>
      <c r="Z21" s="95">
        <f t="shared" si="8"/>
        <v>4921543.9973003538</v>
      </c>
      <c r="AA21" s="95">
        <f t="shared" si="8"/>
        <v>5038502.5753701031</v>
      </c>
      <c r="AB21" s="95">
        <f t="shared" si="8"/>
        <v>5158018.8453868749</v>
      </c>
      <c r="AC21" s="95">
        <f t="shared" si="8"/>
        <v>5280142.343121184</v>
      </c>
      <c r="AD21" s="95">
        <f t="shared" si="8"/>
        <v>5404923.3186719446</v>
      </c>
      <c r="AE21" s="95">
        <f t="shared" si="8"/>
        <v>5532412.7357344003</v>
      </c>
      <c r="AF21" s="95">
        <f t="shared" si="8"/>
        <v>5662662.2701960094</v>
      </c>
      <c r="AG21" s="95">
        <f t="shared" si="8"/>
        <v>5795724.3080205303</v>
      </c>
      <c r="AH21" s="95">
        <f t="shared" si="8"/>
        <v>5931651.9423788209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-2480014.8458820791</v>
      </c>
      <c r="F22" s="95">
        <f t="shared" ref="F22:AH22" si="9">$E$22</f>
        <v>-2480014.8458820791</v>
      </c>
      <c r="G22" s="95">
        <f t="shared" si="9"/>
        <v>-2480014.8458820791</v>
      </c>
      <c r="H22" s="95">
        <f t="shared" si="9"/>
        <v>-2480014.8458820791</v>
      </c>
      <c r="I22" s="95">
        <f t="shared" si="9"/>
        <v>-2480014.8458820791</v>
      </c>
      <c r="J22" s="95">
        <f t="shared" si="9"/>
        <v>-2480014.8458820791</v>
      </c>
      <c r="K22" s="95">
        <f t="shared" si="9"/>
        <v>-2480014.8458820791</v>
      </c>
      <c r="L22" s="95">
        <f t="shared" si="9"/>
        <v>-2480014.8458820791</v>
      </c>
      <c r="M22" s="95">
        <f t="shared" si="9"/>
        <v>-2480014.8458820791</v>
      </c>
      <c r="N22" s="95">
        <f t="shared" si="9"/>
        <v>-2480014.8458820791</v>
      </c>
      <c r="O22" s="95">
        <f t="shared" si="9"/>
        <v>-2480014.8458820791</v>
      </c>
      <c r="P22" s="95">
        <f t="shared" si="9"/>
        <v>-2480014.8458820791</v>
      </c>
      <c r="Q22" s="95">
        <f t="shared" si="9"/>
        <v>-2480014.8458820791</v>
      </c>
      <c r="R22" s="95">
        <f t="shared" si="9"/>
        <v>-2480014.8458820791</v>
      </c>
      <c r="S22" s="96">
        <f t="shared" si="9"/>
        <v>-2480014.8458820791</v>
      </c>
      <c r="T22" s="95">
        <f t="shared" si="9"/>
        <v>-2480014.8458820791</v>
      </c>
      <c r="U22" s="95">
        <f t="shared" si="9"/>
        <v>-2480014.8458820791</v>
      </c>
      <c r="V22" s="95">
        <f t="shared" si="9"/>
        <v>-2480014.8458820791</v>
      </c>
      <c r="W22" s="95">
        <f t="shared" si="9"/>
        <v>-2480014.8458820791</v>
      </c>
      <c r="X22" s="95">
        <f t="shared" si="9"/>
        <v>-2480014.8458820791</v>
      </c>
      <c r="Y22" s="95">
        <f t="shared" si="9"/>
        <v>-2480014.8458820791</v>
      </c>
      <c r="Z22" s="95">
        <f t="shared" si="9"/>
        <v>-2480014.8458820791</v>
      </c>
      <c r="AA22" s="95">
        <f t="shared" si="9"/>
        <v>-2480014.8458820791</v>
      </c>
      <c r="AB22" s="95">
        <f t="shared" si="9"/>
        <v>-2480014.8458820791</v>
      </c>
      <c r="AC22" s="95">
        <f t="shared" si="9"/>
        <v>-2480014.8458820791</v>
      </c>
      <c r="AD22" s="95">
        <f t="shared" si="9"/>
        <v>-2480014.8458820791</v>
      </c>
      <c r="AE22" s="95">
        <f t="shared" si="9"/>
        <v>-2480014.8458820791</v>
      </c>
      <c r="AF22" s="95">
        <f t="shared" si="9"/>
        <v>-2480014.8458820791</v>
      </c>
      <c r="AG22" s="95">
        <f t="shared" si="9"/>
        <v>-2480014.8458820791</v>
      </c>
      <c r="AH22" s="95">
        <f t="shared" si="9"/>
        <v>-2480014.8458820791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496002.96917641582</v>
      </c>
      <c r="F25" s="119">
        <f t="shared" ref="F25:AH25" si="11">+F21+F22+F23</f>
        <v>569447.87936464697</v>
      </c>
      <c r="G25" s="119">
        <f t="shared" si="11"/>
        <v>644571.14936773013</v>
      </c>
      <c r="H25" s="119">
        <f t="shared" si="11"/>
        <v>721407.99389429018</v>
      </c>
      <c r="I25" s="119">
        <f t="shared" si="11"/>
        <v>799994.25668833079</v>
      </c>
      <c r="J25" s="119">
        <f t="shared" si="11"/>
        <v>880366.41726746084</v>
      </c>
      <c r="K25" s="119">
        <f t="shared" si="11"/>
        <v>962561.5975126205</v>
      </c>
      <c r="L25" s="119">
        <f t="shared" si="11"/>
        <v>1046617.5680944631</v>
      </c>
      <c r="M25" s="119">
        <f t="shared" si="11"/>
        <v>1132572.7547208192</v>
      </c>
      <c r="N25" s="119">
        <f t="shared" si="11"/>
        <v>1220466.2441888158</v>
      </c>
      <c r="O25" s="119">
        <f t="shared" si="11"/>
        <v>1310337.7902244851</v>
      </c>
      <c r="P25" s="119">
        <f t="shared" si="11"/>
        <v>1402227.819091727</v>
      </c>
      <c r="Q25" s="119">
        <f t="shared" si="11"/>
        <v>1496177.4349516979</v>
      </c>
      <c r="R25" s="119">
        <f t="shared" si="11"/>
        <v>1592228.4249526667</v>
      </c>
      <c r="S25" s="160">
        <f t="shared" si="11"/>
        <v>1690423.264029481</v>
      </c>
      <c r="T25" s="119">
        <f t="shared" si="11"/>
        <v>1790805.1193907126</v>
      </c>
      <c r="U25" s="119">
        <f t="shared" si="11"/>
        <v>1893417.8546705036</v>
      </c>
      <c r="V25" s="119">
        <f t="shared" si="11"/>
        <v>1998306.0337210665</v>
      </c>
      <c r="W25" s="119">
        <f t="shared" si="11"/>
        <v>2105514.9240205721</v>
      </c>
      <c r="X25" s="119">
        <f t="shared" si="11"/>
        <v>2215090.4996700236</v>
      </c>
      <c r="Y25" s="119">
        <f t="shared" si="11"/>
        <v>2327079.4439514256</v>
      </c>
      <c r="Z25" s="119">
        <f t="shared" si="11"/>
        <v>2441529.1514182747</v>
      </c>
      <c r="AA25" s="119">
        <f t="shared" si="11"/>
        <v>2558487.729488024</v>
      </c>
      <c r="AB25" s="119">
        <f t="shared" si="11"/>
        <v>2678003.9995047958</v>
      </c>
      <c r="AC25" s="119">
        <f t="shared" si="11"/>
        <v>2800127.4972391049</v>
      </c>
      <c r="AD25" s="119">
        <f t="shared" si="11"/>
        <v>2924908.4727898655</v>
      </c>
      <c r="AE25" s="119">
        <f t="shared" si="11"/>
        <v>3052397.8898523212</v>
      </c>
      <c r="AF25" s="119">
        <f t="shared" si="11"/>
        <v>3182647.4243139303</v>
      </c>
      <c r="AG25" s="119">
        <f t="shared" si="11"/>
        <v>3315709.4621384512</v>
      </c>
      <c r="AH25" s="119">
        <f t="shared" si="11"/>
        <v>3451637.0964967418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1.2296147058595968</v>
      </c>
      <c r="G27" s="122">
        <f t="shared" si="12"/>
        <v>1.2599061656578401</v>
      </c>
      <c r="H27" s="122">
        <f t="shared" si="12"/>
        <v>1.2908885787890125</v>
      </c>
      <c r="I27" s="122">
        <f t="shared" si="12"/>
        <v>1.3225763982891776</v>
      </c>
      <c r="J27" s="122">
        <f t="shared" si="12"/>
        <v>1.3549843335531875</v>
      </c>
      <c r="K27" s="122">
        <f t="shared" si="12"/>
        <v>1.388127352991817</v>
      </c>
      <c r="L27" s="122">
        <f t="shared" si="12"/>
        <v>1.4220206866230301</v>
      </c>
      <c r="M27" s="122">
        <f t="shared" si="12"/>
        <v>1.4566798285911033</v>
      </c>
      <c r="N27" s="122">
        <f t="shared" si="12"/>
        <v>1.4921205396069823</v>
      </c>
      <c r="O27" s="122">
        <f t="shared" si="12"/>
        <v>1.5283588493029487</v>
      </c>
      <c r="P27" s="122">
        <f t="shared" si="12"/>
        <v>1.5654110584942849</v>
      </c>
      <c r="Q27" s="122">
        <f t="shared" si="12"/>
        <v>1.6032937413403043</v>
      </c>
      <c r="R27" s="122">
        <f t="shared" si="12"/>
        <v>1.6420237473967019</v>
      </c>
      <c r="S27" s="161">
        <f t="shared" si="12"/>
        <v>1.6816182035508098</v>
      </c>
      <c r="T27" s="122">
        <f t="shared" si="12"/>
        <v>1.7220945158309195</v>
      </c>
      <c r="U27" s="122">
        <f t="shared" si="12"/>
        <v>1.7634703710804047</v>
      </c>
      <c r="V27" s="122">
        <f t="shared" si="12"/>
        <v>1.805763738486944</v>
      </c>
      <c r="W27" s="122">
        <f t="shared" si="12"/>
        <v>1.8489928709566628</v>
      </c>
      <c r="X27" s="122">
        <f t="shared" si="12"/>
        <v>1.893176306322542</v>
      </c>
      <c r="Y27" s="122">
        <f t="shared" si="12"/>
        <v>1.9383328683759318</v>
      </c>
      <c r="Z27" s="122">
        <f t="shared" si="12"/>
        <v>1.9844816677094868</v>
      </c>
      <c r="AA27" s="122">
        <f t="shared" si="12"/>
        <v>2.0316421023592839</v>
      </c>
      <c r="AB27" s="122">
        <f t="shared" si="12"/>
        <v>2.0798338582333353</v>
      </c>
      <c r="AC27" s="122">
        <f t="shared" si="12"/>
        <v>2.1290769093130852</v>
      </c>
      <c r="AD27" s="122">
        <f t="shared" si="12"/>
        <v>2.1793915176138992</v>
      </c>
      <c r="AE27" s="122">
        <f t="shared" si="12"/>
        <v>2.2307982328898759</v>
      </c>
      <c r="AF27" s="122">
        <f t="shared" si="12"/>
        <v>2.2833178920676751</v>
      </c>
      <c r="AG27" s="122">
        <f t="shared" si="12"/>
        <v>2.3369716183933313</v>
      </c>
      <c r="AH27" s="122">
        <f t="shared" si="12"/>
        <v>2.3917808202753243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496002.96917641582</v>
      </c>
      <c r="F41" s="129">
        <f t="shared" ref="F41:S41" si="20">F25+F37</f>
        <v>569447.87936464697</v>
      </c>
      <c r="G41" s="129">
        <f t="shared" si="20"/>
        <v>644571.14936773013</v>
      </c>
      <c r="H41" s="129">
        <f t="shared" si="20"/>
        <v>721407.99389429018</v>
      </c>
      <c r="I41" s="129">
        <f t="shared" si="20"/>
        <v>799994.25668833079</v>
      </c>
      <c r="J41" s="129">
        <f t="shared" si="20"/>
        <v>880366.41726746084</v>
      </c>
      <c r="K41" s="129">
        <f t="shared" si="20"/>
        <v>962561.5975126205</v>
      </c>
      <c r="L41" s="129">
        <f t="shared" si="20"/>
        <v>1046617.5680944631</v>
      </c>
      <c r="M41" s="129">
        <f t="shared" si="20"/>
        <v>1132572.7547208192</v>
      </c>
      <c r="N41" s="129">
        <f t="shared" si="20"/>
        <v>1220466.2441888158</v>
      </c>
      <c r="O41" s="129">
        <f t="shared" si="20"/>
        <v>1310337.7902244851</v>
      </c>
      <c r="P41" s="129">
        <f t="shared" si="20"/>
        <v>1402227.819091727</v>
      </c>
      <c r="Q41" s="129">
        <f t="shared" si="20"/>
        <v>1496177.4349516979</v>
      </c>
      <c r="R41" s="129">
        <f t="shared" si="20"/>
        <v>1592228.4249526667</v>
      </c>
      <c r="S41" s="130">
        <f t="shared" si="20"/>
        <v>1690423.264029481</v>
      </c>
      <c r="T41" s="130">
        <f t="shared" ref="T41:AH41" si="21">T25+T37</f>
        <v>1790805.1193907126</v>
      </c>
      <c r="U41" s="130">
        <f t="shared" si="21"/>
        <v>1893417.8546705036</v>
      </c>
      <c r="V41" s="130">
        <f t="shared" si="21"/>
        <v>1998306.0337210665</v>
      </c>
      <c r="W41" s="130">
        <f t="shared" si="21"/>
        <v>2105514.9240205721</v>
      </c>
      <c r="X41" s="130">
        <f t="shared" si="21"/>
        <v>2215090.4996700236</v>
      </c>
      <c r="Y41" s="130">
        <f t="shared" si="21"/>
        <v>2327079.4439514256</v>
      </c>
      <c r="Z41" s="130">
        <f t="shared" si="21"/>
        <v>2441529.1514182747</v>
      </c>
      <c r="AA41" s="130">
        <f t="shared" si="21"/>
        <v>2558487.729488024</v>
      </c>
      <c r="AB41" s="130">
        <f t="shared" si="21"/>
        <v>2678003.9995047958</v>
      </c>
      <c r="AC41" s="130">
        <f t="shared" si="21"/>
        <v>2800127.4972391049</v>
      </c>
      <c r="AD41" s="130">
        <f t="shared" si="21"/>
        <v>2924908.4727898655</v>
      </c>
      <c r="AE41" s="130">
        <f t="shared" si="21"/>
        <v>3052397.8898523212</v>
      </c>
      <c r="AF41" s="130">
        <f t="shared" si="21"/>
        <v>3182647.4243139303</v>
      </c>
      <c r="AG41" s="130">
        <f t="shared" si="21"/>
        <v>3315709.4621384512</v>
      </c>
      <c r="AH41" s="130">
        <f t="shared" si="21"/>
        <v>3451637.0964967418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421602.52379995346</v>
      </c>
      <c r="F42" s="129">
        <f t="shared" ref="F42:S42" si="22">((F41*$C$42))</f>
        <v>484030.69745994994</v>
      </c>
      <c r="G42" s="129">
        <f t="shared" si="22"/>
        <v>547885.47696257057</v>
      </c>
      <c r="H42" s="129">
        <f t="shared" si="22"/>
        <v>613196.79481014668</v>
      </c>
      <c r="I42" s="129">
        <f t="shared" si="22"/>
        <v>679995.11818508117</v>
      </c>
      <c r="J42" s="129">
        <f t="shared" si="22"/>
        <v>748311.45467734174</v>
      </c>
      <c r="K42" s="129">
        <f t="shared" si="22"/>
        <v>818177.35788572743</v>
      </c>
      <c r="L42" s="129">
        <f t="shared" si="22"/>
        <v>889624.93288029358</v>
      </c>
      <c r="M42" s="129">
        <f t="shared" si="22"/>
        <v>962686.84151269624</v>
      </c>
      <c r="N42" s="129">
        <f t="shared" si="22"/>
        <v>1037396.3075604935</v>
      </c>
      <c r="O42" s="129">
        <f t="shared" si="22"/>
        <v>1113787.1216908123</v>
      </c>
      <c r="P42" s="129">
        <f t="shared" si="22"/>
        <v>1191893.6462279679</v>
      </c>
      <c r="Q42" s="129">
        <f t="shared" si="22"/>
        <v>1271750.8197089431</v>
      </c>
      <c r="R42" s="129">
        <f t="shared" si="22"/>
        <v>1353394.1612097668</v>
      </c>
      <c r="S42" s="129">
        <f t="shared" si="22"/>
        <v>1436859.7744250589</v>
      </c>
      <c r="T42" s="129">
        <f t="shared" ref="T42:AH42" si="23">((T41*$C$42))</f>
        <v>1522184.3514821057</v>
      </c>
      <c r="U42" s="129">
        <f t="shared" si="23"/>
        <v>1609405.1764699281</v>
      </c>
      <c r="V42" s="129">
        <f t="shared" si="23"/>
        <v>1698560.1286629066</v>
      </c>
      <c r="W42" s="129">
        <f t="shared" si="23"/>
        <v>1789687.6854174861</v>
      </c>
      <c r="X42" s="129">
        <f t="shared" si="23"/>
        <v>1882826.9247195199</v>
      </c>
      <c r="Y42" s="129">
        <f t="shared" si="23"/>
        <v>1978017.5273587117</v>
      </c>
      <c r="Z42" s="129">
        <f t="shared" si="23"/>
        <v>2075299.7787055334</v>
      </c>
      <c r="AA42" s="129">
        <f t="shared" si="23"/>
        <v>2174714.5700648203</v>
      </c>
      <c r="AB42" s="129">
        <f t="shared" si="23"/>
        <v>2276303.3995790766</v>
      </c>
      <c r="AC42" s="129">
        <f t="shared" si="23"/>
        <v>2380108.3726532389</v>
      </c>
      <c r="AD42" s="129">
        <f t="shared" si="23"/>
        <v>2486172.2018713858</v>
      </c>
      <c r="AE42" s="129">
        <f t="shared" si="23"/>
        <v>2594538.2063744729</v>
      </c>
      <c r="AF42" s="129">
        <f t="shared" si="23"/>
        <v>2705250.3106668405</v>
      </c>
      <c r="AG42" s="129">
        <f t="shared" si="23"/>
        <v>2818353.0428176834</v>
      </c>
      <c r="AH42" s="129">
        <f t="shared" si="23"/>
        <v>2933891.5320222303</v>
      </c>
    </row>
    <row r="43" spans="1:34">
      <c r="A43" s="86"/>
      <c r="B43" s="132" t="s">
        <v>330</v>
      </c>
      <c r="C43" s="324">
        <f>GapCalc!I32</f>
        <v>0.15</v>
      </c>
      <c r="D43" s="133" t="s">
        <v>1048</v>
      </c>
      <c r="E43" s="108">
        <f>$C$43*(E41)</f>
        <v>74400.445376462376</v>
      </c>
      <c r="F43" s="108">
        <f t="shared" ref="F43:S43" si="24">$C$43*(F41)</f>
        <v>85417.181904697049</v>
      </c>
      <c r="G43" s="108">
        <f t="shared" si="24"/>
        <v>96685.672405159523</v>
      </c>
      <c r="H43" s="108">
        <f t="shared" si="24"/>
        <v>108211.19908414352</v>
      </c>
      <c r="I43" s="108">
        <f t="shared" si="24"/>
        <v>119999.13850324962</v>
      </c>
      <c r="J43" s="108">
        <f t="shared" si="24"/>
        <v>132054.96259011913</v>
      </c>
      <c r="K43" s="108">
        <f t="shared" si="24"/>
        <v>144384.23962689308</v>
      </c>
      <c r="L43" s="108">
        <f t="shared" si="24"/>
        <v>156992.63521416945</v>
      </c>
      <c r="M43" s="108">
        <f t="shared" si="24"/>
        <v>169885.91320812286</v>
      </c>
      <c r="N43" s="108">
        <f t="shared" si="24"/>
        <v>183069.93662832238</v>
      </c>
      <c r="O43" s="108">
        <f t="shared" si="24"/>
        <v>196550.66853367275</v>
      </c>
      <c r="P43" s="108">
        <f t="shared" si="24"/>
        <v>210334.17286375904</v>
      </c>
      <c r="Q43" s="108">
        <f t="shared" si="24"/>
        <v>224426.61524275469</v>
      </c>
      <c r="R43" s="108">
        <f t="shared" si="24"/>
        <v>238834.26374289999</v>
      </c>
      <c r="S43" s="108">
        <f t="shared" si="24"/>
        <v>253563.48960442212</v>
      </c>
      <c r="T43" s="108">
        <f t="shared" ref="T43:AH43" si="25">$C$43*(T41)</f>
        <v>268620.76790860685</v>
      </c>
      <c r="U43" s="108">
        <f t="shared" si="25"/>
        <v>284012.67820057552</v>
      </c>
      <c r="V43" s="108">
        <f t="shared" si="25"/>
        <v>299745.90505815996</v>
      </c>
      <c r="W43" s="108">
        <f t="shared" si="25"/>
        <v>315827.2386030858</v>
      </c>
      <c r="X43" s="108">
        <f t="shared" si="25"/>
        <v>332263.57495050353</v>
      </c>
      <c r="Y43" s="108">
        <f t="shared" si="25"/>
        <v>349061.91659271385</v>
      </c>
      <c r="Z43" s="108">
        <f t="shared" si="25"/>
        <v>366229.3727127412</v>
      </c>
      <c r="AA43" s="108">
        <f t="shared" si="25"/>
        <v>383773.15942320362</v>
      </c>
      <c r="AB43" s="108">
        <f t="shared" si="25"/>
        <v>401700.59992571938</v>
      </c>
      <c r="AC43" s="108">
        <f t="shared" si="25"/>
        <v>420019.12458586571</v>
      </c>
      <c r="AD43" s="108">
        <f t="shared" si="25"/>
        <v>438736.27091847983</v>
      </c>
      <c r="AE43" s="108">
        <f t="shared" si="25"/>
        <v>457859.68347784819</v>
      </c>
      <c r="AF43" s="108">
        <f t="shared" si="25"/>
        <v>477397.11364708951</v>
      </c>
      <c r="AG43" s="108">
        <f t="shared" si="25"/>
        <v>497356.41932076763</v>
      </c>
      <c r="AH43" s="108">
        <f t="shared" si="25"/>
        <v>517745.56447451125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374">
        <f>E21/Data!$C$38</f>
        <v>7.2962684614927539E-2</v>
      </c>
      <c r="F46" s="1374">
        <f>F21/Data!$C$38</f>
        <v>7.4763324984592205E-2</v>
      </c>
      <c r="G46" s="1374">
        <f>G21/Data!$C$38</f>
        <v>7.6605113507746347E-2</v>
      </c>
      <c r="H46" s="1374">
        <f>H21/Data!$C$38</f>
        <v>7.8488913539328964E-2</v>
      </c>
      <c r="I46" s="1374">
        <f>I21/Data!$C$38</f>
        <v>8.0415603856266699E-2</v>
      </c>
      <c r="J46" s="1374">
        <f>J21/Data!$C$38</f>
        <v>8.2386078822674166E-2</v>
      </c>
      <c r="K46" s="1374">
        <f>K21/Data!$C$38</f>
        <v>8.4401248551413441E-2</v>
      </c>
      <c r="L46" s="1374">
        <f>L21/Data!$C$38</f>
        <v>8.6462039061649038E-2</v>
      </c>
      <c r="M46" s="1374">
        <f>M21/Data!$C$38</f>
        <v>8.8569392432016142E-2</v>
      </c>
      <c r="N46" s="1374">
        <f>N21/Data!$C$38</f>
        <v>9.0724266948999779E-2</v>
      </c>
      <c r="O46" s="1374">
        <f>O21/Data!$C$38</f>
        <v>9.2927637250103848E-2</v>
      </c>
      <c r="P46" s="1374">
        <f>P21/Data!$C$38</f>
        <v>9.5180494461365325E-2</v>
      </c>
      <c r="Q46" s="1374">
        <f>Q21/Data!$C$38</f>
        <v>9.748384632874986E-2</v>
      </c>
      <c r="R46" s="1374">
        <f>R21/Data!$C$38</f>
        <v>9.9838717342939171E-2</v>
      </c>
      <c r="S46" s="1374">
        <f>S21/Data!$C$38</f>
        <v>0.10224614885699895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3.0625780620166233E-2</v>
      </c>
      <c r="F47" s="142">
        <f>F41/GapCalc!$H$33</f>
        <v>3.5160648044100053E-2</v>
      </c>
      <c r="G47" s="142">
        <f>G41/GapCalc!$H$33</f>
        <v>3.979914605632795E-2</v>
      </c>
      <c r="H47" s="142">
        <f>H41/GapCalc!$H$33</f>
        <v>4.4543448994521201E-2</v>
      </c>
      <c r="I47" s="142">
        <f>I41/GapCalc!$H$33</f>
        <v>4.9395770036238587E-2</v>
      </c>
      <c r="J47" s="142">
        <f>J41/GapCalc!$H$33</f>
        <v>5.4358361614979173E-2</v>
      </c>
      <c r="K47" s="142">
        <f>K41/GapCalc!$H$33</f>
        <v>5.9433515827066047E-2</v>
      </c>
      <c r="L47" s="142">
        <f>L41/GapCalc!$H$33</f>
        <v>6.4623564828444197E-2</v>
      </c>
      <c r="M47" s="142">
        <f>M41/GapCalc!$H$33</f>
        <v>6.9930881220431229E-2</v>
      </c>
      <c r="N47" s="142">
        <f>N41/GapCalc!$H$33</f>
        <v>7.5357878423406327E-2</v>
      </c>
      <c r="O47" s="142">
        <f>O41/GapCalc!$H$33</f>
        <v>8.0907011037377893E-2</v>
      </c>
      <c r="P47" s="142">
        <f>P41/GapCalc!$H$33</f>
        <v>8.6580775188309714E-2</v>
      </c>
      <c r="Q47" s="142">
        <f>Q41/GapCalc!$H$33</f>
        <v>9.2381708859037376E-2</v>
      </c>
      <c r="R47" s="142">
        <f>R41/GapCalc!$H$33</f>
        <v>9.8312392203542071E-2</v>
      </c>
      <c r="S47" s="142">
        <f>S41/GapCalc!$H$33</f>
        <v>0.10437544784329454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2.6031913527141296E-2</v>
      </c>
      <c r="F48" s="142">
        <f>F43/GapCalc!$H$32</f>
        <v>2.9886550837485044E-2</v>
      </c>
      <c r="G48" s="142">
        <f>G43/GapCalc!$H$32</f>
        <v>3.3829274147878757E-2</v>
      </c>
      <c r="H48" s="142">
        <f>H43/GapCalc!$H$32</f>
        <v>3.7861931645343017E-2</v>
      </c>
      <c r="I48" s="142">
        <f>I43/GapCalc!$H$32</f>
        <v>4.1986404530802796E-2</v>
      </c>
      <c r="J48" s="142">
        <f>J43/GapCalc!$H$32</f>
        <v>4.6204607372732298E-2</v>
      </c>
      <c r="K48" s="142">
        <f>K43/GapCalc!$H$32</f>
        <v>5.0518488453006133E-2</v>
      </c>
      <c r="L48" s="142">
        <f>L43/GapCalc!$H$32</f>
        <v>5.4930030104177567E-2</v>
      </c>
      <c r="M48" s="142">
        <f>M43/GapCalc!$H$32</f>
        <v>5.9441249037366535E-2</v>
      </c>
      <c r="N48" s="142">
        <f>N43/GapCalc!$H$32</f>
        <v>6.4054196659895382E-2</v>
      </c>
      <c r="O48" s="142">
        <f>O43/GapCalc!$H$32</f>
        <v>6.8770959381771204E-2</v>
      </c>
      <c r="P48" s="142">
        <f>P43/GapCalc!$H$32</f>
        <v>7.3593658910063253E-2</v>
      </c>
      <c r="Q48" s="142">
        <f>Q43/GapCalc!$H$32</f>
        <v>7.8524452530181754E-2</v>
      </c>
      <c r="R48" s="142">
        <f>R43/GapCalc!$H$32</f>
        <v>8.3565533373010759E-2</v>
      </c>
      <c r="S48" s="142">
        <f>S43/GapCalc!$H$32</f>
        <v>8.8719130666800358E-2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3"/>
      <c r="C50" s="1484"/>
      <c r="D50" s="1484"/>
      <c r="E50" s="1406">
        <v>1</v>
      </c>
      <c r="F50" s="1406">
        <v>2</v>
      </c>
      <c r="G50" s="1407">
        <v>3</v>
      </c>
      <c r="H50" s="1407">
        <v>4</v>
      </c>
      <c r="I50" s="1408">
        <v>5</v>
      </c>
      <c r="J50" s="1408">
        <v>6</v>
      </c>
      <c r="K50" s="1407">
        <v>7</v>
      </c>
      <c r="L50" s="1407">
        <v>8</v>
      </c>
      <c r="M50" s="1408">
        <v>9</v>
      </c>
      <c r="N50" s="1408">
        <v>10</v>
      </c>
      <c r="O50" s="1407">
        <v>11</v>
      </c>
      <c r="P50" s="1407">
        <v>12</v>
      </c>
      <c r="Q50" s="1408">
        <v>13</v>
      </c>
      <c r="R50" s="1408">
        <v>14</v>
      </c>
      <c r="S50" s="1407">
        <v>15</v>
      </c>
      <c r="T50" s="1408">
        <v>16</v>
      </c>
      <c r="U50" s="1408">
        <v>17</v>
      </c>
      <c r="V50" s="1407">
        <v>18</v>
      </c>
      <c r="W50" s="1408">
        <v>19</v>
      </c>
      <c r="X50" s="1408">
        <v>20</v>
      </c>
      <c r="Y50" s="1407">
        <v>21</v>
      </c>
      <c r="Z50" s="1408">
        <v>22</v>
      </c>
      <c r="AA50" s="1408">
        <v>23</v>
      </c>
      <c r="AB50" s="1407">
        <v>24</v>
      </c>
      <c r="AC50" s="1408">
        <v>25</v>
      </c>
      <c r="AD50" s="1408">
        <v>26</v>
      </c>
      <c r="AE50" s="1407">
        <v>27</v>
      </c>
      <c r="AF50" s="1408">
        <v>28</v>
      </c>
      <c r="AG50" s="1408">
        <v>29</v>
      </c>
      <c r="AH50" s="1407">
        <v>30</v>
      </c>
    </row>
    <row r="51" spans="1:34">
      <c r="A51" s="76"/>
      <c r="B51" s="1380"/>
      <c r="C51" s="1384"/>
      <c r="D51" s="1485"/>
      <c r="G51" s="1380"/>
      <c r="H51" s="1381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80"/>
      <c r="C52" s="1384"/>
      <c r="D52" s="1486"/>
      <c r="G52" s="1380"/>
      <c r="H52" s="1382"/>
    </row>
    <row r="53" spans="1:34">
      <c r="B53" s="1380"/>
      <c r="C53" s="1384"/>
      <c r="D53" s="1486"/>
      <c r="G53" s="1383"/>
      <c r="H53" s="1382"/>
    </row>
    <row r="54" spans="1:34">
      <c r="B54" s="1380"/>
      <c r="C54" s="1384"/>
      <c r="D54" s="1487"/>
      <c r="G54" s="1380"/>
      <c r="H54" s="1384"/>
    </row>
    <row r="55" spans="1:34">
      <c r="B55" s="1385"/>
      <c r="C55" s="1384"/>
      <c r="D55" s="1486"/>
      <c r="G55" s="1385"/>
      <c r="H55" s="1384"/>
    </row>
    <row r="56" spans="1:34">
      <c r="B56" s="1385"/>
      <c r="C56" s="1488"/>
      <c r="D56" s="1485"/>
      <c r="G56" s="1385"/>
      <c r="H56" s="1386"/>
    </row>
    <row r="57" spans="1:34">
      <c r="B57" s="1380"/>
      <c r="C57" s="1489"/>
      <c r="D57" s="1383"/>
      <c r="G57" s="1380"/>
      <c r="H57" s="1387"/>
    </row>
    <row r="58" spans="1:34">
      <c r="B58" s="1385"/>
      <c r="C58" s="1387"/>
      <c r="D58" s="1383"/>
      <c r="G58" s="1380"/>
      <c r="H58" s="1387"/>
    </row>
    <row r="59" spans="1:34">
      <c r="B59" s="1484"/>
      <c r="C59" s="1484"/>
      <c r="D59" s="1383"/>
      <c r="G59" s="1383"/>
      <c r="H59" s="1383"/>
    </row>
    <row r="61" spans="1:34">
      <c r="C61" s="1482"/>
    </row>
    <row r="64" spans="1:34" ht="13.5" thickBot="1">
      <c r="B64" s="70" t="s">
        <v>1057</v>
      </c>
      <c r="G64" s="70" t="s">
        <v>1069</v>
      </c>
    </row>
    <row r="65" spans="2:10" ht="13.5" thickBot="1">
      <c r="B65" s="1363" t="s">
        <v>1039</v>
      </c>
      <c r="C65" s="1364"/>
      <c r="D65" s="1388"/>
      <c r="E65" s="70" t="s">
        <v>1055</v>
      </c>
      <c r="G65" s="1363" t="s">
        <v>1039</v>
      </c>
      <c r="H65" s="1364"/>
      <c r="I65" s="1388"/>
      <c r="J65" s="70" t="s">
        <v>1055</v>
      </c>
    </row>
    <row r="66" spans="2:10">
      <c r="B66" s="1365" t="s">
        <v>1053</v>
      </c>
      <c r="C66" s="1410">
        <f>C70/1.63</f>
        <v>16197748.604576033</v>
      </c>
      <c r="D66" s="1389"/>
      <c r="E66" s="1409" t="s">
        <v>284</v>
      </c>
      <c r="G66" s="1365" t="s">
        <v>1072</v>
      </c>
      <c r="H66" s="1410">
        <f>H70/1.63</f>
        <v>2858426.2243369468</v>
      </c>
      <c r="I66" s="1389"/>
      <c r="J66" s="1409" t="s">
        <v>284</v>
      </c>
    </row>
    <row r="67" spans="2:10" ht="15">
      <c r="B67" s="1366" t="s">
        <v>1054</v>
      </c>
      <c r="C67" s="1425">
        <f>SUMIFS(E42:AH42, E50:AH50, "&lt;=" &amp; VALUE(RIGHT(E66, LEN(E66)-FIND(" ", E66))))</f>
        <v>4313199.423780771</v>
      </c>
      <c r="D67" s="1390" t="s">
        <v>67</v>
      </c>
      <c r="G67" s="1366" t="s">
        <v>1073</v>
      </c>
      <c r="H67" s="1405">
        <f>SUMIFS(E43:AH43, E50:AH50, "&lt;=" &amp; VALUE(RIGHT(E66, LEN(E66)-FIND(" ", E66))))</f>
        <v>761152.83949072426</v>
      </c>
      <c r="I67" s="1390" t="s">
        <v>67</v>
      </c>
    </row>
    <row r="68" spans="2:10">
      <c r="B68" s="1366" t="s">
        <v>1077</v>
      </c>
      <c r="C68" s="1413">
        <f>IF(GapCalc!D41*C42&lt; 0,0,GapCalc!D41*C42)</f>
        <v>4592436.9742579991</v>
      </c>
      <c r="D68" s="1390" t="s">
        <v>67</v>
      </c>
      <c r="G68" s="1366" t="s">
        <v>1078</v>
      </c>
      <c r="H68" s="1413">
        <f>IF(GapCalc!D41*C43&lt; 0,0,GapCalc!D41*C43)</f>
        <v>810430.05428082345</v>
      </c>
      <c r="I68" s="1390" t="s">
        <v>67</v>
      </c>
    </row>
    <row r="69" spans="2:10">
      <c r="B69" s="1366" t="s">
        <v>1058</v>
      </c>
      <c r="C69" s="1413">
        <f>'Debt Calc'!E60</f>
        <v>17496693.82742016</v>
      </c>
      <c r="D69" s="1391">
        <v>0.9</v>
      </c>
      <c r="G69" s="1366" t="s">
        <v>1074</v>
      </c>
      <c r="H69" s="1413">
        <f>'Debt Calc'!E59*C43</f>
        <v>3087651.8518976751</v>
      </c>
      <c r="I69" s="1391">
        <v>0.9</v>
      </c>
    </row>
    <row r="70" spans="2:10">
      <c r="B70" s="1368" t="s">
        <v>1041</v>
      </c>
      <c r="C70" s="1422">
        <f>C67+C68+C69</f>
        <v>26402330.225458931</v>
      </c>
      <c r="D70" s="1390" t="s">
        <v>67</v>
      </c>
      <c r="G70" s="1368" t="s">
        <v>1041</v>
      </c>
      <c r="H70" s="1422">
        <f>H67+H68+H69</f>
        <v>4659234.7456692234</v>
      </c>
      <c r="I70" s="1390" t="s">
        <v>67</v>
      </c>
    </row>
    <row r="71" spans="2:10">
      <c r="B71" s="1368" t="s">
        <v>1042</v>
      </c>
      <c r="C71" s="1416">
        <f>C70/C66</f>
        <v>1.63</v>
      </c>
      <c r="D71" s="1392"/>
      <c r="G71" s="1368" t="s">
        <v>1042</v>
      </c>
      <c r="H71" s="1416">
        <f>H70/H66</f>
        <v>1.63</v>
      </c>
      <c r="I71" s="1392"/>
    </row>
    <row r="72" spans="2:10">
      <c r="B72" s="1366" t="s">
        <v>1043</v>
      </c>
      <c r="C72" s="1369">
        <f>(C70-C66)/C66</f>
        <v>0.62999999999999989</v>
      </c>
      <c r="D72" s="1393"/>
      <c r="G72" s="1366" t="s">
        <v>1043</v>
      </c>
      <c r="H72" s="1369">
        <f>(H70-H66)/H66</f>
        <v>0.63</v>
      </c>
      <c r="I72" s="1393"/>
    </row>
    <row r="73" spans="2:10">
      <c r="B73" s="1368" t="s">
        <v>1044</v>
      </c>
      <c r="C73" s="1411">
        <f>C72/7</f>
        <v>8.9999999999999983E-2</v>
      </c>
      <c r="D73" s="1393"/>
      <c r="G73" s="1368" t="s">
        <v>1044</v>
      </c>
      <c r="H73" s="1411">
        <f>H72/7</f>
        <v>0.09</v>
      </c>
      <c r="I73" s="1393"/>
    </row>
    <row r="74" spans="2:10" ht="13.5" thickBot="1">
      <c r="B74" s="1423" t="s">
        <v>1079</v>
      </c>
      <c r="C74" s="1426">
        <f>GapCalc!H33</f>
        <v>16195602.500000002</v>
      </c>
      <c r="D74" s="1394"/>
      <c r="F74" s="1404"/>
      <c r="G74" s="1423" t="s">
        <v>1081</v>
      </c>
      <c r="H74" s="1426">
        <f>GapCalc!H32</f>
        <v>2858047.5000000005</v>
      </c>
      <c r="I74" s="1394"/>
    </row>
    <row r="75" spans="2:10">
      <c r="B75" s="70" t="s">
        <v>1080</v>
      </c>
      <c r="C75" s="1424">
        <f>(C70-C74)/C74</f>
        <v>0.63021599384517668</v>
      </c>
      <c r="G75" s="70" t="s">
        <v>1080</v>
      </c>
      <c r="H75" s="1424">
        <f>(H70-H74)/H74</f>
        <v>0.63021599384517668</v>
      </c>
    </row>
    <row r="76" spans="2:10">
      <c r="B76" s="70" t="s">
        <v>1044</v>
      </c>
      <c r="C76" s="1424">
        <f>C75/7</f>
        <v>9.0030856263596665E-2</v>
      </c>
      <c r="G76" s="70" t="s">
        <v>1044</v>
      </c>
      <c r="H76" s="1424">
        <f>H75/7</f>
        <v>9.0030856263596665E-2</v>
      </c>
    </row>
    <row r="78" spans="2:10" ht="13.5" thickBot="1">
      <c r="B78" s="70" t="s">
        <v>1060</v>
      </c>
    </row>
    <row r="79" spans="2:10" ht="13.5" thickBot="1">
      <c r="B79" s="1363" t="s">
        <v>1039</v>
      </c>
      <c r="C79" s="1364"/>
      <c r="D79" s="1388"/>
      <c r="E79" s="70" t="s">
        <v>1055</v>
      </c>
    </row>
    <row r="80" spans="2:10">
      <c r="B80" s="1365" t="s">
        <v>1053</v>
      </c>
      <c r="C80" s="1410">
        <f>C84/1.8</f>
        <v>6552969.155551251</v>
      </c>
      <c r="D80" s="1389"/>
      <c r="E80" s="1409" t="s">
        <v>287</v>
      </c>
    </row>
    <row r="81" spans="2:10" ht="15">
      <c r="B81" s="1366" t="s">
        <v>1054</v>
      </c>
      <c r="C81" s="1405">
        <f>SUMIFS(E42:AH42, E50:AH50, "&lt;=" &amp; VALUE(RIGHT(E80, LEN(E80)-FIND(" ", E80))))</f>
        <v>7202907.5057342537</v>
      </c>
      <c r="D81" s="1390" t="s">
        <v>67</v>
      </c>
    </row>
    <row r="82" spans="2:10">
      <c r="B82" s="1366" t="s">
        <v>1058</v>
      </c>
      <c r="C82" s="1413">
        <f>C68</f>
        <v>4592436.9742579991</v>
      </c>
      <c r="D82" s="1390" t="s">
        <v>67</v>
      </c>
    </row>
    <row r="83" spans="2:10">
      <c r="B83" s="1366" t="s">
        <v>1040</v>
      </c>
      <c r="C83" s="1367"/>
      <c r="D83" s="1391">
        <v>0.9</v>
      </c>
    </row>
    <row r="84" spans="2:10">
      <c r="B84" s="1368" t="s">
        <v>1041</v>
      </c>
      <c r="C84" s="1422">
        <f>C81+C82+C83</f>
        <v>11795344.479992252</v>
      </c>
      <c r="D84" s="1390" t="s">
        <v>67</v>
      </c>
    </row>
    <row r="85" spans="2:10">
      <c r="B85" s="1368" t="s">
        <v>1042</v>
      </c>
      <c r="C85" s="1412">
        <v>1.8</v>
      </c>
      <c r="D85" s="1392"/>
    </row>
    <row r="86" spans="2:10">
      <c r="B86" s="1366" t="s">
        <v>1043</v>
      </c>
      <c r="C86" s="1369">
        <f>(C84-C80)/C80</f>
        <v>0.8</v>
      </c>
      <c r="D86" s="1393"/>
    </row>
    <row r="87" spans="2:10">
      <c r="B87" s="1368" t="s">
        <v>1044</v>
      </c>
      <c r="C87" s="1411">
        <f>C86/10</f>
        <v>0.08</v>
      </c>
      <c r="D87" s="1393"/>
    </row>
    <row r="88" spans="2:10" ht="13.5" thickBot="1">
      <c r="B88" s="1370"/>
      <c r="C88" s="1371"/>
      <c r="D88" s="1394"/>
    </row>
    <row r="91" spans="2:10" ht="13.5" thickBot="1">
      <c r="B91" s="70" t="s">
        <v>1057</v>
      </c>
      <c r="G91" s="70" t="s">
        <v>1069</v>
      </c>
    </row>
    <row r="92" spans="2:10" ht="13.5" thickBot="1">
      <c r="B92" s="1363" t="s">
        <v>1039</v>
      </c>
      <c r="C92" s="1364"/>
      <c r="D92" s="1388"/>
      <c r="E92" s="70" t="s">
        <v>1055</v>
      </c>
      <c r="G92" s="1363" t="s">
        <v>1039</v>
      </c>
      <c r="H92" s="1364"/>
      <c r="I92" s="1388"/>
      <c r="J92" s="70" t="s">
        <v>1055</v>
      </c>
    </row>
    <row r="93" spans="2:10">
      <c r="B93" s="1365" t="s">
        <v>1053</v>
      </c>
      <c r="C93" s="1410">
        <f>C97/1.63</f>
        <v>22539070.296049293</v>
      </c>
      <c r="D93" s="1389"/>
      <c r="E93" s="1409" t="s">
        <v>287</v>
      </c>
      <c r="G93" s="1365" t="s">
        <v>1072</v>
      </c>
      <c r="H93" s="1410">
        <f>H97/1.63</f>
        <v>3171278.0556563423</v>
      </c>
      <c r="I93" s="1389"/>
      <c r="J93" s="1409" t="s">
        <v>287</v>
      </c>
    </row>
    <row r="94" spans="2:10" ht="15">
      <c r="B94" s="1366" t="s">
        <v>1054</v>
      </c>
      <c r="C94" s="1425">
        <f>SUMIFS(E42:AH42, E50:AH50, "&lt;=" &amp; VALUE(RIGHT(E93, LEN(E93)-FIND(" ", E93))))</f>
        <v>7202907.5057342537</v>
      </c>
      <c r="D94" s="1390" t="s">
        <v>67</v>
      </c>
      <c r="G94" s="1366" t="s">
        <v>1073</v>
      </c>
      <c r="H94" s="1405">
        <f>SUMIFS(E43:AH43, E50:AH50, "&lt;=" &amp; VALUE(RIGHT(J93, LEN(J93)-FIND(" ", J93))))</f>
        <v>1271101.324541339</v>
      </c>
      <c r="I94" s="1390" t="s">
        <v>67</v>
      </c>
    </row>
    <row r="95" spans="2:10">
      <c r="B95" s="1366" t="s">
        <v>1077</v>
      </c>
      <c r="C95" s="1413">
        <f>IF(GapCalc!D41*C42&lt; 0,0,GapCalc!D41*C42)</f>
        <v>4592436.9742579991</v>
      </c>
      <c r="D95" s="1390" t="s">
        <v>67</v>
      </c>
      <c r="G95" s="1366" t="s">
        <v>1078</v>
      </c>
      <c r="H95" s="1413">
        <f>IF(GapCalc!D41*C43&lt; 0,0,GapCalc!D41*C43)</f>
        <v>810430.05428082345</v>
      </c>
      <c r="I95" s="1390" t="s">
        <v>67</v>
      </c>
    </row>
    <row r="96" spans="2:10">
      <c r="B96" s="1366" t="s">
        <v>1058</v>
      </c>
      <c r="C96" s="1413">
        <f>'Debt Calc'!H60</f>
        <v>24943340.102568097</v>
      </c>
      <c r="D96" s="1391">
        <v>0.9</v>
      </c>
      <c r="G96" s="1366" t="s">
        <v>1074</v>
      </c>
      <c r="H96" s="1413">
        <f>'Debt Calc'!E59*C43</f>
        <v>3087651.8518976751</v>
      </c>
      <c r="I96" s="1391">
        <v>0.9</v>
      </c>
    </row>
    <row r="97" spans="2:9">
      <c r="B97" s="1368" t="s">
        <v>1041</v>
      </c>
      <c r="C97" s="1422">
        <f>C94+C95+C96</f>
        <v>36738684.582560346</v>
      </c>
      <c r="D97" s="1390" t="s">
        <v>67</v>
      </c>
      <c r="G97" s="1368" t="s">
        <v>1041</v>
      </c>
      <c r="H97" s="1422">
        <f>H94+H95+H96</f>
        <v>5169183.2307198374</v>
      </c>
      <c r="I97" s="1390" t="s">
        <v>67</v>
      </c>
    </row>
    <row r="98" spans="2:9">
      <c r="B98" s="1368" t="s">
        <v>1042</v>
      </c>
      <c r="C98" s="1416">
        <f>C97/C93</f>
        <v>1.63</v>
      </c>
      <c r="D98" s="1392"/>
      <c r="G98" s="1368" t="s">
        <v>1042</v>
      </c>
      <c r="H98" s="1416">
        <f>H97/H93</f>
        <v>1.63</v>
      </c>
      <c r="I98" s="1392"/>
    </row>
    <row r="99" spans="2:9">
      <c r="B99" s="1366" t="s">
        <v>1043</v>
      </c>
      <c r="C99" s="1369">
        <f>(C97-C93)/C93</f>
        <v>0.62999999999999989</v>
      </c>
      <c r="D99" s="1393"/>
      <c r="G99" s="1366" t="s">
        <v>1043</v>
      </c>
      <c r="H99" s="1369">
        <f>(H97-H93)/H93</f>
        <v>0.62999999999999978</v>
      </c>
      <c r="I99" s="1393"/>
    </row>
    <row r="100" spans="2:9">
      <c r="B100" s="1368" t="s">
        <v>1044</v>
      </c>
      <c r="C100" s="1411">
        <f>C99/7</f>
        <v>8.9999999999999983E-2</v>
      </c>
      <c r="D100" s="1393"/>
      <c r="G100" s="1368" t="s">
        <v>1044</v>
      </c>
      <c r="H100" s="1411">
        <f>H99/7</f>
        <v>8.9999999999999969E-2</v>
      </c>
      <c r="I100" s="1393"/>
    </row>
    <row r="101" spans="2:9" ht="13.5" thickBot="1">
      <c r="B101" s="1423" t="s">
        <v>1079</v>
      </c>
      <c r="C101" s="1426">
        <f>GapCalc!H33</f>
        <v>16195602.500000002</v>
      </c>
      <c r="D101" s="1394"/>
      <c r="G101" s="1423" t="s">
        <v>1081</v>
      </c>
      <c r="H101" s="1426">
        <f>GapCalc!H32</f>
        <v>2858047.5000000005</v>
      </c>
      <c r="I101" s="1394"/>
    </row>
    <row r="102" spans="2:9">
      <c r="B102" s="70" t="s">
        <v>1080</v>
      </c>
      <c r="C102" s="1424">
        <f>(C97-C101)/C101</f>
        <v>1.2684358042598503</v>
      </c>
      <c r="G102" s="70" t="s">
        <v>1080</v>
      </c>
      <c r="H102" s="1424">
        <f>(H97-H101)/H101</f>
        <v>0.80864146964661587</v>
      </c>
    </row>
    <row r="103" spans="2:9">
      <c r="B103" s="70" t="s">
        <v>1044</v>
      </c>
      <c r="C103" s="1424">
        <f>C102/10</f>
        <v>0.12684358042598504</v>
      </c>
      <c r="G103" s="70" t="s">
        <v>1044</v>
      </c>
      <c r="H103" s="1424">
        <f>H102/10</f>
        <v>8.0864146964661585E-2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7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649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650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651</v>
      </c>
      <c r="B10" s="845"/>
      <c r="C10" s="845"/>
      <c r="D10" s="845"/>
      <c r="E10" s="1395"/>
      <c r="F10" s="845"/>
      <c r="G10" s="934"/>
      <c r="H10" s="862"/>
      <c r="I10" s="1396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652</v>
      </c>
      <c r="C11" s="865">
        <f>'Rental Income'!E17</f>
        <v>82190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653</v>
      </c>
      <c r="C12" s="871"/>
      <c r="D12" s="872"/>
      <c r="E12" s="845"/>
      <c r="F12" s="845"/>
      <c r="G12" s="1397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654</v>
      </c>
      <c r="C13" s="865">
        <f>SUM(C11:C12)*D13</f>
        <v>16438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655</v>
      </c>
      <c r="C14" s="876">
        <f>SUM(C11:C13)</f>
        <v>98628</v>
      </c>
      <c r="D14" s="874"/>
      <c r="E14" s="845"/>
      <c r="F14" s="845"/>
      <c r="G14" s="845"/>
      <c r="H14" s="862"/>
      <c r="I14" s="1398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603"/>
      <c r="R16" s="1603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9"/>
      <c r="J17" s="845"/>
      <c r="K17" s="845"/>
      <c r="L17" s="1604"/>
      <c r="M17" s="867"/>
      <c r="N17" s="845"/>
      <c r="O17" s="874"/>
      <c r="P17" s="845"/>
      <c r="Q17" s="869"/>
      <c r="R17" s="870"/>
    </row>
    <row r="18" spans="1:18">
      <c r="A18" s="845"/>
      <c r="B18" s="883" t="s">
        <v>656</v>
      </c>
      <c r="C18" s="884">
        <f>SUM(C15:C17)</f>
        <v>0</v>
      </c>
      <c r="D18" s="845"/>
      <c r="E18" s="845"/>
      <c r="F18" s="845"/>
      <c r="G18" s="845"/>
      <c r="H18" s="862"/>
      <c r="I18" s="1396"/>
      <c r="J18" s="845"/>
      <c r="K18" s="845"/>
      <c r="L18" s="1605"/>
      <c r="M18" s="885"/>
      <c r="N18" s="845"/>
      <c r="O18" s="910"/>
      <c r="P18" s="845"/>
      <c r="Q18" s="869"/>
      <c r="R18" s="870"/>
    </row>
    <row r="19" spans="1:18">
      <c r="A19" s="845"/>
      <c r="B19" s="878" t="s">
        <v>657</v>
      </c>
      <c r="C19" s="887">
        <f>SUM(C14:C16)</f>
        <v>98628</v>
      </c>
      <c r="D19" s="845"/>
      <c r="E19" s="845"/>
      <c r="F19" s="845"/>
      <c r="G19" s="845"/>
      <c r="H19" s="862"/>
      <c r="I19" s="1400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658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659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660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652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654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661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655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662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663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656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657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664</v>
      </c>
      <c r="C34" s="894">
        <f>C19+C32</f>
        <v>98628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665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666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667</v>
      </c>
      <c r="C38" s="899" t="s">
        <v>668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669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605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670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429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8"/>
      <c r="M45" s="1238"/>
      <c r="N45" s="1238"/>
      <c r="O45" s="1238"/>
      <c r="P45" s="1238"/>
      <c r="Q45" s="845"/>
    </row>
    <row r="46" spans="1:18">
      <c r="A46" s="878" t="s">
        <v>671</v>
      </c>
      <c r="B46" s="845"/>
      <c r="C46" s="845"/>
      <c r="D46" s="845"/>
      <c r="E46" s="845" t="s">
        <v>672</v>
      </c>
      <c r="F46" s="905"/>
      <c r="G46" s="845"/>
      <c r="H46" s="845"/>
      <c r="I46" s="845"/>
      <c r="J46" s="845"/>
      <c r="K46" s="845"/>
      <c r="L46" s="1242" t="s">
        <v>969</v>
      </c>
      <c r="M46" s="1244">
        <f>'Rental Income'!D15</f>
        <v>101</v>
      </c>
      <c r="N46" s="1239"/>
      <c r="O46" s="1239"/>
      <c r="P46" s="1239"/>
      <c r="Q46" s="845"/>
    </row>
    <row r="47" spans="1:18">
      <c r="A47" s="879"/>
      <c r="B47" s="878" t="s">
        <v>673</v>
      </c>
      <c r="C47" s="906">
        <f>ROUNDDOWN(M46*M47,1)</f>
        <v>50.5</v>
      </c>
      <c r="D47" s="866"/>
      <c r="E47" s="907"/>
      <c r="F47" s="908"/>
      <c r="G47" s="863" t="s">
        <v>674</v>
      </c>
      <c r="H47" s="909" t="s">
        <v>675</v>
      </c>
      <c r="I47" s="863" t="s">
        <v>676</v>
      </c>
      <c r="J47" s="863" t="s">
        <v>677</v>
      </c>
      <c r="K47" s="845"/>
      <c r="L47" s="1243" t="s">
        <v>970</v>
      </c>
      <c r="M47" s="1245">
        <v>0.5</v>
      </c>
      <c r="N47" s="1240"/>
      <c r="O47" s="1241"/>
      <c r="P47" s="1240"/>
      <c r="Q47" s="910"/>
    </row>
    <row r="48" spans="1:18">
      <c r="A48" s="879"/>
      <c r="B48" s="911" t="s">
        <v>605</v>
      </c>
      <c r="C48" s="912">
        <f>P65</f>
        <v>0</v>
      </c>
      <c r="D48" s="866"/>
      <c r="E48" s="845" t="s">
        <v>678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70"/>
      <c r="M48" s="846"/>
      <c r="N48" s="1571"/>
      <c r="O48" s="885"/>
      <c r="P48" s="1571"/>
      <c r="Q48" s="845"/>
    </row>
    <row r="49" spans="1:17">
      <c r="A49" s="879"/>
      <c r="B49" s="878" t="s">
        <v>679</v>
      </c>
      <c r="C49" s="906">
        <f>SUM(C47:C48)</f>
        <v>50.5</v>
      </c>
      <c r="D49" s="866"/>
      <c r="E49" s="845" t="s">
        <v>576</v>
      </c>
      <c r="F49" s="845"/>
      <c r="G49" s="913">
        <v>143</v>
      </c>
      <c r="H49" s="874">
        <f>C53*D53</f>
        <v>0</v>
      </c>
      <c r="I49" s="874">
        <f>G49*H49</f>
        <v>0</v>
      </c>
      <c r="J49" s="915">
        <f>IFERROR(I49/C53,0)</f>
        <v>0</v>
      </c>
      <c r="K49" s="845"/>
      <c r="L49" s="1570"/>
      <c r="M49" s="846"/>
      <c r="N49" s="1571"/>
      <c r="O49" s="885"/>
      <c r="P49" s="1571"/>
      <c r="Q49" s="845"/>
    </row>
    <row r="50" spans="1:17">
      <c r="A50" s="845"/>
      <c r="B50" s="878"/>
      <c r="C50" s="870"/>
      <c r="D50" s="866"/>
      <c r="E50" s="907" t="s">
        <v>680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70"/>
      <c r="M50" s="846"/>
      <c r="N50" s="1571"/>
      <c r="O50" s="885"/>
      <c r="P50" s="1571"/>
      <c r="Q50" s="845"/>
    </row>
    <row r="51" spans="1:17">
      <c r="A51" s="845"/>
      <c r="B51" s="907" t="s">
        <v>681</v>
      </c>
      <c r="C51" s="907"/>
      <c r="D51" s="908" t="s">
        <v>682</v>
      </c>
      <c r="E51" s="919" t="s">
        <v>59</v>
      </c>
      <c r="F51" s="919"/>
      <c r="G51" s="919"/>
      <c r="H51" s="920">
        <f>SUM(H48:H50)</f>
        <v>0</v>
      </c>
      <c r="I51" s="920">
        <f>SUM(I48:I50)</f>
        <v>0</v>
      </c>
      <c r="J51" s="915"/>
      <c r="K51" s="845"/>
      <c r="L51" s="1570"/>
      <c r="M51" s="846"/>
      <c r="N51" s="1571"/>
      <c r="O51" s="885"/>
      <c r="P51" s="1571"/>
      <c r="Q51" s="845"/>
    </row>
    <row r="52" spans="1:17">
      <c r="A52" s="845"/>
      <c r="B52" s="845" t="s">
        <v>678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70"/>
      <c r="M52" s="1560"/>
      <c r="N52" s="1571"/>
      <c r="O52" s="885"/>
      <c r="P52" s="1571"/>
      <c r="Q52" s="845"/>
    </row>
    <row r="53" spans="1:17">
      <c r="A53" s="845"/>
      <c r="B53" s="845" t="s">
        <v>576</v>
      </c>
      <c r="C53" s="921">
        <v>0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669</v>
      </c>
      <c r="I53" s="924">
        <f>I51/C49*C47</f>
        <v>0</v>
      </c>
      <c r="J53" s="874"/>
      <c r="K53" s="845"/>
      <c r="L53" s="1570"/>
      <c r="M53" s="1560"/>
      <c r="N53" s="1571"/>
      <c r="O53" s="885"/>
      <c r="P53" s="1571"/>
      <c r="Q53" s="845"/>
    </row>
    <row r="54" spans="1:17">
      <c r="A54" s="845"/>
      <c r="B54" s="907" t="s">
        <v>680</v>
      </c>
      <c r="C54" s="925">
        <v>0</v>
      </c>
      <c r="D54" s="926">
        <v>425</v>
      </c>
      <c r="E54" s="845"/>
      <c r="F54" s="927"/>
      <c r="G54" s="845"/>
      <c r="H54" s="869" t="s">
        <v>683</v>
      </c>
      <c r="I54" s="927">
        <f>I51/C49*C48</f>
        <v>0</v>
      </c>
      <c r="J54" s="874"/>
      <c r="K54" s="845"/>
      <c r="L54" s="1570"/>
      <c r="M54" s="1571"/>
      <c r="N54" s="1571"/>
      <c r="O54" s="885"/>
      <c r="P54" s="1571"/>
      <c r="Q54" s="845"/>
    </row>
    <row r="55" spans="1:17">
      <c r="A55" s="928"/>
      <c r="B55" s="845" t="s">
        <v>679</v>
      </c>
      <c r="C55" s="870">
        <f>SUM(C52:C54)</f>
        <v>0</v>
      </c>
      <c r="D55" s="845"/>
      <c r="E55" s="845"/>
      <c r="F55" s="927"/>
      <c r="G55" s="845"/>
      <c r="H55" s="862" t="s">
        <v>684</v>
      </c>
      <c r="I55" s="929">
        <f>SUM(I53:I54)</f>
        <v>0</v>
      </c>
      <c r="J55" s="845"/>
      <c r="K55" s="845"/>
      <c r="L55" s="1570"/>
      <c r="M55" s="1560"/>
      <c r="N55" s="1571"/>
      <c r="O55" s="885"/>
      <c r="P55" s="1571"/>
      <c r="Q55" s="845"/>
    </row>
    <row r="56" spans="1:17">
      <c r="A56" s="845"/>
      <c r="B56" s="930" t="s">
        <v>685</v>
      </c>
      <c r="C56" s="931">
        <f>C49-C55</f>
        <v>50.5</v>
      </c>
      <c r="D56" s="845"/>
      <c r="E56" s="845"/>
      <c r="F56" s="927"/>
      <c r="G56" s="845"/>
      <c r="H56" s="845"/>
      <c r="I56" s="874"/>
      <c r="J56" s="874"/>
      <c r="K56" s="845"/>
      <c r="L56" s="1570"/>
      <c r="M56" s="1560"/>
      <c r="N56" s="1571"/>
      <c r="O56" s="885"/>
      <c r="P56" s="1571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70"/>
      <c r="M57" s="1560"/>
      <c r="N57" s="1571"/>
      <c r="O57" s="885"/>
      <c r="P57" s="1571"/>
      <c r="Q57" s="845"/>
    </row>
    <row r="58" spans="1:17">
      <c r="A58" s="1578" t="s">
        <v>686</v>
      </c>
      <c r="B58" s="1579"/>
      <c r="C58" s="1579"/>
      <c r="D58" s="1579"/>
      <c r="E58" s="1579"/>
      <c r="F58" s="1576"/>
      <c r="G58" s="1579"/>
      <c r="H58" s="1579"/>
      <c r="I58" s="1579"/>
      <c r="J58" s="1580"/>
      <c r="K58" s="1579"/>
      <c r="L58" s="1570"/>
      <c r="M58" s="846"/>
      <c r="N58" s="1571"/>
      <c r="O58" s="885"/>
      <c r="P58" s="1571"/>
      <c r="Q58" s="845"/>
    </row>
    <row r="59" spans="1:17">
      <c r="A59" s="1579" t="s">
        <v>687</v>
      </c>
      <c r="B59" s="1581"/>
      <c r="C59" s="1582"/>
      <c r="D59" s="1579"/>
      <c r="E59" s="1579"/>
      <c r="F59" s="1581"/>
      <c r="G59" s="1582"/>
      <c r="H59" s="1579"/>
      <c r="I59" s="1580"/>
      <c r="J59" s="1580"/>
      <c r="K59" s="1579"/>
      <c r="L59" s="1570"/>
      <c r="M59" s="846"/>
      <c r="N59" s="1571"/>
      <c r="O59" s="885"/>
      <c r="P59" s="1571"/>
      <c r="Q59" s="910"/>
    </row>
    <row r="60" spans="1:17">
      <c r="A60" s="1579"/>
      <c r="B60" s="1579" t="s">
        <v>688</v>
      </c>
      <c r="C60" s="1573">
        <v>33000</v>
      </c>
      <c r="D60" s="1579"/>
      <c r="E60" s="1579"/>
      <c r="F60" s="1579"/>
      <c r="G60" s="1579"/>
      <c r="H60" s="1573"/>
      <c r="I60" s="1583"/>
      <c r="J60" s="1580"/>
      <c r="K60" s="1579"/>
      <c r="L60" s="1570"/>
      <c r="M60" s="846"/>
      <c r="N60" s="1571"/>
      <c r="O60" s="885"/>
      <c r="P60" s="1571"/>
      <c r="Q60" s="910"/>
    </row>
    <row r="61" spans="1:17">
      <c r="A61" s="1579"/>
      <c r="B61" s="1579" t="s">
        <v>689</v>
      </c>
      <c r="C61" s="1574">
        <v>1</v>
      </c>
      <c r="D61" s="1579"/>
      <c r="E61" s="1579"/>
      <c r="F61" s="1581"/>
      <c r="G61" s="1579"/>
      <c r="H61" s="1575"/>
      <c r="I61" s="1580"/>
      <c r="J61" s="1584"/>
      <c r="K61" s="1579"/>
      <c r="L61" s="1570"/>
      <c r="M61" s="846"/>
      <c r="N61" s="1571"/>
      <c r="O61" s="885"/>
      <c r="P61" s="1571"/>
      <c r="Q61" s="845"/>
    </row>
    <row r="62" spans="1:17">
      <c r="A62" s="1579"/>
      <c r="B62" s="1579" t="s">
        <v>690</v>
      </c>
      <c r="C62" s="1576">
        <f>+C61*C60</f>
        <v>33000</v>
      </c>
      <c r="D62" s="1579"/>
      <c r="E62" s="1579"/>
      <c r="F62" s="1581"/>
      <c r="G62" s="1579"/>
      <c r="H62" s="1576"/>
      <c r="I62" s="1580"/>
      <c r="J62" s="1584"/>
      <c r="K62" s="1579"/>
      <c r="L62" s="864"/>
      <c r="M62" s="930"/>
      <c r="N62" s="1571"/>
      <c r="O62" s="869"/>
      <c r="P62" s="1571"/>
      <c r="Q62" s="845"/>
    </row>
    <row r="63" spans="1:17">
      <c r="A63" s="1579"/>
      <c r="B63" s="1576"/>
      <c r="C63" s="1579"/>
      <c r="D63" s="1579"/>
      <c r="E63" s="1585"/>
      <c r="F63" s="1579"/>
      <c r="G63" s="1579"/>
      <c r="H63" s="1579"/>
      <c r="I63" s="1579"/>
      <c r="J63" s="1579"/>
      <c r="K63" s="1579"/>
      <c r="L63" s="864"/>
      <c r="M63" s="846"/>
      <c r="N63" s="846"/>
      <c r="O63" s="869"/>
      <c r="P63" s="846"/>
      <c r="Q63" s="845"/>
    </row>
    <row r="64" spans="1:17">
      <c r="A64" s="1586" t="s">
        <v>692</v>
      </c>
      <c r="B64" s="1587"/>
      <c r="C64" s="1587"/>
      <c r="D64" s="1587"/>
      <c r="E64" s="1588"/>
      <c r="F64" s="1587"/>
      <c r="G64" s="1587"/>
      <c r="H64" s="1587"/>
      <c r="I64" s="1587"/>
      <c r="J64" s="1579"/>
      <c r="K64" s="1579"/>
      <c r="L64" s="864"/>
      <c r="M64" s="846"/>
      <c r="N64" s="1571"/>
      <c r="O64" s="869"/>
      <c r="P64" s="846"/>
      <c r="Q64" s="1572"/>
    </row>
    <row r="65" spans="1:17">
      <c r="A65" s="1579"/>
      <c r="B65" s="1589" t="s">
        <v>693</v>
      </c>
      <c r="C65" s="1587"/>
      <c r="D65" s="1587"/>
      <c r="E65" s="1579"/>
      <c r="F65" s="1589" t="s">
        <v>694</v>
      </c>
      <c r="G65" s="1587"/>
      <c r="H65" s="1587"/>
      <c r="I65" s="1587"/>
      <c r="J65" s="1579"/>
      <c r="K65" s="1579"/>
      <c r="L65" s="845"/>
      <c r="M65" s="846"/>
      <c r="N65" s="846"/>
      <c r="O65" s="869"/>
      <c r="P65" s="846"/>
      <c r="Q65" s="845"/>
    </row>
    <row r="66" spans="1:17">
      <c r="A66" s="1579"/>
      <c r="B66" s="1581" t="s">
        <v>695</v>
      </c>
      <c r="C66" s="1580">
        <f>2000+1000</f>
        <v>3000</v>
      </c>
      <c r="D66" s="1579"/>
      <c r="E66" s="1579"/>
      <c r="F66" s="1581" t="s">
        <v>696</v>
      </c>
      <c r="G66" s="1579"/>
      <c r="H66" s="1576">
        <v>0</v>
      </c>
      <c r="I66" s="1579">
        <v>3.5E-4</v>
      </c>
      <c r="J66" s="1579"/>
      <c r="K66" s="1579"/>
      <c r="L66" s="845"/>
      <c r="M66" s="846"/>
      <c r="N66" s="846"/>
      <c r="O66" s="869"/>
      <c r="P66" s="846"/>
      <c r="Q66" s="845"/>
    </row>
    <row r="67" spans="1:17">
      <c r="A67" s="1579"/>
      <c r="B67" s="1581" t="s">
        <v>697</v>
      </c>
      <c r="C67" s="1580">
        <v>0</v>
      </c>
      <c r="D67" s="1577">
        <v>0.04</v>
      </c>
      <c r="E67" s="1579"/>
      <c r="F67" s="1581" t="s">
        <v>698</v>
      </c>
      <c r="G67" s="1579"/>
      <c r="H67" s="1576">
        <v>0</v>
      </c>
      <c r="I67" s="1590">
        <v>5.0000000000000001E-3</v>
      </c>
      <c r="J67" s="1576"/>
      <c r="K67" s="1579"/>
      <c r="L67" s="845"/>
      <c r="M67" s="846"/>
      <c r="N67" s="846"/>
      <c r="O67" s="869"/>
      <c r="P67" s="845"/>
      <c r="Q67" s="845"/>
    </row>
    <row r="68" spans="1:17">
      <c r="A68" s="1579"/>
      <c r="B68" s="1581" t="s">
        <v>698</v>
      </c>
      <c r="C68" s="1580">
        <v>0</v>
      </c>
      <c r="D68" s="1577">
        <v>0.04</v>
      </c>
      <c r="E68" s="1579"/>
      <c r="F68" s="1579" t="s">
        <v>59</v>
      </c>
      <c r="G68" s="1579"/>
      <c r="H68" s="1580">
        <f>SUM(H66:H67)</f>
        <v>0</v>
      </c>
      <c r="I68" s="1579"/>
      <c r="J68" s="1579"/>
      <c r="K68" s="1579"/>
      <c r="L68" s="845"/>
      <c r="M68" s="846"/>
      <c r="N68" s="846"/>
      <c r="O68" s="845"/>
      <c r="P68" s="845"/>
      <c r="Q68" s="845"/>
    </row>
    <row r="69" spans="1:17">
      <c r="A69" s="1579"/>
      <c r="B69" s="1581" t="s">
        <v>699</v>
      </c>
      <c r="C69" s="1580">
        <v>5330</v>
      </c>
      <c r="D69" s="1591">
        <v>410</v>
      </c>
      <c r="E69" s="1579"/>
      <c r="F69" s="1579"/>
      <c r="G69" s="1579"/>
      <c r="H69" s="1579"/>
      <c r="I69" s="1579"/>
      <c r="J69" s="1579"/>
      <c r="K69" s="1579"/>
      <c r="L69" s="845"/>
      <c r="M69" s="846"/>
      <c r="N69" s="846"/>
      <c r="O69" s="845"/>
      <c r="P69" s="845"/>
      <c r="Q69" s="845"/>
    </row>
    <row r="70" spans="1:17">
      <c r="A70" s="1579"/>
      <c r="B70" s="1579" t="s">
        <v>59</v>
      </c>
      <c r="C70" s="1580">
        <f>SUM(C66:C69)</f>
        <v>8330</v>
      </c>
      <c r="D70" s="1592"/>
      <c r="E70" s="1579"/>
      <c r="F70" s="1593" t="s">
        <v>700</v>
      </c>
      <c r="G70" s="1594" t="s">
        <v>701</v>
      </c>
      <c r="H70" s="1579"/>
      <c r="I70" s="1579"/>
      <c r="J70" s="1579"/>
      <c r="K70" s="1579"/>
      <c r="L70" s="845"/>
      <c r="M70" s="846"/>
      <c r="N70" s="846"/>
      <c r="O70" s="845"/>
      <c r="P70" s="845"/>
      <c r="Q70" s="845"/>
    </row>
    <row r="71" spans="1:17">
      <c r="A71" s="1579"/>
      <c r="B71" s="1581"/>
      <c r="C71" s="1595"/>
      <c r="D71" s="1592"/>
      <c r="E71" s="1579"/>
      <c r="F71" s="1579"/>
      <c r="G71" s="1579"/>
      <c r="H71" s="1579"/>
      <c r="I71" s="1579"/>
      <c r="J71" s="1579"/>
      <c r="K71" s="1579"/>
      <c r="L71" s="845"/>
      <c r="M71" s="846"/>
      <c r="N71" s="846"/>
      <c r="O71" s="845"/>
      <c r="P71" s="845"/>
      <c r="Q71" s="845"/>
    </row>
    <row r="72" spans="1:17">
      <c r="A72" s="1579"/>
      <c r="B72" s="1589" t="s">
        <v>702</v>
      </c>
      <c r="C72" s="1587"/>
      <c r="D72" s="1592"/>
      <c r="E72" s="1579"/>
      <c r="F72" s="1579"/>
      <c r="G72" s="1579"/>
      <c r="H72" s="1579"/>
      <c r="I72" s="1579"/>
      <c r="J72" s="1579"/>
      <c r="K72" s="1579"/>
      <c r="L72" s="845"/>
      <c r="M72" s="846"/>
      <c r="N72" s="846"/>
      <c r="O72" s="845"/>
      <c r="P72" s="845"/>
      <c r="Q72" s="845"/>
    </row>
    <row r="73" spans="1:17">
      <c r="A73" s="1579"/>
      <c r="B73" s="1581" t="s">
        <v>695</v>
      </c>
      <c r="C73" s="1580">
        <v>1000</v>
      </c>
      <c r="D73" s="1592" t="s">
        <v>703</v>
      </c>
      <c r="E73" s="1579"/>
      <c r="F73" s="1579"/>
      <c r="G73" s="1579"/>
      <c r="H73" s="1579"/>
      <c r="I73" s="1579"/>
      <c r="J73" s="1579"/>
      <c r="K73" s="1579"/>
      <c r="L73" s="845"/>
      <c r="M73" s="846"/>
      <c r="N73" s="846"/>
      <c r="O73" s="845"/>
      <c r="P73" s="845"/>
      <c r="Q73" s="845"/>
    </row>
    <row r="74" spans="1:17">
      <c r="A74" s="1579"/>
      <c r="B74" s="1581" t="s">
        <v>704</v>
      </c>
      <c r="C74" s="1576">
        <v>0</v>
      </c>
      <c r="D74" s="1577">
        <v>0.01</v>
      </c>
      <c r="E74" s="1579"/>
      <c r="F74" s="1579"/>
      <c r="G74" s="1579"/>
      <c r="H74" s="1579"/>
      <c r="I74" s="1579"/>
      <c r="J74" s="1579"/>
      <c r="K74" s="1579"/>
      <c r="L74" s="845"/>
      <c r="M74" s="846"/>
      <c r="N74" s="846"/>
      <c r="O74" s="845"/>
      <c r="P74" s="845"/>
      <c r="Q74" s="845"/>
    </row>
    <row r="75" spans="1:17">
      <c r="A75" s="1579"/>
      <c r="B75" s="1581" t="s">
        <v>698</v>
      </c>
      <c r="C75" s="1576">
        <v>0</v>
      </c>
      <c r="D75" s="1577">
        <v>0.02</v>
      </c>
      <c r="E75" s="1579" t="s">
        <v>705</v>
      </c>
      <c r="F75" s="1579"/>
      <c r="G75" s="1579"/>
      <c r="H75" s="1579"/>
      <c r="I75" s="1579"/>
      <c r="J75" s="1579"/>
      <c r="K75" s="1579"/>
      <c r="L75" s="845"/>
      <c r="M75" s="846"/>
      <c r="N75" s="846"/>
      <c r="O75" s="845"/>
      <c r="P75" s="845"/>
      <c r="Q75" s="845"/>
    </row>
    <row r="76" spans="1:17">
      <c r="A76" s="1579"/>
      <c r="B76" s="1581" t="s">
        <v>699</v>
      </c>
      <c r="C76" s="1580">
        <v>5330</v>
      </c>
      <c r="D76" s="1591">
        <v>410</v>
      </c>
      <c r="E76" s="1579"/>
      <c r="F76" s="1579"/>
      <c r="G76" s="1579"/>
      <c r="H76" s="1579"/>
      <c r="I76" s="1579"/>
      <c r="J76" s="1579"/>
      <c r="K76" s="1579"/>
      <c r="L76" s="845"/>
      <c r="M76" s="846"/>
      <c r="N76" s="846"/>
      <c r="O76" s="845"/>
      <c r="P76" s="845"/>
      <c r="Q76" s="845"/>
    </row>
    <row r="77" spans="1:17">
      <c r="A77" s="1579"/>
      <c r="B77" s="1579" t="s">
        <v>59</v>
      </c>
      <c r="C77" s="1580">
        <f>SUM(C73:C76)</f>
        <v>6330</v>
      </c>
      <c r="D77" s="1579"/>
      <c r="E77" s="1579"/>
      <c r="F77" s="1579"/>
      <c r="G77" s="1579"/>
      <c r="H77" s="1579"/>
      <c r="I77" s="1579"/>
      <c r="J77" s="1579"/>
      <c r="K77" s="1579"/>
      <c r="L77" s="845"/>
      <c r="M77" s="846"/>
      <c r="N77" s="846"/>
      <c r="O77" s="845"/>
      <c r="P77" s="845"/>
      <c r="Q77" s="845"/>
    </row>
    <row r="78" spans="1:17">
      <c r="A78" s="1579"/>
      <c r="B78" s="1579"/>
      <c r="C78" s="1579"/>
      <c r="D78" s="1579"/>
      <c r="E78" s="1579"/>
      <c r="F78" s="1579"/>
      <c r="G78" s="1579"/>
      <c r="H78" s="1579"/>
      <c r="I78" s="1579"/>
      <c r="J78" s="1579"/>
      <c r="K78" s="1579"/>
      <c r="L78" s="845"/>
      <c r="M78" s="846"/>
      <c r="N78" s="846"/>
      <c r="O78" s="845"/>
      <c r="P78" s="845"/>
      <c r="Q78" s="845"/>
    </row>
    <row r="79" spans="1:17">
      <c r="A79" s="1593" t="s">
        <v>700</v>
      </c>
      <c r="B79" s="1596" t="s">
        <v>706</v>
      </c>
      <c r="C79" s="1579"/>
      <c r="D79" s="1579"/>
      <c r="E79" s="1579"/>
      <c r="F79" s="1579"/>
      <c r="G79" s="1579"/>
      <c r="H79" s="1579"/>
      <c r="I79" s="1579"/>
      <c r="J79" s="1579"/>
      <c r="K79" s="1579"/>
      <c r="L79" s="845"/>
      <c r="M79" s="846"/>
      <c r="N79" s="846"/>
      <c r="O79" s="845"/>
      <c r="P79" s="845"/>
      <c r="Q79" s="845"/>
    </row>
    <row r="80" spans="1:17">
      <c r="A80" s="1579"/>
      <c r="B80" s="1581"/>
      <c r="C80" s="1595"/>
      <c r="D80" s="1579"/>
      <c r="E80" s="1579"/>
      <c r="F80" s="1579"/>
      <c r="G80" s="1579"/>
      <c r="H80" s="1579"/>
      <c r="I80" s="1579"/>
      <c r="J80" s="1579"/>
      <c r="K80" s="1579"/>
      <c r="L80" s="845"/>
      <c r="M80" s="846"/>
      <c r="N80" s="846"/>
      <c r="O80" s="845"/>
    </row>
    <row r="81" spans="1:15">
      <c r="A81" s="1578"/>
      <c r="B81" s="1578"/>
      <c r="C81" s="1579"/>
      <c r="D81" s="1579"/>
      <c r="E81" s="1579"/>
      <c r="F81" s="1579"/>
      <c r="G81" s="1579"/>
      <c r="H81" s="1579"/>
      <c r="I81" s="1579"/>
      <c r="J81" s="1579"/>
      <c r="K81" s="1579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61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62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62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62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3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3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3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3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6"/>
      <c r="E92" s="1606"/>
      <c r="F92" s="936"/>
      <c r="G92" s="938"/>
      <c r="H92" s="1563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3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3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3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3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3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3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3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3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4"/>
      <c r="E101" s="845"/>
      <c r="F101" s="936"/>
      <c r="G101" s="938"/>
      <c r="H101" s="1563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4"/>
      <c r="E102" s="935"/>
      <c r="F102" s="936"/>
      <c r="G102" s="938"/>
      <c r="H102" s="1563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4"/>
      <c r="E103" s="845"/>
      <c r="F103" s="936"/>
      <c r="G103" s="938"/>
      <c r="H103" s="1563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4"/>
      <c r="E104" s="845"/>
      <c r="F104" s="936"/>
      <c r="G104" s="938"/>
      <c r="H104" s="1563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4"/>
      <c r="E105" s="845"/>
      <c r="F105" s="936"/>
      <c r="G105" s="938"/>
      <c r="H105" s="1563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4"/>
      <c r="E106" s="845"/>
      <c r="F106" s="936"/>
      <c r="G106" s="938"/>
      <c r="H106" s="1563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4"/>
      <c r="E107" s="845"/>
      <c r="F107" s="936"/>
      <c r="G107" s="938"/>
      <c r="H107" s="1563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4"/>
      <c r="E108" s="845"/>
      <c r="F108" s="936"/>
      <c r="G108" s="938"/>
      <c r="H108" s="1563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4"/>
      <c r="E109" s="845"/>
      <c r="F109" s="936"/>
      <c r="G109" s="938"/>
      <c r="H109" s="1563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4"/>
      <c r="E110" s="845"/>
      <c r="F110" s="936"/>
      <c r="G110" s="938"/>
      <c r="H110" s="1563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4"/>
      <c r="E111" s="845"/>
      <c r="F111" s="936"/>
      <c r="G111" s="938"/>
      <c r="H111" s="1563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4"/>
      <c r="E112" s="845"/>
      <c r="F112" s="936"/>
      <c r="G112" s="938"/>
      <c r="H112" s="1563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4"/>
      <c r="E113" s="845"/>
      <c r="F113" s="936"/>
      <c r="G113" s="938"/>
      <c r="H113" s="1563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4"/>
      <c r="E114" s="845"/>
      <c r="F114" s="936"/>
      <c r="G114" s="938"/>
      <c r="H114" s="1563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4"/>
      <c r="E115" s="845"/>
      <c r="F115" s="936"/>
      <c r="G115" s="938"/>
      <c r="H115" s="1563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4"/>
      <c r="E116" s="845"/>
      <c r="F116" s="936"/>
      <c r="G116" s="938"/>
      <c r="H116" s="1563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4"/>
      <c r="E117" s="845"/>
      <c r="F117" s="936"/>
      <c r="G117" s="938"/>
      <c r="H117" s="1563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4"/>
      <c r="E118" s="845"/>
      <c r="F118" s="936"/>
      <c r="G118" s="938"/>
      <c r="H118" s="1563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4"/>
      <c r="E119" s="866"/>
      <c r="F119" s="936"/>
      <c r="G119" s="938"/>
      <c r="H119" s="1563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60"/>
      <c r="D120" s="936"/>
      <c r="E120" s="845"/>
      <c r="F120" s="936"/>
      <c r="G120" s="938"/>
      <c r="H120" s="1563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60"/>
      <c r="D121" s="936"/>
      <c r="E121" s="845"/>
      <c r="F121" s="936"/>
      <c r="G121" s="938"/>
      <c r="H121" s="1563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5"/>
      <c r="D122" s="936"/>
      <c r="E122" s="845"/>
      <c r="F122" s="936"/>
      <c r="G122" s="938"/>
      <c r="H122" s="1563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6"/>
      <c r="D123" s="936"/>
      <c r="E123" s="845"/>
      <c r="F123" s="936"/>
      <c r="G123" s="938"/>
      <c r="H123" s="1563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5"/>
      <c r="D124" s="936"/>
      <c r="E124" s="845"/>
      <c r="F124" s="936"/>
      <c r="G124" s="938"/>
      <c r="H124" s="1563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5"/>
      <c r="D125" s="936"/>
      <c r="E125" s="845"/>
      <c r="F125" s="936"/>
      <c r="G125" s="938"/>
      <c r="H125" s="1563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3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7"/>
      <c r="D127" s="1013"/>
      <c r="E127" s="845"/>
      <c r="F127" s="936"/>
      <c r="G127" s="938"/>
      <c r="H127" s="1563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3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5"/>
      <c r="D134" s="1565"/>
      <c r="E134" s="1565"/>
      <c r="F134" s="1565"/>
      <c r="G134" s="1565"/>
      <c r="H134" s="1565"/>
      <c r="I134" s="1565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5"/>
      <c r="D135" s="1565"/>
      <c r="E135" s="1565"/>
      <c r="F135" s="1565"/>
      <c r="G135" s="1565"/>
      <c r="H135" s="1565"/>
      <c r="I135" s="1565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5"/>
      <c r="D136" s="1565"/>
      <c r="E136" s="1565"/>
      <c r="F136" s="1565"/>
      <c r="G136" s="1565"/>
      <c r="H136" s="1565"/>
      <c r="I136" s="1565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5"/>
      <c r="D137" s="1565"/>
      <c r="E137" s="1565"/>
      <c r="F137" s="1565"/>
      <c r="G137" s="1565"/>
      <c r="H137" s="1565"/>
      <c r="I137" s="1565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5"/>
      <c r="D138" s="1565"/>
      <c r="E138" s="1565"/>
      <c r="F138" s="1565"/>
      <c r="G138" s="1565"/>
      <c r="H138" s="1565"/>
      <c r="I138" s="1565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5"/>
      <c r="D139" s="1565"/>
      <c r="E139" s="1565"/>
      <c r="F139" s="1565"/>
      <c r="G139" s="1565"/>
      <c r="H139" s="1565"/>
      <c r="I139" s="1565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5"/>
      <c r="D140" s="1565"/>
      <c r="E140" s="1565"/>
      <c r="F140" s="1565"/>
      <c r="G140" s="1565"/>
      <c r="H140" s="1565"/>
      <c r="I140" s="1565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5"/>
      <c r="D141" s="1565"/>
      <c r="E141" s="1565"/>
      <c r="F141" s="1565"/>
      <c r="G141" s="1565"/>
      <c r="H141" s="1565"/>
      <c r="I141" s="1565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5"/>
      <c r="D142" s="1565"/>
      <c r="E142" s="1565"/>
      <c r="F142" s="1565"/>
      <c r="G142" s="1565"/>
      <c r="H142" s="1565"/>
      <c r="I142" s="1565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5"/>
      <c r="D143" s="1565"/>
      <c r="E143" s="1565"/>
      <c r="F143" s="1565"/>
      <c r="G143" s="1565"/>
      <c r="H143" s="1565"/>
      <c r="I143" s="1565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8"/>
      <c r="D144" s="1568"/>
      <c r="E144" s="1568"/>
      <c r="F144" s="1568"/>
      <c r="G144" s="1568"/>
      <c r="H144" s="1568"/>
      <c r="I144" s="1568"/>
      <c r="J144" s="845"/>
      <c r="K144" s="845"/>
      <c r="L144" s="845"/>
      <c r="M144" s="846"/>
      <c r="N144" s="846"/>
      <c r="O144" s="845"/>
    </row>
    <row r="145" spans="1:15">
      <c r="A145" s="1569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2480014.8458820791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35724541.052350491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35724500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10924380.039918758</v>
      </c>
    </row>
    <row r="15" spans="2:36">
      <c r="B15" s="556"/>
      <c r="C15" s="560" t="s">
        <v>633</v>
      </c>
      <c r="H15" s="561">
        <f>12*PMT(Data!C24/12,Data!C29*12,-'Debt Calc'!H14)</f>
        <v>2480011.9960081242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6647539.4935592301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6647539.4935592301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35724500</v>
      </c>
      <c r="E21" s="561">
        <f>$H$15</f>
        <v>2480011.9960081242</v>
      </c>
      <c r="F21" s="561">
        <f>E21-G21</f>
        <v>0</v>
      </c>
      <c r="G21" s="561">
        <f>D21-H21</f>
        <v>2480011.9960081242</v>
      </c>
      <c r="H21" s="561">
        <f>D21-E21</f>
        <v>33244488.003991876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33244488.003991876</v>
      </c>
      <c r="E22" s="561">
        <f t="shared" ref="E22:E50" si="1">$H$15</f>
        <v>2480011.9960081242</v>
      </c>
      <c r="F22" s="561">
        <f t="shared" ref="F22:F50" si="2">E22-G22</f>
        <v>0</v>
      </c>
      <c r="G22" s="561">
        <f t="shared" ref="G22:G50" si="3">D22-H22</f>
        <v>2480011.9960081242</v>
      </c>
      <c r="H22" s="561">
        <f t="shared" ref="H22:H39" si="4">D22-E22</f>
        <v>30764476.007983752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30764476.007983752</v>
      </c>
      <c r="E23" s="561">
        <f t="shared" si="1"/>
        <v>2480011.9960081242</v>
      </c>
      <c r="F23" s="561">
        <f t="shared" si="2"/>
        <v>0</v>
      </c>
      <c r="G23" s="561">
        <f t="shared" si="3"/>
        <v>2480011.9960081242</v>
      </c>
      <c r="H23" s="561">
        <f t="shared" si="4"/>
        <v>28284464.011975627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28284464.011975627</v>
      </c>
      <c r="E24" s="561">
        <f t="shared" si="1"/>
        <v>2480011.9960081242</v>
      </c>
      <c r="F24" s="561">
        <f t="shared" si="2"/>
        <v>0</v>
      </c>
      <c r="G24" s="561">
        <f t="shared" si="3"/>
        <v>2480011.9960081242</v>
      </c>
      <c r="H24" s="561">
        <f t="shared" si="4"/>
        <v>25804452.015967503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25804452.015967503</v>
      </c>
      <c r="E25" s="561">
        <f t="shared" si="1"/>
        <v>2480011.9960081242</v>
      </c>
      <c r="F25" s="561">
        <f t="shared" si="2"/>
        <v>0</v>
      </c>
      <c r="G25" s="561">
        <f t="shared" si="3"/>
        <v>2480011.9960081242</v>
      </c>
      <c r="H25" s="561">
        <f t="shared" si="4"/>
        <v>23324440.019959379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23324440.019959379</v>
      </c>
      <c r="E26" s="561">
        <f t="shared" si="1"/>
        <v>2480011.9960081242</v>
      </c>
      <c r="F26" s="561">
        <f t="shared" si="2"/>
        <v>0</v>
      </c>
      <c r="G26" s="561">
        <f t="shared" si="3"/>
        <v>2480011.9960081242</v>
      </c>
      <c r="H26" s="561">
        <f t="shared" si="4"/>
        <v>20844428.023951255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20844428.023951255</v>
      </c>
      <c r="E27" s="561">
        <f t="shared" si="1"/>
        <v>2480011.9960081242</v>
      </c>
      <c r="F27" s="561">
        <f t="shared" si="2"/>
        <v>0</v>
      </c>
      <c r="G27" s="561">
        <f t="shared" si="3"/>
        <v>2480011.9960081242</v>
      </c>
      <c r="H27" s="561">
        <f t="shared" si="4"/>
        <v>18364416.027943131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18364416.027943131</v>
      </c>
      <c r="E28" s="561">
        <f t="shared" si="1"/>
        <v>2480011.9960081242</v>
      </c>
      <c r="F28" s="561">
        <f t="shared" si="2"/>
        <v>0</v>
      </c>
      <c r="G28" s="561">
        <f t="shared" si="3"/>
        <v>2480011.9960081242</v>
      </c>
      <c r="H28" s="561">
        <f t="shared" si="4"/>
        <v>15884404.031935006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15884404.031935006</v>
      </c>
      <c r="E29" s="561">
        <f t="shared" si="1"/>
        <v>2480011.9960081242</v>
      </c>
      <c r="F29" s="561">
        <f t="shared" si="2"/>
        <v>0</v>
      </c>
      <c r="G29" s="561">
        <f t="shared" si="3"/>
        <v>2480011.9960081242</v>
      </c>
      <c r="H29" s="561">
        <f t="shared" si="4"/>
        <v>13404392.035926882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13404392.035926882</v>
      </c>
      <c r="E30" s="561">
        <f t="shared" si="1"/>
        <v>2480011.9960081242</v>
      </c>
      <c r="F30" s="561">
        <f t="shared" si="2"/>
        <v>0</v>
      </c>
      <c r="G30" s="561">
        <f t="shared" si="3"/>
        <v>2480011.9960081242</v>
      </c>
      <c r="H30" s="561">
        <f>D30-E30</f>
        <v>10924380.039918758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10924380.039918758</v>
      </c>
      <c r="E31" s="561">
        <f t="shared" si="1"/>
        <v>2480011.9960081242</v>
      </c>
      <c r="F31" s="561">
        <f t="shared" si="2"/>
        <v>0</v>
      </c>
      <c r="G31" s="561">
        <f t="shared" si="3"/>
        <v>2480011.9960081242</v>
      </c>
      <c r="H31" s="561">
        <f t="shared" si="4"/>
        <v>8444368.0439106338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8444368.0439106338</v>
      </c>
      <c r="E32" s="561">
        <f t="shared" si="1"/>
        <v>2480011.9960081242</v>
      </c>
      <c r="F32" s="561">
        <f t="shared" si="2"/>
        <v>0</v>
      </c>
      <c r="G32" s="561">
        <f t="shared" si="3"/>
        <v>2480011.9960081242</v>
      </c>
      <c r="H32" s="561">
        <f t="shared" si="4"/>
        <v>5964356.0479025096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5964356.0479025096</v>
      </c>
      <c r="E33" s="561">
        <f t="shared" si="1"/>
        <v>2480011.9960081242</v>
      </c>
      <c r="F33" s="561">
        <f t="shared" si="2"/>
        <v>0</v>
      </c>
      <c r="G33" s="561">
        <f t="shared" si="3"/>
        <v>2480011.9960081242</v>
      </c>
      <c r="H33" s="561">
        <f t="shared" si="4"/>
        <v>3484344.0518943854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3484344.0518943854</v>
      </c>
      <c r="E34" s="561">
        <f t="shared" si="1"/>
        <v>2480011.9960081242</v>
      </c>
      <c r="F34" s="561">
        <f t="shared" si="2"/>
        <v>0</v>
      </c>
      <c r="G34" s="561">
        <f t="shared" si="3"/>
        <v>2480011.9960081242</v>
      </c>
      <c r="H34" s="561">
        <f t="shared" si="4"/>
        <v>1004332.0558862612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1004332.0558862612</v>
      </c>
      <c r="E35" s="561">
        <f t="shared" si="1"/>
        <v>2480011.9960081242</v>
      </c>
      <c r="F35" s="561">
        <f t="shared" si="2"/>
        <v>0</v>
      </c>
      <c r="G35" s="561">
        <f t="shared" si="3"/>
        <v>2480011.9960081242</v>
      </c>
      <c r="H35" s="561">
        <f t="shared" si="4"/>
        <v>-1475679.940121863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-1475679.940121863</v>
      </c>
      <c r="E36" s="561">
        <f t="shared" si="1"/>
        <v>2480011.9960081242</v>
      </c>
      <c r="F36" s="561">
        <f t="shared" si="2"/>
        <v>0</v>
      </c>
      <c r="G36" s="561">
        <f t="shared" si="3"/>
        <v>2480011.9960081242</v>
      </c>
      <c r="H36" s="561">
        <f t="shared" si="4"/>
        <v>-3955691.9361299872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-3955691.9361299872</v>
      </c>
      <c r="E37" s="561">
        <f t="shared" si="1"/>
        <v>2480011.9960081242</v>
      </c>
      <c r="F37" s="561">
        <f t="shared" si="2"/>
        <v>0</v>
      </c>
      <c r="G37" s="561">
        <f t="shared" si="3"/>
        <v>2480011.9960081242</v>
      </c>
      <c r="H37" s="561">
        <f t="shared" si="4"/>
        <v>-6435703.9321381114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-6435703.9321381114</v>
      </c>
      <c r="E38" s="561">
        <f t="shared" si="1"/>
        <v>2480011.9960081242</v>
      </c>
      <c r="F38" s="561">
        <f t="shared" si="2"/>
        <v>0</v>
      </c>
      <c r="G38" s="561">
        <f t="shared" si="3"/>
        <v>2480011.9960081242</v>
      </c>
      <c r="H38" s="561">
        <f>D38-E38</f>
        <v>-8915715.9281462356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-8915715.9281462356</v>
      </c>
      <c r="E39" s="561">
        <f t="shared" si="1"/>
        <v>2480011.9960081242</v>
      </c>
      <c r="F39" s="561">
        <f t="shared" si="2"/>
        <v>0</v>
      </c>
      <c r="G39" s="561">
        <f t="shared" si="3"/>
        <v>2480011.9960081242</v>
      </c>
      <c r="H39" s="561">
        <f t="shared" si="4"/>
        <v>-11395727.92415436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-11395727.92415436</v>
      </c>
      <c r="E40" s="561">
        <f t="shared" si="1"/>
        <v>2480011.9960081242</v>
      </c>
      <c r="F40" s="561">
        <f t="shared" si="2"/>
        <v>13875739.920162484</v>
      </c>
      <c r="G40" s="561">
        <f t="shared" si="3"/>
        <v>-11395727.92415436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2480011.9960081242</v>
      </c>
      <c r="F41" s="561">
        <f t="shared" si="2"/>
        <v>2480011.9960081242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2480011.9960081242</v>
      </c>
      <c r="F42" s="561">
        <f t="shared" si="2"/>
        <v>2480011.9960081242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2480011.9960081242</v>
      </c>
      <c r="F43" s="561">
        <f t="shared" si="2"/>
        <v>2480011.9960081242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2480011.9960081242</v>
      </c>
      <c r="F44" s="561">
        <f t="shared" si="2"/>
        <v>2480011.9960081242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2480011.9960081242</v>
      </c>
      <c r="F45" s="561">
        <f t="shared" si="2"/>
        <v>2480011.9960081242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2480011.9960081242</v>
      </c>
      <c r="F46" s="561">
        <f t="shared" si="2"/>
        <v>2480011.9960081242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2480011.9960081242</v>
      </c>
      <c r="F47" s="561">
        <f t="shared" si="2"/>
        <v>2480011.9960081242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2480011.9960081242</v>
      </c>
      <c r="F48" s="561">
        <f t="shared" si="2"/>
        <v>2480011.9960081242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2480011.9960081242</v>
      </c>
      <c r="F49" s="561">
        <f t="shared" si="2"/>
        <v>2480011.9960081242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2480011.9960081242</v>
      </c>
      <c r="F50" s="561">
        <f t="shared" si="2"/>
        <v>2480011.9960081242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501" t="s">
        <v>1076</v>
      </c>
      <c r="E54" s="1502"/>
      <c r="F54" s="561"/>
      <c r="G54" s="1503" t="s">
        <v>1087</v>
      </c>
      <c r="H54" s="1504"/>
    </row>
    <row r="55" spans="2:28">
      <c r="D55" s="1500" t="s">
        <v>1063</v>
      </c>
      <c r="E55" s="1509">
        <f>'Cash Flow'!K15/0.05</f>
        <v>91849458.262588203</v>
      </c>
      <c r="F55" s="561"/>
      <c r="G55" s="1508" t="s">
        <v>1063</v>
      </c>
      <c r="H55" s="1512">
        <f>'Cash Flow'!N15/0.05</f>
        <v>98911820.514310002</v>
      </c>
    </row>
    <row r="56" spans="2:28">
      <c r="D56" s="1498" t="s">
        <v>1064</v>
      </c>
      <c r="E56" s="1510">
        <f>'Cash Flow'!K21/1.2</f>
        <v>2868813.7028289163</v>
      </c>
      <c r="F56" s="561"/>
      <c r="G56" s="1506" t="s">
        <v>1064</v>
      </c>
      <c r="H56" s="1513">
        <f>'Cash Flow'!N21/1.2</f>
        <v>3083734.2417257461</v>
      </c>
    </row>
    <row r="57" spans="2:28">
      <c r="D57" s="1498" t="s">
        <v>1065</v>
      </c>
      <c r="E57" s="1510">
        <f>E55*0.6</f>
        <v>55109674.957552917</v>
      </c>
      <c r="F57" s="561"/>
      <c r="G57" s="1506" t="s">
        <v>1065</v>
      </c>
      <c r="H57" s="1513">
        <f>H55*0.6</f>
        <v>59347092.308586001</v>
      </c>
    </row>
    <row r="58" spans="2:28">
      <c r="D58" s="1498" t="s">
        <v>1066</v>
      </c>
      <c r="E58" s="1510">
        <f>-PV(6.5%,34,E56)</f>
        <v>38948761.707260966</v>
      </c>
      <c r="F58" s="561"/>
      <c r="G58" s="1506" t="s">
        <v>1066</v>
      </c>
      <c r="H58" s="1513">
        <f>-PV(6.5%,30,H56)</f>
        <v>40269486.04294005</v>
      </c>
    </row>
    <row r="59" spans="2:28">
      <c r="D59" s="1497" t="s">
        <v>1067</v>
      </c>
      <c r="E59" s="1510">
        <f>E58-H27</f>
        <v>20584345.679317836</v>
      </c>
      <c r="F59" s="561"/>
      <c r="G59" s="1505" t="s">
        <v>1067</v>
      </c>
      <c r="H59" s="1513">
        <f>H58-H30</f>
        <v>29345106.003021292</v>
      </c>
    </row>
    <row r="60" spans="2:28" ht="13.5" thickBot="1">
      <c r="D60" s="1499" t="s">
        <v>1068</v>
      </c>
      <c r="E60" s="1511">
        <f>E59*GapCalc!I33</f>
        <v>17496693.82742016</v>
      </c>
      <c r="F60" s="561"/>
      <c r="G60" s="1507" t="s">
        <v>1068</v>
      </c>
      <c r="H60" s="1514">
        <f>H59*GapCalc!I33</f>
        <v>24943340.102568097</v>
      </c>
    </row>
    <row r="61" spans="2:28">
      <c r="E61" s="561"/>
    </row>
    <row r="62" spans="2:28">
      <c r="C62" s="1490"/>
      <c r="E62" s="561"/>
    </row>
    <row r="64" spans="2:28">
      <c r="C64" s="1491"/>
    </row>
    <row r="67" spans="3:8">
      <c r="H67" s="1492"/>
    </row>
    <row r="68" spans="3:8">
      <c r="H68" s="1493"/>
    </row>
    <row r="70" spans="3:8">
      <c r="H70" s="564"/>
    </row>
    <row r="72" spans="3:8">
      <c r="D72" s="1494"/>
      <c r="E72" s="1494"/>
      <c r="F72" s="1494"/>
      <c r="G72" s="1494"/>
      <c r="H72" s="1494"/>
    </row>
    <row r="73" spans="3:8">
      <c r="C73" s="569"/>
      <c r="D73" s="1494"/>
      <c r="E73" s="1494"/>
      <c r="F73" s="1494"/>
      <c r="G73" s="1494"/>
      <c r="H73" s="1494"/>
    </row>
    <row r="74" spans="3:8">
      <c r="C74" s="569"/>
      <c r="D74" s="564"/>
      <c r="E74" s="564"/>
      <c r="F74" s="1495"/>
      <c r="G74" s="564"/>
      <c r="H74" s="564"/>
    </row>
    <row r="75" spans="3:8">
      <c r="C75" s="569"/>
      <c r="D75" s="564"/>
      <c r="E75" s="564"/>
      <c r="F75" s="1495"/>
      <c r="G75" s="564"/>
      <c r="H75" s="564"/>
    </row>
    <row r="76" spans="3:8">
      <c r="C76" s="569"/>
      <c r="D76" s="564"/>
      <c r="E76" s="564"/>
      <c r="F76" s="1495"/>
      <c r="G76" s="564"/>
      <c r="H76" s="564"/>
    </row>
    <row r="77" spans="3:8">
      <c r="C77" s="569"/>
      <c r="D77" s="564"/>
      <c r="E77" s="564"/>
      <c r="F77" s="1495"/>
      <c r="G77" s="564"/>
      <c r="H77" s="564"/>
    </row>
    <row r="78" spans="3:8">
      <c r="C78" s="569"/>
      <c r="D78" s="564"/>
      <c r="E78" s="564"/>
      <c r="F78" s="1495"/>
      <c r="G78" s="564"/>
      <c r="H78" s="564"/>
    </row>
    <row r="79" spans="3:8">
      <c r="C79" s="569"/>
      <c r="D79" s="564"/>
      <c r="E79" s="564"/>
      <c r="F79" s="1495"/>
      <c r="G79" s="564"/>
      <c r="H79" s="564"/>
    </row>
    <row r="80" spans="3:8">
      <c r="C80" s="569"/>
      <c r="D80" s="564"/>
      <c r="E80" s="564"/>
      <c r="F80" s="1495"/>
      <c r="G80" s="564"/>
      <c r="H80" s="564"/>
    </row>
    <row r="81" spans="3:8">
      <c r="C81" s="569"/>
      <c r="D81" s="564"/>
      <c r="E81" s="564"/>
      <c r="F81" s="1495"/>
      <c r="G81" s="564"/>
      <c r="H81" s="564"/>
    </row>
    <row r="82" spans="3:8">
      <c r="C82" s="569"/>
      <c r="D82" s="564"/>
      <c r="E82" s="564"/>
      <c r="F82" s="1495"/>
      <c r="G82" s="564"/>
      <c r="H82" s="564"/>
    </row>
    <row r="83" spans="3:8">
      <c r="C83" s="569"/>
      <c r="D83" s="564"/>
      <c r="E83" s="564"/>
      <c r="F83" s="1495"/>
      <c r="G83" s="564"/>
      <c r="H83" s="564"/>
    </row>
    <row r="84" spans="3:8">
      <c r="C84" s="569"/>
      <c r="D84" s="564"/>
      <c r="E84" s="564"/>
      <c r="F84" s="1495"/>
      <c r="G84" s="564"/>
      <c r="H84" s="564"/>
    </row>
    <row r="85" spans="3:8">
      <c r="C85" s="569"/>
      <c r="D85" s="564"/>
      <c r="E85" s="564"/>
      <c r="F85" s="1495"/>
      <c r="G85" s="564"/>
      <c r="H85" s="564"/>
    </row>
    <row r="86" spans="3:8">
      <c r="C86" s="569"/>
      <c r="D86" s="564"/>
      <c r="E86" s="564"/>
      <c r="F86" s="1495"/>
      <c r="G86" s="564"/>
      <c r="H86" s="564"/>
    </row>
    <row r="87" spans="3:8">
      <c r="C87" s="569"/>
      <c r="D87" s="564"/>
      <c r="E87" s="564"/>
      <c r="F87" s="1495"/>
      <c r="G87" s="564"/>
      <c r="H87" s="564"/>
    </row>
    <row r="88" spans="3:8">
      <c r="C88" s="569"/>
      <c r="D88" s="564"/>
      <c r="E88" s="564"/>
      <c r="F88" s="1495"/>
      <c r="G88" s="564"/>
      <c r="H88" s="564"/>
    </row>
    <row r="89" spans="3:8">
      <c r="C89" s="569"/>
      <c r="D89" s="564"/>
      <c r="E89" s="564"/>
      <c r="F89" s="1495"/>
      <c r="G89" s="564"/>
      <c r="H89" s="564"/>
    </row>
    <row r="90" spans="3:8">
      <c r="C90" s="569"/>
      <c r="D90" s="564"/>
      <c r="E90" s="564"/>
      <c r="F90" s="1495"/>
      <c r="G90" s="564"/>
      <c r="H90" s="564"/>
    </row>
    <row r="91" spans="3:8">
      <c r="C91" s="569"/>
      <c r="D91" s="564"/>
      <c r="E91" s="564"/>
      <c r="F91" s="1495"/>
      <c r="G91" s="564"/>
      <c r="H91" s="564"/>
    </row>
    <row r="92" spans="3:8">
      <c r="C92" s="569"/>
      <c r="D92" s="564"/>
      <c r="E92" s="564"/>
      <c r="F92" s="1495"/>
      <c r="G92" s="564"/>
      <c r="H92" s="564"/>
    </row>
    <row r="93" spans="3:8">
      <c r="C93" s="569"/>
      <c r="D93" s="564"/>
      <c r="E93" s="564"/>
      <c r="F93" s="1495"/>
      <c r="G93" s="564"/>
      <c r="H93" s="564"/>
    </row>
    <row r="94" spans="3:8">
      <c r="C94" s="569"/>
      <c r="D94" s="564"/>
      <c r="E94" s="564"/>
      <c r="F94" s="1495"/>
      <c r="G94" s="564"/>
      <c r="H94" s="564"/>
    </row>
    <row r="95" spans="3:8">
      <c r="C95" s="569"/>
      <c r="D95" s="564"/>
      <c r="E95" s="564"/>
      <c r="F95" s="1495"/>
      <c r="G95" s="564"/>
      <c r="H95" s="564"/>
    </row>
    <row r="96" spans="3:8">
      <c r="C96" s="569"/>
      <c r="D96" s="564"/>
      <c r="E96" s="564"/>
      <c r="F96" s="1495"/>
      <c r="G96" s="564"/>
      <c r="H96" s="564"/>
    </row>
    <row r="97" spans="3:8">
      <c r="C97" s="569"/>
      <c r="D97" s="564"/>
      <c r="E97" s="564"/>
      <c r="F97" s="1495"/>
      <c r="G97" s="564"/>
      <c r="H97" s="564"/>
    </row>
    <row r="98" spans="3:8">
      <c r="C98" s="569"/>
      <c r="D98" s="564"/>
      <c r="E98" s="564"/>
      <c r="F98" s="1495"/>
      <c r="G98" s="564"/>
      <c r="H98" s="564"/>
    </row>
    <row r="99" spans="3:8">
      <c r="C99" s="569"/>
      <c r="D99" s="564"/>
      <c r="E99" s="564"/>
      <c r="F99" s="1495"/>
      <c r="G99" s="564"/>
      <c r="H99" s="564"/>
    </row>
    <row r="100" spans="3:8">
      <c r="C100" s="569"/>
      <c r="D100" s="564"/>
      <c r="E100" s="564"/>
      <c r="F100" s="1495"/>
      <c r="G100" s="564"/>
      <c r="H100" s="564"/>
    </row>
    <row r="101" spans="3:8">
      <c r="C101" s="569"/>
      <c r="D101" s="564"/>
      <c r="E101" s="564"/>
      <c r="F101" s="1495"/>
      <c r="G101" s="564"/>
      <c r="H101" s="564"/>
    </row>
    <row r="102" spans="3:8">
      <c r="C102" s="569"/>
      <c r="D102" s="564"/>
      <c r="E102" s="564"/>
      <c r="F102" s="1495"/>
      <c r="G102" s="564"/>
      <c r="H102" s="564"/>
    </row>
    <row r="103" spans="3:8">
      <c r="C103" s="569"/>
      <c r="D103" s="564"/>
      <c r="E103" s="564"/>
      <c r="F103" s="1495"/>
      <c r="G103" s="564"/>
      <c r="H103" s="564"/>
    </row>
    <row r="104" spans="3:8">
      <c r="C104" s="569"/>
      <c r="D104" s="564"/>
      <c r="E104" s="564"/>
      <c r="F104" s="1495"/>
      <c r="G104" s="564"/>
      <c r="H104" s="564"/>
    </row>
    <row r="105" spans="3:8">
      <c r="C105" s="569"/>
      <c r="D105" s="564"/>
      <c r="E105" s="564"/>
      <c r="F105" s="1495"/>
      <c r="G105" s="564"/>
      <c r="H105" s="564"/>
    </row>
    <row r="106" spans="3:8">
      <c r="C106" s="569"/>
      <c r="D106" s="564"/>
      <c r="E106" s="564"/>
      <c r="F106" s="1495"/>
      <c r="G106" s="564"/>
      <c r="H106" s="564"/>
    </row>
    <row r="107" spans="3:8">
      <c r="C107" s="569"/>
      <c r="D107" s="564"/>
      <c r="E107" s="564"/>
      <c r="F107" s="1495"/>
      <c r="G107" s="564"/>
      <c r="H107" s="564"/>
    </row>
    <row r="108" spans="3:8">
      <c r="C108" s="569"/>
      <c r="D108" s="564"/>
      <c r="E108" s="564"/>
      <c r="F108" s="1495"/>
      <c r="G108" s="564"/>
      <c r="H108" s="564"/>
    </row>
    <row r="109" spans="3:8">
      <c r="C109" s="569"/>
      <c r="D109" s="564"/>
      <c r="E109" s="564"/>
      <c r="F109" s="1495"/>
      <c r="G109" s="564"/>
      <c r="H109" s="564"/>
    </row>
    <row r="110" spans="3:8">
      <c r="C110" s="569"/>
      <c r="D110" s="564"/>
      <c r="E110" s="564"/>
      <c r="F110" s="1495"/>
      <c r="G110" s="564"/>
      <c r="H110" s="564"/>
    </row>
    <row r="111" spans="3:8">
      <c r="C111" s="569"/>
      <c r="D111" s="564"/>
      <c r="E111" s="564"/>
      <c r="F111" s="1495"/>
      <c r="G111" s="564"/>
      <c r="H111" s="564"/>
    </row>
    <row r="112" spans="3:8">
      <c r="C112" s="569"/>
      <c r="D112" s="564"/>
      <c r="E112" s="564"/>
      <c r="F112" s="1495"/>
      <c r="G112" s="564"/>
      <c r="H112" s="564"/>
    </row>
    <row r="113" spans="3:8">
      <c r="C113" s="569"/>
      <c r="D113" s="564"/>
      <c r="E113" s="564"/>
      <c r="F113" s="1495"/>
      <c r="G113" s="564"/>
      <c r="H113" s="564"/>
    </row>
    <row r="114" spans="3:8">
      <c r="C114" s="569"/>
      <c r="D114" s="564"/>
      <c r="E114" s="564"/>
      <c r="F114" s="1495"/>
      <c r="G114" s="564"/>
      <c r="H114" s="564"/>
    </row>
    <row r="115" spans="3:8">
      <c r="C115" s="569"/>
      <c r="D115" s="564"/>
      <c r="E115" s="564"/>
      <c r="F115" s="1495"/>
      <c r="G115" s="564"/>
      <c r="H115" s="564"/>
    </row>
    <row r="116" spans="3:8">
      <c r="C116" s="569"/>
      <c r="D116" s="564"/>
      <c r="E116" s="564"/>
      <c r="F116" s="1495"/>
      <c r="G116" s="564"/>
      <c r="H116" s="564"/>
    </row>
    <row r="117" spans="3:8">
      <c r="C117" s="569"/>
      <c r="D117" s="564"/>
      <c r="E117" s="564"/>
      <c r="F117" s="1495"/>
      <c r="G117" s="564"/>
      <c r="H117" s="564"/>
    </row>
    <row r="118" spans="3:8">
      <c r="C118" s="569"/>
      <c r="D118" s="564"/>
      <c r="E118" s="564"/>
      <c r="F118" s="1495"/>
      <c r="G118" s="564"/>
      <c r="H118" s="564"/>
    </row>
    <row r="119" spans="3:8">
      <c r="C119" s="569"/>
      <c r="D119" s="564"/>
      <c r="E119" s="564"/>
      <c r="F119" s="1495"/>
      <c r="G119" s="564"/>
      <c r="H119" s="564"/>
    </row>
    <row r="120" spans="3:8">
      <c r="C120" s="569"/>
      <c r="D120" s="564"/>
      <c r="E120" s="564"/>
      <c r="F120" s="1495"/>
      <c r="G120" s="564"/>
      <c r="H120" s="564"/>
    </row>
    <row r="121" spans="3:8">
      <c r="C121" s="569"/>
      <c r="D121" s="564"/>
      <c r="E121" s="564"/>
      <c r="F121" s="1495"/>
      <c r="G121" s="564"/>
      <c r="H121" s="564"/>
    </row>
    <row r="122" spans="3:8">
      <c r="C122" s="569"/>
      <c r="D122" s="564"/>
      <c r="E122" s="564"/>
      <c r="F122" s="1495"/>
      <c r="G122" s="564"/>
      <c r="H122" s="564"/>
    </row>
    <row r="123" spans="3:8">
      <c r="C123" s="569"/>
      <c r="D123" s="564"/>
      <c r="E123" s="564"/>
      <c r="F123" s="1495"/>
      <c r="G123" s="564"/>
      <c r="H123" s="564"/>
    </row>
    <row r="124" spans="3:8">
      <c r="C124" s="569"/>
      <c r="D124" s="564"/>
      <c r="E124" s="564"/>
      <c r="F124" s="1495"/>
      <c r="G124" s="564"/>
      <c r="H124" s="564"/>
    </row>
    <row r="125" spans="3:8">
      <c r="C125" s="569"/>
      <c r="D125" s="564"/>
      <c r="E125" s="564"/>
      <c r="F125" s="1495"/>
      <c r="G125" s="564"/>
      <c r="H125" s="564"/>
    </row>
    <row r="126" spans="3:8">
      <c r="C126" s="569"/>
      <c r="D126" s="564"/>
      <c r="E126" s="564"/>
      <c r="F126" s="1495"/>
      <c r="G126" s="564"/>
      <c r="H126" s="564"/>
    </row>
    <row r="127" spans="3:8">
      <c r="C127" s="569"/>
      <c r="D127" s="564"/>
      <c r="E127" s="564"/>
      <c r="F127" s="1495"/>
      <c r="G127" s="564"/>
      <c r="H127" s="564"/>
    </row>
    <row r="128" spans="3:8">
      <c r="C128" s="569"/>
      <c r="D128" s="564"/>
      <c r="E128" s="564"/>
      <c r="F128" s="1495"/>
      <c r="G128" s="564"/>
      <c r="H128" s="564"/>
    </row>
    <row r="129" spans="3:8">
      <c r="C129" s="569"/>
      <c r="D129" s="564"/>
      <c r="E129" s="564"/>
      <c r="F129" s="1495"/>
      <c r="G129" s="564"/>
      <c r="H129" s="564"/>
    </row>
    <row r="130" spans="3:8">
      <c r="C130" s="569"/>
      <c r="D130" s="564"/>
      <c r="E130" s="564"/>
      <c r="F130" s="1495"/>
      <c r="G130" s="564"/>
      <c r="H130" s="564"/>
    </row>
    <row r="131" spans="3:8">
      <c r="C131" s="569"/>
      <c r="D131" s="564"/>
      <c r="E131" s="564"/>
      <c r="F131" s="1495"/>
      <c r="G131" s="564"/>
      <c r="H131" s="564"/>
    </row>
    <row r="132" spans="3:8">
      <c r="C132" s="569"/>
      <c r="D132" s="564"/>
      <c r="E132" s="564"/>
      <c r="F132" s="1495"/>
      <c r="G132" s="564"/>
      <c r="H132" s="564"/>
    </row>
    <row r="133" spans="3:8">
      <c r="C133" s="569"/>
      <c r="D133" s="564"/>
      <c r="E133" s="564"/>
      <c r="F133" s="1495"/>
      <c r="G133" s="564"/>
      <c r="H133" s="564"/>
    </row>
    <row r="134" spans="3:8">
      <c r="C134" s="569"/>
      <c r="D134" s="564"/>
      <c r="E134" s="564"/>
      <c r="F134" s="1495"/>
      <c r="G134" s="564"/>
      <c r="H134" s="564"/>
    </row>
    <row r="135" spans="3:8">
      <c r="C135" s="569"/>
      <c r="D135" s="564"/>
      <c r="E135" s="564"/>
      <c r="F135" s="1495"/>
      <c r="G135" s="564"/>
      <c r="H135" s="564"/>
    </row>
    <row r="136" spans="3:8">
      <c r="C136" s="569"/>
      <c r="D136" s="564"/>
      <c r="E136" s="564"/>
      <c r="F136" s="1495"/>
      <c r="G136" s="564"/>
      <c r="H136" s="564"/>
    </row>
    <row r="137" spans="3:8">
      <c r="C137" s="569"/>
      <c r="D137" s="564"/>
      <c r="E137" s="564"/>
      <c r="F137" s="1495"/>
      <c r="G137" s="564"/>
      <c r="H137" s="564"/>
    </row>
    <row r="138" spans="3:8">
      <c r="C138" s="569"/>
      <c r="D138" s="564"/>
      <c r="E138" s="564"/>
      <c r="F138" s="1495"/>
      <c r="G138" s="564"/>
      <c r="H138" s="564"/>
    </row>
    <row r="139" spans="3:8">
      <c r="C139" s="569"/>
      <c r="D139" s="564"/>
      <c r="E139" s="564"/>
      <c r="F139" s="1495"/>
      <c r="G139" s="564"/>
      <c r="H139" s="564"/>
    </row>
    <row r="140" spans="3:8">
      <c r="C140" s="1496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246" t="s">
        <v>972</v>
      </c>
      <c r="C3" s="1260">
        <f>'Development Budget'!E18</f>
        <v>6565000</v>
      </c>
      <c r="D3" s="1247" t="s">
        <v>974</v>
      </c>
      <c r="E3" s="1258">
        <v>1.199398E-2</v>
      </c>
    </row>
    <row r="4" spans="1:5" ht="31.5">
      <c r="B4" s="1248" t="s">
        <v>973</v>
      </c>
      <c r="C4" s="1261">
        <f>SUM('Development Budget'!G31+'Development Budget'!G32)</f>
        <v>29588400</v>
      </c>
      <c r="D4" s="1249" t="s">
        <v>975</v>
      </c>
      <c r="E4" s="1259">
        <v>1.199398E-2</v>
      </c>
    </row>
    <row r="5" spans="1:5">
      <c r="B5" s="1177"/>
      <c r="C5" s="1177"/>
      <c r="D5" s="1177"/>
      <c r="E5" s="1177"/>
    </row>
    <row r="6" spans="1:5" ht="31.5">
      <c r="A6" s="1252"/>
      <c r="B6" s="1247" t="s">
        <v>976</v>
      </c>
      <c r="C6" s="1247" t="s">
        <v>977</v>
      </c>
      <c r="D6" s="1250" t="s">
        <v>978</v>
      </c>
      <c r="E6" s="1177"/>
    </row>
    <row r="7" spans="1:5">
      <c r="A7" s="1253"/>
      <c r="B7" s="1262">
        <f>C3*E3</f>
        <v>78740.478699999992</v>
      </c>
      <c r="C7" s="1262">
        <f>C4*E4</f>
        <v>354882.67783200002</v>
      </c>
      <c r="D7" s="1254">
        <f>(1-'Rental Income'!O19)</f>
        <v>0.80198019801980203</v>
      </c>
    </row>
    <row r="8" spans="1:5">
      <c r="A8" s="1255" t="s">
        <v>979</v>
      </c>
      <c r="B8" s="1262">
        <f>B7*D7</f>
        <v>63148.304700000001</v>
      </c>
      <c r="C8" s="1262">
        <f>C7*D7</f>
        <v>284608.88024150499</v>
      </c>
      <c r="D8" s="1256"/>
    </row>
    <row r="9" spans="1:5">
      <c r="A9" s="1253"/>
      <c r="B9" s="1262"/>
      <c r="C9" s="1262"/>
      <c r="D9" s="1256"/>
    </row>
    <row r="10" spans="1:5">
      <c r="A10" s="1257" t="s">
        <v>980</v>
      </c>
      <c r="B10" s="1263">
        <f>SUM(B8:C8)</f>
        <v>347757.18494150497</v>
      </c>
      <c r="C10" s="1263"/>
      <c r="D10" s="1251"/>
    </row>
    <row r="12" spans="1:5">
      <c r="A12" t="s">
        <v>989</v>
      </c>
    </row>
    <row r="13" spans="1:5">
      <c r="A13" t="s">
        <v>990</v>
      </c>
      <c r="B13">
        <v>6</v>
      </c>
      <c r="C13" s="1270">
        <f>C3*(E3/12)*B13</f>
        <v>39370.239350000003</v>
      </c>
    </row>
    <row r="14" spans="1:5">
      <c r="A14" t="s">
        <v>991</v>
      </c>
      <c r="B14">
        <v>24</v>
      </c>
      <c r="C14" s="1270">
        <f>C3*(E3/12)*B14</f>
        <v>157480.95740000001</v>
      </c>
    </row>
    <row r="15" spans="1:5">
      <c r="A15" s="40" t="s">
        <v>993</v>
      </c>
      <c r="C15" s="1273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4162920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-208425</v>
      </c>
      <c r="E18" s="50"/>
      <c r="F18" s="55">
        <v>0.05</v>
      </c>
    </row>
    <row r="19" spans="1:25">
      <c r="A19" s="40" t="s">
        <v>164</v>
      </c>
      <c r="D19" s="57">
        <f>SUM(D15:D18)</f>
        <v>3960075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52686.5</v>
      </c>
      <c r="E22" s="48">
        <v>1043</v>
      </c>
      <c r="F22" s="453" t="s">
        <v>171</v>
      </c>
      <c r="N22" s="428">
        <f>D22*0.8</f>
        <v>42149.200000000004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173</v>
      </c>
      <c r="D23" s="48">
        <f>(E23*$D$10-20)/2</f>
        <v>67357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9423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59429.279999999999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182</v>
      </c>
      <c r="D26" s="51">
        <f>SUM(D22:D25)</f>
        <v>188895.78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18786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10100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191</v>
      </c>
      <c r="D31" s="48">
        <f>E31*$D$10</f>
        <v>16564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193</v>
      </c>
      <c r="C32" s="43"/>
      <c r="D32" s="50">
        <f>E32*$D$10</f>
        <v>3030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48480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53530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201</v>
      </c>
      <c r="D37" s="48">
        <f>E37*$D$10</f>
        <v>79790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42521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175841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37269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26816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39996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13736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85850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5555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174177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347757.18494150497</v>
      </c>
      <c r="Y56" s="1171">
        <f>X56/'Rental Income'!D15</f>
        <v>3443.1404449653955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1088.5369710891089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84840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396.03960396039605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420341.31827483827</v>
      </c>
    </row>
    <row r="65" spans="1:25">
      <c r="B65" t="s">
        <v>249</v>
      </c>
      <c r="D65" s="48">
        <f>E65*$D$10</f>
        <v>15150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151990</v>
      </c>
      <c r="E67" s="48">
        <f>SUM(E62:E66)</f>
        <v>1571.0396039603961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30300</v>
      </c>
      <c r="E69" s="426">
        <v>300</v>
      </c>
    </row>
    <row r="70" spans="1:25">
      <c r="V70" s="40" t="s">
        <v>255</v>
      </c>
      <c r="X70" s="1169">
        <f>SUM(X68,X64,X54,X39,X31)</f>
        <v>731743.69160817168</v>
      </c>
      <c r="Y70" s="1169">
        <f>X70/D10</f>
        <v>7244.9870456254621</v>
      </c>
    </row>
    <row r="71" spans="1:25">
      <c r="A71" s="40" t="s">
        <v>256</v>
      </c>
      <c r="D71" s="48">
        <f>E71*$D$10</f>
        <v>50500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171">
        <f>Y70-6000</f>
        <v>1244.9870456254621</v>
      </c>
    </row>
    <row r="75" spans="1:25">
      <c r="A75" s="44" t="s">
        <v>259</v>
      </c>
      <c r="B75" s="45"/>
      <c r="C75" s="45"/>
      <c r="D75" s="52">
        <f>D19-D73</f>
        <v>2965863.9859199999</v>
      </c>
      <c r="E75" s="52">
        <f>D75/D10</f>
        <v>29364.989959603958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98628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37135500</v>
      </c>
      <c r="C7" s="465">
        <f>'Dev Summary_5-20'!B8</f>
        <v>3190331</v>
      </c>
      <c r="D7" s="465">
        <f t="shared" ref="D7:D14" si="0">B7-C7</f>
        <v>33945169</v>
      </c>
      <c r="E7" s="477">
        <f t="shared" ref="E7:E15" si="1">D7/B7</f>
        <v>0.91408945618074344</v>
      </c>
      <c r="F7" s="477"/>
      <c r="G7" s="472" t="e">
        <f t="shared" ref="G7:G14" si="2">B7/$B$15</f>
        <v>#REF!</v>
      </c>
      <c r="I7" s="147">
        <f>B7/$H$4</f>
        <v>337595.45454545453</v>
      </c>
      <c r="J7" s="53">
        <f>B7/$H$5</f>
        <v>376.52086628543617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189193.28975942294</v>
      </c>
      <c r="C9" s="446">
        <f>'Dev Summary_5-20'!B10</f>
        <v>50000</v>
      </c>
      <c r="D9" s="446">
        <f t="shared" si="0"/>
        <v>139193.28975942294</v>
      </c>
      <c r="E9" s="477">
        <f t="shared" si="1"/>
        <v>0.73572001383569308</v>
      </c>
      <c r="F9" s="477"/>
      <c r="G9" s="473" t="e">
        <f t="shared" si="2"/>
        <v>#REF!</v>
      </c>
      <c r="I9" s="53">
        <f t="shared" si="3"/>
        <v>1719.9389978129359</v>
      </c>
      <c r="J9" s="53">
        <f t="shared" si="4"/>
        <v>1.9182513055057686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40788217.028538823</v>
      </c>
      <c r="C21" s="48">
        <v>18731659</v>
      </c>
      <c r="D21" s="48">
        <f>B21-C21</f>
        <v>22056558.028538823</v>
      </c>
      <c r="E21" s="55">
        <f>D21/B21</f>
        <v>0.54075808249000501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5402867.0285388231</v>
      </c>
      <c r="C28" s="50"/>
      <c r="D28" s="50">
        <f t="shared" si="5"/>
        <v>5402867.0285388231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90" t="s">
        <v>1003</v>
      </c>
      <c r="B1" s="1291"/>
      <c r="C1" s="1291"/>
      <c r="D1" s="1291"/>
      <c r="E1" s="1291"/>
      <c r="F1" s="1291"/>
      <c r="G1" s="1291"/>
      <c r="H1" s="1291"/>
      <c r="I1" s="1291"/>
      <c r="J1" s="1291"/>
      <c r="K1" s="1292"/>
    </row>
    <row r="2" spans="1:11" ht="18.75" thickBot="1">
      <c r="A2" s="1293" t="s">
        <v>1004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5"/>
    </row>
    <row r="3" spans="1:11">
      <c r="A3" s="1296" t="s">
        <v>1005</v>
      </c>
      <c r="B3" s="1297" t="s">
        <v>1086</v>
      </c>
      <c r="C3" s="1298"/>
      <c r="D3" s="1298" t="s">
        <v>1006</v>
      </c>
      <c r="E3" s="1298"/>
      <c r="F3" s="1298"/>
      <c r="G3" s="1298"/>
      <c r="H3" s="1298"/>
      <c r="I3" s="1298"/>
      <c r="J3" s="1298"/>
      <c r="K3" s="1299"/>
    </row>
    <row r="4" spans="1:11">
      <c r="A4" s="1300" t="s">
        <v>1007</v>
      </c>
      <c r="B4" s="1301" t="s">
        <v>1008</v>
      </c>
      <c r="C4" s="1302"/>
      <c r="D4" s="1302"/>
      <c r="E4" s="1302" t="s">
        <v>1009</v>
      </c>
      <c r="F4" s="1302"/>
      <c r="G4" s="1303"/>
      <c r="H4" s="1302"/>
      <c r="I4" s="1302"/>
      <c r="J4" s="1302"/>
      <c r="K4" s="1304"/>
    </row>
    <row r="5" spans="1:11" ht="16.5" thickBot="1">
      <c r="A5" s="1300"/>
      <c r="B5" s="1302"/>
      <c r="C5" s="1302" t="s">
        <v>1010</v>
      </c>
      <c r="D5" s="1302"/>
      <c r="E5" s="1302"/>
      <c r="F5" s="1302"/>
      <c r="G5" s="1302"/>
      <c r="H5" s="1302"/>
      <c r="I5" s="1305" t="s">
        <v>1011</v>
      </c>
      <c r="J5" s="1302"/>
      <c r="K5" s="1304"/>
    </row>
    <row r="6" spans="1:11" ht="16.5" thickBot="1">
      <c r="A6" s="1306" t="s">
        <v>1012</v>
      </c>
      <c r="B6" s="1307"/>
      <c r="C6" s="1308">
        <v>20</v>
      </c>
      <c r="D6" s="1307"/>
      <c r="E6" s="1307" t="s">
        <v>1013</v>
      </c>
      <c r="F6" s="1307"/>
      <c r="G6" s="1307"/>
      <c r="H6" s="1309">
        <f>'Development Budget'!G46+'Development Budget'!G47</f>
        <v>40849050</v>
      </c>
      <c r="I6" s="1310"/>
      <c r="J6" s="1311"/>
      <c r="K6" s="1312"/>
    </row>
    <row r="7" spans="1:11">
      <c r="A7" s="1313" t="s">
        <v>1014</v>
      </c>
      <c r="B7" s="1314"/>
      <c r="C7" s="1315"/>
      <c r="D7" s="1314"/>
      <c r="E7" s="1314"/>
      <c r="F7" s="1314"/>
      <c r="G7" s="1314"/>
      <c r="H7" s="1314"/>
      <c r="I7" s="1314"/>
      <c r="J7" s="1314"/>
      <c r="K7" s="1316"/>
    </row>
    <row r="8" spans="1:11">
      <c r="A8" s="1317" t="s">
        <v>1015</v>
      </c>
      <c r="B8" s="1315"/>
      <c r="C8" s="1315"/>
      <c r="D8" s="1318">
        <f>SUM(H6/1000)*0.9+500</f>
        <v>37264.145000000004</v>
      </c>
      <c r="E8" s="1315"/>
      <c r="F8" s="1315"/>
      <c r="G8" s="1315"/>
      <c r="H8" s="1315"/>
      <c r="I8" s="1315"/>
      <c r="J8" s="1315"/>
      <c r="K8" s="1319"/>
    </row>
    <row r="9" spans="1:11">
      <c r="A9" s="1317"/>
      <c r="B9" s="1315"/>
      <c r="C9" s="1315"/>
      <c r="D9" s="1318"/>
      <c r="E9" s="1315"/>
      <c r="F9" s="1315"/>
      <c r="G9" s="1315"/>
      <c r="H9" s="1315"/>
      <c r="I9" s="1315"/>
      <c r="J9" s="1315"/>
      <c r="K9" s="1319"/>
    </row>
    <row r="10" spans="1:11">
      <c r="A10" s="1317" t="s">
        <v>1016</v>
      </c>
      <c r="B10" s="1315"/>
      <c r="C10" s="1315"/>
      <c r="D10" s="1318"/>
      <c r="E10" s="1315"/>
      <c r="F10" s="1315"/>
      <c r="G10" s="1315"/>
      <c r="H10" s="1315"/>
      <c r="I10" s="1315"/>
      <c r="J10" s="1315"/>
      <c r="K10" s="1319"/>
    </row>
    <row r="11" spans="1:11">
      <c r="A11" s="1320">
        <v>4000000</v>
      </c>
      <c r="B11" s="1315"/>
      <c r="C11" s="1315"/>
      <c r="D11" s="1318">
        <f>SUM(D8*0.9)</f>
        <v>33537.730500000005</v>
      </c>
      <c r="E11" s="1315"/>
      <c r="F11" s="1315"/>
      <c r="G11" s="1315"/>
      <c r="H11" s="1315"/>
      <c r="I11" s="1315"/>
      <c r="J11" s="1315"/>
      <c r="K11" s="1319"/>
    </row>
    <row r="12" spans="1:11">
      <c r="A12" s="1317"/>
      <c r="B12" s="1315"/>
      <c r="C12" s="1315"/>
      <c r="D12" s="1318"/>
      <c r="E12" s="1315"/>
      <c r="F12" s="1315"/>
      <c r="G12" s="1315"/>
      <c r="H12" s="1315"/>
      <c r="I12" s="1315"/>
      <c r="J12" s="1315"/>
      <c r="K12" s="1319"/>
    </row>
    <row r="13" spans="1:11">
      <c r="A13" s="1317" t="s">
        <v>1017</v>
      </c>
      <c r="B13" s="1315"/>
      <c r="C13" s="1315"/>
      <c r="D13" s="1318">
        <f>SUM(A14+A15+A16)/100*0.415/12*C6</f>
        <v>314667.17916666664</v>
      </c>
      <c r="E13" s="1315"/>
      <c r="F13" s="1315"/>
      <c r="G13" s="1315"/>
      <c r="H13" s="1315"/>
      <c r="I13" s="1315"/>
      <c r="J13" s="1315"/>
      <c r="K13" s="1319"/>
    </row>
    <row r="14" spans="1:11">
      <c r="A14" s="1321">
        <f>H6</f>
        <v>40849050</v>
      </c>
      <c r="B14" s="1315" t="s">
        <v>1018</v>
      </c>
      <c r="C14" s="1315"/>
      <c r="D14" s="1318"/>
      <c r="E14" s="1315"/>
      <c r="F14" s="1315"/>
      <c r="G14" s="1315"/>
      <c r="H14" s="1315"/>
      <c r="I14" s="1315"/>
      <c r="J14" s="1315"/>
      <c r="K14" s="1319"/>
    </row>
    <row r="15" spans="1:11">
      <c r="A15" s="1322">
        <v>4495000</v>
      </c>
      <c r="B15" s="1315" t="s">
        <v>1019</v>
      </c>
      <c r="C15" s="1315"/>
      <c r="D15" s="1318"/>
      <c r="E15" s="1315"/>
      <c r="F15" s="1315"/>
      <c r="G15" s="1315"/>
      <c r="H15" s="1315"/>
      <c r="I15" s="1315"/>
      <c r="J15" s="1315"/>
      <c r="K15" s="1319"/>
    </row>
    <row r="16" spans="1:11">
      <c r="A16" s="1322">
        <v>150000</v>
      </c>
      <c r="B16" s="1315" t="s">
        <v>1020</v>
      </c>
      <c r="C16" s="1315"/>
      <c r="D16" s="1318"/>
      <c r="E16" s="1315"/>
      <c r="F16" s="1315"/>
      <c r="G16" s="1315"/>
      <c r="H16" s="1315"/>
      <c r="I16" s="1315"/>
      <c r="J16" s="1315"/>
      <c r="K16" s="1319"/>
    </row>
    <row r="17" spans="1:11">
      <c r="A17" s="1321" t="s">
        <v>1021</v>
      </c>
      <c r="B17" s="1315"/>
      <c r="C17" s="1315"/>
      <c r="D17" s="1318">
        <f>SUM(H6/1000)*0.23</f>
        <v>9395.281500000001</v>
      </c>
      <c r="E17" s="1315"/>
      <c r="F17" s="1315"/>
      <c r="G17" s="1315"/>
      <c r="H17" s="1315"/>
      <c r="I17" s="1315"/>
      <c r="J17" s="1315"/>
      <c r="K17" s="1319"/>
    </row>
    <row r="18" spans="1:11" ht="16.5" thickBot="1">
      <c r="A18" s="1317"/>
      <c r="B18" s="1315"/>
      <c r="C18" s="1315"/>
      <c r="D18" s="1318"/>
      <c r="E18" s="1315"/>
      <c r="F18" s="1315"/>
      <c r="G18" s="1315"/>
      <c r="H18" s="1315"/>
      <c r="I18" s="1315"/>
      <c r="J18" s="1315"/>
      <c r="K18" s="1319"/>
    </row>
    <row r="19" spans="1:11" ht="16.5" thickBot="1">
      <c r="A19" s="1317" t="s">
        <v>1022</v>
      </c>
      <c r="B19" s="1315"/>
      <c r="C19" s="1315"/>
      <c r="D19" s="1318"/>
      <c r="E19" s="1323">
        <f>SUM(D8:D17)</f>
        <v>394864.33616666665</v>
      </c>
      <c r="F19" s="1315"/>
      <c r="G19" s="1324" t="s">
        <v>1023</v>
      </c>
      <c r="H19" s="1315"/>
      <c r="I19" s="1315"/>
      <c r="J19" s="1315"/>
      <c r="K19" s="1319"/>
    </row>
    <row r="20" spans="1:11" ht="16.5" thickBot="1">
      <c r="A20" s="1325"/>
      <c r="B20" s="1326"/>
      <c r="C20" s="1326"/>
      <c r="D20" s="1327"/>
      <c r="E20" s="1326"/>
      <c r="F20" s="1326"/>
      <c r="G20" s="1326"/>
      <c r="H20" s="1326"/>
      <c r="I20" s="1326"/>
      <c r="J20" s="1326"/>
      <c r="K20" s="1328"/>
    </row>
    <row r="21" spans="1:11" ht="18.75" thickBot="1">
      <c r="A21" s="1329" t="s">
        <v>1024</v>
      </c>
      <c r="B21" s="1330"/>
      <c r="C21" s="1330"/>
      <c r="D21" s="1330"/>
      <c r="E21" s="1330"/>
      <c r="F21" s="1330"/>
      <c r="G21" s="1330"/>
      <c r="H21" s="1330"/>
      <c r="I21" s="1330"/>
      <c r="J21" s="1330"/>
      <c r="K21" s="1331"/>
    </row>
    <row r="22" spans="1:11">
      <c r="A22" s="1332"/>
      <c r="B22" s="1333"/>
      <c r="C22" s="1333"/>
      <c r="D22" s="1333" t="str">
        <f>D3</f>
        <v>(Estimator created on 09.15.20)</v>
      </c>
      <c r="E22" s="1333"/>
      <c r="F22" s="1333"/>
      <c r="G22" s="1333"/>
      <c r="H22" s="1333"/>
      <c r="I22" s="1333"/>
      <c r="J22" s="1333"/>
      <c r="K22" s="1334"/>
    </row>
    <row r="23" spans="1:11">
      <c r="A23" s="1335" t="s">
        <v>1025</v>
      </c>
      <c r="B23" s="1336" t="str">
        <f>B3</f>
        <v>St. James UMC</v>
      </c>
      <c r="C23" s="1336"/>
      <c r="D23" s="1336"/>
      <c r="E23" s="1336" t="s">
        <v>1026</v>
      </c>
      <c r="F23" s="1336"/>
      <c r="G23" s="1337"/>
      <c r="H23" s="1337"/>
      <c r="I23" s="1336"/>
      <c r="J23" s="1336"/>
      <c r="K23" s="1338"/>
    </row>
    <row r="24" spans="1:11" ht="16.5" thickBot="1">
      <c r="A24" s="1335"/>
      <c r="B24" s="1339" t="s">
        <v>1008</v>
      </c>
      <c r="C24" s="1336"/>
      <c r="D24" s="1336"/>
      <c r="E24" s="1336"/>
      <c r="F24" s="1336"/>
      <c r="G24" s="1336"/>
      <c r="H24" s="1336"/>
      <c r="I24" s="1340" t="s">
        <v>1011</v>
      </c>
      <c r="J24" s="1336"/>
      <c r="K24" s="1338"/>
    </row>
    <row r="25" spans="1:11" ht="16.5" thickBot="1">
      <c r="A25" s="1341" t="s">
        <v>1027</v>
      </c>
      <c r="B25" s="1342"/>
      <c r="C25" s="1343">
        <v>50</v>
      </c>
      <c r="D25" s="1342"/>
      <c r="E25" s="1342" t="s">
        <v>1028</v>
      </c>
      <c r="F25" s="1342"/>
      <c r="G25" s="1342"/>
      <c r="H25" s="1344">
        <f>SUM(H6*0.8)</f>
        <v>32679240</v>
      </c>
      <c r="I25" s="1345"/>
      <c r="J25" s="1346"/>
      <c r="K25" s="1347"/>
    </row>
    <row r="26" spans="1:11">
      <c r="A26" s="1348" t="s">
        <v>1014</v>
      </c>
      <c r="B26" s="1349"/>
      <c r="C26" s="1350"/>
      <c r="D26" s="1349"/>
      <c r="E26" s="1349"/>
      <c r="F26" s="1349"/>
      <c r="G26" s="1349"/>
      <c r="H26" s="1349"/>
      <c r="I26" s="1349"/>
      <c r="J26" s="1349"/>
      <c r="K26" s="1351"/>
    </row>
    <row r="27" spans="1:11">
      <c r="A27" s="1352" t="s">
        <v>1015</v>
      </c>
      <c r="B27" s="1350"/>
      <c r="C27" s="1350"/>
      <c r="D27" s="1353">
        <f>SUM(C25*75+300)</f>
        <v>4050</v>
      </c>
      <c r="E27" s="1350"/>
      <c r="F27" s="1350"/>
      <c r="G27" s="1350"/>
      <c r="H27" s="1350"/>
      <c r="I27" s="1350"/>
      <c r="J27" s="1350"/>
      <c r="K27" s="1354"/>
    </row>
    <row r="28" spans="1:11">
      <c r="A28" s="1352"/>
      <c r="B28" s="1350"/>
      <c r="C28" s="1350"/>
      <c r="D28" s="1353"/>
      <c r="E28" s="1350"/>
      <c r="F28" s="1350"/>
      <c r="G28" s="1350"/>
      <c r="H28" s="1350"/>
      <c r="I28" s="1350"/>
      <c r="J28" s="1350"/>
      <c r="K28" s="1354"/>
    </row>
    <row r="29" spans="1:11">
      <c r="A29" s="1352" t="s">
        <v>1016</v>
      </c>
      <c r="B29" s="1350"/>
      <c r="C29" s="1350"/>
      <c r="D29" s="1353"/>
      <c r="E29" s="1350"/>
      <c r="F29" s="1350"/>
      <c r="G29" s="1350"/>
      <c r="H29" s="1350"/>
      <c r="I29" s="1350"/>
      <c r="J29" s="1350"/>
      <c r="K29" s="1354"/>
    </row>
    <row r="30" spans="1:11">
      <c r="A30" s="1352" t="s">
        <v>1029</v>
      </c>
      <c r="B30" s="1350"/>
      <c r="C30" s="1350"/>
      <c r="D30" s="1353">
        <f>SUM(D27*0.75)</f>
        <v>3037.5</v>
      </c>
      <c r="E30" s="1350"/>
      <c r="F30" s="1350"/>
      <c r="G30" s="1350"/>
      <c r="H30" s="1350"/>
      <c r="I30" s="1350"/>
      <c r="J30" s="1350"/>
      <c r="K30" s="1354"/>
    </row>
    <row r="31" spans="1:11">
      <c r="A31" s="1352"/>
      <c r="B31" s="1350"/>
      <c r="C31" s="1350"/>
      <c r="D31" s="1353"/>
      <c r="E31" s="1350"/>
      <c r="F31" s="1350"/>
      <c r="G31" s="1350"/>
      <c r="H31" s="1350"/>
      <c r="I31" s="1350"/>
      <c r="J31" s="1350"/>
      <c r="K31" s="1354"/>
    </row>
    <row r="32" spans="1:11">
      <c r="A32" s="1352" t="s">
        <v>1030</v>
      </c>
      <c r="B32" s="1350"/>
      <c r="C32" s="1350"/>
      <c r="D32" s="1353">
        <f>SUM(A33+A34+A35)/100*0.135+500</f>
        <v>45872.917880000001</v>
      </c>
      <c r="E32" s="1350" t="s">
        <v>1031</v>
      </c>
      <c r="F32" s="1350"/>
      <c r="G32" s="1350"/>
      <c r="H32" s="1350"/>
      <c r="I32" s="1350"/>
      <c r="J32" s="1350"/>
      <c r="K32" s="1354"/>
    </row>
    <row r="33" spans="1:11">
      <c r="A33" s="1355">
        <f>H25</f>
        <v>32679240</v>
      </c>
      <c r="B33" s="1350" t="s">
        <v>1032</v>
      </c>
      <c r="C33" s="1350"/>
      <c r="D33" s="1353"/>
      <c r="E33" s="1350"/>
      <c r="F33" s="1350"/>
      <c r="G33" s="1350"/>
      <c r="H33" s="1350"/>
      <c r="I33" s="1350"/>
      <c r="J33" s="1350"/>
      <c r="K33" s="1354"/>
    </row>
    <row r="34" spans="1:11">
      <c r="A34" s="1355">
        <v>780328.8</v>
      </c>
      <c r="B34" s="1350" t="s">
        <v>159</v>
      </c>
      <c r="C34" s="1350"/>
      <c r="D34" s="1353"/>
      <c r="E34" s="1350"/>
      <c r="F34" s="1350"/>
      <c r="G34" s="1350"/>
      <c r="H34" s="1350"/>
      <c r="I34" s="1350"/>
      <c r="J34" s="1350"/>
      <c r="K34" s="1354"/>
    </row>
    <row r="35" spans="1:11" ht="16.5" thickBot="1">
      <c r="A35" s="1355">
        <f>A16</f>
        <v>150000</v>
      </c>
      <c r="B35" s="1350" t="s">
        <v>1033</v>
      </c>
      <c r="C35" s="1350"/>
      <c r="D35" s="1353"/>
      <c r="E35" s="1350"/>
      <c r="F35" s="1350"/>
      <c r="G35" s="1350"/>
      <c r="H35" s="1350"/>
      <c r="I35" s="1350"/>
      <c r="J35" s="1350"/>
      <c r="K35" s="1354"/>
    </row>
    <row r="36" spans="1:11" ht="16.5" thickBot="1">
      <c r="A36" s="1352" t="s">
        <v>1034</v>
      </c>
      <c r="B36" s="1350"/>
      <c r="C36" s="1350"/>
      <c r="D36" s="1353"/>
      <c r="E36" s="1356">
        <f>SUM(D27:D34)</f>
        <v>52960.417880000001</v>
      </c>
      <c r="F36" s="1350"/>
      <c r="G36" s="1350"/>
      <c r="H36" s="1350"/>
      <c r="I36" s="1350"/>
      <c r="J36" s="1350"/>
      <c r="K36" s="1354"/>
    </row>
    <row r="37" spans="1:11">
      <c r="A37" s="1357"/>
      <c r="B37" s="1358"/>
      <c r="C37" s="1358"/>
      <c r="D37" s="1358"/>
      <c r="E37" s="1358"/>
      <c r="F37" s="1358"/>
      <c r="G37" s="1358"/>
      <c r="H37" s="1358"/>
      <c r="I37" s="1358"/>
      <c r="J37" s="1358"/>
      <c r="K37" s="1359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7" t="s">
        <v>455</v>
      </c>
      <c r="B5" s="1608"/>
      <c r="C5" s="1608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609"/>
      <c r="B6" s="1610"/>
      <c r="C6" s="1610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7" t="s">
        <v>469</v>
      </c>
      <c r="B5" s="1608"/>
      <c r="C5" s="1608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609"/>
      <c r="B6" s="1610"/>
      <c r="C6" s="1610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443826</v>
      </c>
      <c r="E10" s="748">
        <f>'PreDev Flow of Funds'!Y10+'PreDev Flow of Funds'!Y12</f>
        <v>1395966</v>
      </c>
      <c r="F10" s="748">
        <f>(D10-E10)/18</f>
        <v>-52896.666666666664</v>
      </c>
      <c r="G10" s="748">
        <f>$F$10</f>
        <v>-52896.666666666664</v>
      </c>
      <c r="H10" s="748">
        <f t="shared" ref="H10:W10" si="2">$F$10</f>
        <v>-52896.666666666664</v>
      </c>
      <c r="I10" s="748">
        <f t="shared" si="2"/>
        <v>-52896.666666666664</v>
      </c>
      <c r="J10" s="748">
        <f t="shared" si="2"/>
        <v>-52896.666666666664</v>
      </c>
      <c r="K10" s="748">
        <f t="shared" si="2"/>
        <v>-52896.666666666664</v>
      </c>
      <c r="L10" s="748">
        <f t="shared" si="2"/>
        <v>-52896.666666666664</v>
      </c>
      <c r="M10" s="748">
        <f t="shared" si="2"/>
        <v>-52896.666666666664</v>
      </c>
      <c r="N10" s="748">
        <f t="shared" si="2"/>
        <v>-52896.666666666664</v>
      </c>
      <c r="O10" s="748">
        <f t="shared" si="2"/>
        <v>-52896.666666666664</v>
      </c>
      <c r="P10" s="748">
        <f t="shared" si="2"/>
        <v>-52896.666666666664</v>
      </c>
      <c r="Q10" s="748">
        <f t="shared" si="2"/>
        <v>-52896.666666666664</v>
      </c>
      <c r="R10" s="748">
        <f t="shared" si="2"/>
        <v>-52896.666666666664</v>
      </c>
      <c r="S10" s="748">
        <f t="shared" si="2"/>
        <v>-52896.666666666664</v>
      </c>
      <c r="T10" s="748">
        <f t="shared" si="2"/>
        <v>-52896.666666666664</v>
      </c>
      <c r="U10" s="748">
        <f t="shared" si="2"/>
        <v>-52896.666666666664</v>
      </c>
      <c r="V10" s="748">
        <f t="shared" si="2"/>
        <v>-52896.666666666664</v>
      </c>
      <c r="W10" s="748">
        <f t="shared" si="2"/>
        <v>-52896.666666666664</v>
      </c>
      <c r="X10" s="748"/>
      <c r="Y10" s="748">
        <f>SUM(E10:W10)</f>
        <v>443825.99999999988</v>
      </c>
    </row>
    <row r="11" spans="1:25" ht="15">
      <c r="A11" s="402"/>
      <c r="B11" s="403" t="s">
        <v>387</v>
      </c>
      <c r="C11" s="748"/>
      <c r="D11" s="748">
        <f>'Development Budget'!G41</f>
        <v>443826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37135500</v>
      </c>
      <c r="E13" s="748">
        <f>'PreDev Flow of Funds'!Y14</f>
        <v>69798.3</v>
      </c>
      <c r="F13" s="748">
        <f>(D13-E13)/18</f>
        <v>2059205.6500000001</v>
      </c>
      <c r="G13" s="748">
        <f>$F$13</f>
        <v>2059205.6500000001</v>
      </c>
      <c r="H13" s="748">
        <f t="shared" ref="H13:W13" si="5">$F$13</f>
        <v>2059205.6500000001</v>
      </c>
      <c r="I13" s="748">
        <f t="shared" si="5"/>
        <v>2059205.6500000001</v>
      </c>
      <c r="J13" s="748">
        <f t="shared" si="5"/>
        <v>2059205.6500000001</v>
      </c>
      <c r="K13" s="748">
        <f t="shared" si="5"/>
        <v>2059205.6500000001</v>
      </c>
      <c r="L13" s="748">
        <f t="shared" si="5"/>
        <v>2059205.6500000001</v>
      </c>
      <c r="M13" s="748">
        <f t="shared" si="5"/>
        <v>2059205.6500000001</v>
      </c>
      <c r="N13" s="748">
        <f t="shared" si="5"/>
        <v>2059205.6500000001</v>
      </c>
      <c r="O13" s="748">
        <f t="shared" si="5"/>
        <v>2059205.6500000001</v>
      </c>
      <c r="P13" s="748">
        <f t="shared" si="5"/>
        <v>2059205.6500000001</v>
      </c>
      <c r="Q13" s="748">
        <f t="shared" si="5"/>
        <v>2059205.6500000001</v>
      </c>
      <c r="R13" s="748">
        <f t="shared" si="5"/>
        <v>2059205.6500000001</v>
      </c>
      <c r="S13" s="748">
        <f t="shared" si="5"/>
        <v>2059205.6500000001</v>
      </c>
      <c r="T13" s="748">
        <f t="shared" si="5"/>
        <v>2059205.6500000001</v>
      </c>
      <c r="U13" s="748">
        <f t="shared" si="5"/>
        <v>2059205.6500000001</v>
      </c>
      <c r="V13" s="748">
        <f t="shared" si="5"/>
        <v>2059205.6500000001</v>
      </c>
      <c r="W13" s="748">
        <f t="shared" si="5"/>
        <v>2059205.6500000001</v>
      </c>
      <c r="X13" s="748"/>
      <c r="Y13" s="748">
        <f t="shared" si="3"/>
        <v>37135499.999999993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37135500</v>
      </c>
      <c r="E15" s="748">
        <f>'PreDev Flow of Funds'!Y16+'PreDev Flow of Funds'!Y17+'PreDev Flow of Funds'!Y19</f>
        <v>72500</v>
      </c>
      <c r="F15" s="748">
        <f>(D15-E15)/18</f>
        <v>2059055.5555555555</v>
      </c>
      <c r="G15" s="748">
        <f>$F$15</f>
        <v>2059055.5555555555</v>
      </c>
      <c r="H15" s="748">
        <f t="shared" ref="H15:W15" si="7">$F$15</f>
        <v>2059055.5555555555</v>
      </c>
      <c r="I15" s="748">
        <f t="shared" si="7"/>
        <v>2059055.5555555555</v>
      </c>
      <c r="J15" s="748">
        <f t="shared" si="7"/>
        <v>2059055.5555555555</v>
      </c>
      <c r="K15" s="748">
        <f t="shared" si="7"/>
        <v>2059055.5555555555</v>
      </c>
      <c r="L15" s="748">
        <f t="shared" si="7"/>
        <v>2059055.5555555555</v>
      </c>
      <c r="M15" s="748">
        <f t="shared" si="7"/>
        <v>2059055.5555555555</v>
      </c>
      <c r="N15" s="748">
        <f t="shared" si="7"/>
        <v>2059055.5555555555</v>
      </c>
      <c r="O15" s="748">
        <f t="shared" si="7"/>
        <v>2059055.5555555555</v>
      </c>
      <c r="P15" s="748">
        <f t="shared" si="7"/>
        <v>2059055.5555555555</v>
      </c>
      <c r="Q15" s="748">
        <f t="shared" si="7"/>
        <v>2059055.5555555555</v>
      </c>
      <c r="R15" s="748">
        <f t="shared" si="7"/>
        <v>2059055.5555555555</v>
      </c>
      <c r="S15" s="748">
        <f t="shared" si="7"/>
        <v>2059055.5555555555</v>
      </c>
      <c r="T15" s="748">
        <f t="shared" si="7"/>
        <v>2059055.5555555555</v>
      </c>
      <c r="U15" s="748">
        <f t="shared" si="7"/>
        <v>2059055.5555555555</v>
      </c>
      <c r="V15" s="748">
        <f t="shared" si="7"/>
        <v>2059055.5555555555</v>
      </c>
      <c r="W15" s="748">
        <f t="shared" si="7"/>
        <v>2059055.5555555555</v>
      </c>
      <c r="X15" s="748"/>
      <c r="Y15" s="748">
        <f t="shared" si="3"/>
        <v>37135500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29588400</v>
      </c>
      <c r="E33" s="748">
        <v>0</v>
      </c>
      <c r="F33" s="748">
        <f>D33</f>
        <v>29588400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29588400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92838.75</v>
      </c>
      <c r="E43" s="748">
        <f>D43</f>
        <v>92838.75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92838.75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283838.75</v>
      </c>
      <c r="E52" s="748">
        <f>D52</f>
        <v>283838.75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283838.75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189193.28975942294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15221830.574999997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35385350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-12799295.010000002</v>
      </c>
      <c r="E87" s="749">
        <f>E80-E84-E85-E86-E88-E89-E90-E91</f>
        <v>380677.49999999627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15221830.574999997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941</v>
      </c>
    </row>
    <row r="5" spans="3:6">
      <c r="D5" t="s">
        <v>942</v>
      </c>
    </row>
    <row r="6" spans="3:6">
      <c r="E6" t="s">
        <v>943</v>
      </c>
      <c r="F6" s="1172">
        <f>544</f>
        <v>544</v>
      </c>
    </row>
    <row r="7" spans="3:6">
      <c r="D7" t="s">
        <v>944</v>
      </c>
      <c r="F7" s="1172"/>
    </row>
    <row r="8" spans="3:6">
      <c r="F8" s="1172">
        <v>0</v>
      </c>
    </row>
    <row r="9" spans="3:6">
      <c r="D9" t="s">
        <v>945</v>
      </c>
      <c r="F9" s="1172">
        <v>234</v>
      </c>
    </row>
    <row r="10" spans="3:6">
      <c r="F10" s="1172"/>
    </row>
    <row r="11" spans="3:6">
      <c r="D11" t="s">
        <v>946</v>
      </c>
      <c r="F11" s="1172"/>
    </row>
    <row r="12" spans="3:6">
      <c r="E12" t="s">
        <v>947</v>
      </c>
      <c r="F12" s="1172">
        <v>3437</v>
      </c>
    </row>
    <row r="13" spans="3:6">
      <c r="E13" t="s">
        <v>948</v>
      </c>
      <c r="F13" s="1172">
        <v>426</v>
      </c>
    </row>
    <row r="14" spans="3:6">
      <c r="E14" t="s">
        <v>949</v>
      </c>
      <c r="F14" s="1172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173" t="s">
        <v>59</v>
      </c>
      <c r="F17" s="1174">
        <f>SUM(F6:F16)</f>
        <v>7491</v>
      </c>
    </row>
    <row r="19" spans="3:6">
      <c r="D19" t="s">
        <v>951</v>
      </c>
    </row>
    <row r="20" spans="3:6">
      <c r="D20" t="s">
        <v>952</v>
      </c>
      <c r="F20" s="1175">
        <v>2379</v>
      </c>
    </row>
    <row r="24" spans="3:6">
      <c r="C24" s="1076" t="s">
        <v>953</v>
      </c>
    </row>
    <row r="27" spans="3:6">
      <c r="D27" t="s">
        <v>954</v>
      </c>
    </row>
    <row r="29" spans="3:6">
      <c r="D29" t="s">
        <v>955</v>
      </c>
      <c r="F29" s="1172">
        <v>37.33</v>
      </c>
    </row>
    <row r="31" spans="3:6">
      <c r="D31" t="s">
        <v>956</v>
      </c>
      <c r="E31" s="1176">
        <v>10000000</v>
      </c>
      <c r="F31" s="1172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172">
        <v>1743.09</v>
      </c>
    </row>
    <row r="35" spans="4:6" ht="31.5">
      <c r="E35" s="1177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607"/>
      <c r="B5" s="1608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609"/>
      <c r="B6" s="1620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7"/>
      <c r="B39" s="1608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609"/>
      <c r="B40" s="1620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7"/>
      <c r="B72" s="1608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609"/>
      <c r="B73" s="1610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611" t="s">
        <v>589</v>
      </c>
      <c r="D74" s="1612"/>
      <c r="E74" s="1612"/>
      <c r="F74" s="1612"/>
      <c r="G74" s="1612"/>
      <c r="H74" s="1612"/>
      <c r="I74" s="1613"/>
      <c r="J74" s="1621" t="s">
        <v>582</v>
      </c>
      <c r="K74" s="1622"/>
      <c r="L74" s="1622"/>
      <c r="M74" s="1622"/>
      <c r="N74" s="1622"/>
      <c r="O74" s="1623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611"/>
      <c r="D78" s="1612"/>
      <c r="E78" s="1612"/>
      <c r="F78" s="1612"/>
      <c r="G78" s="1612"/>
      <c r="H78" s="1612"/>
      <c r="I78" s="1613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611"/>
      <c r="D85" s="1612"/>
      <c r="E85" s="1612"/>
      <c r="F85" s="1612"/>
      <c r="G85" s="1612"/>
      <c r="H85" s="1612"/>
      <c r="I85" s="1613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611"/>
      <c r="D91" s="1612"/>
      <c r="E91" s="1612"/>
      <c r="F91" s="1612"/>
      <c r="G91" s="1612"/>
      <c r="H91" s="1612"/>
      <c r="I91" s="1613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-1328253.5774999999</v>
      </c>
      <c r="K103" s="162">
        <f>J103+(C116*0.25)/2</f>
        <v>-2656507.1549999998</v>
      </c>
      <c r="L103" s="162">
        <f>K103+((C116-K103)/4)</f>
        <v>-4648887.5212500002</v>
      </c>
      <c r="M103" s="162">
        <f>L103+((C116-K103)/4)</f>
        <v>-6641267.8875000002</v>
      </c>
      <c r="N103" s="162">
        <f>M103+((C116-K103)/4)</f>
        <v>-8633648.2537500001</v>
      </c>
      <c r="O103" s="162">
        <f>N103+((C116-K103)/4)</f>
        <v>-10626028.620000001</v>
      </c>
      <c r="P103" s="162">
        <f>O103</f>
        <v>-10626028.620000001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9967028.7408333328</v>
      </c>
      <c r="K104" s="371">
        <f>((C117-1033493)/6)+J104</f>
        <v>19934057.481666666</v>
      </c>
      <c r="L104" s="371">
        <f>((C117-1033493)/6)+K104</f>
        <v>29901086.222499996</v>
      </c>
      <c r="M104" s="371">
        <f>((C117-1033493)/6)+L104</f>
        <v>39868114.963333331</v>
      </c>
      <c r="N104" s="371">
        <f>((C117-1033493)/6)+M104</f>
        <v>49835143.704166666</v>
      </c>
      <c r="O104" s="371">
        <f>((C117-1033493)/6)+N104</f>
        <v>59802172.445</v>
      </c>
      <c r="P104" s="371">
        <f>(286645+100000+646848)+O104</f>
        <v>60835665.445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8638775.1633333322</v>
      </c>
      <c r="K110" s="371">
        <f t="shared" ref="K110:P110" si="9">SUM(K103:K104)</f>
        <v>17277550.326666664</v>
      </c>
      <c r="L110" s="371">
        <f t="shared" si="9"/>
        <v>25252198.701249994</v>
      </c>
      <c r="M110" s="371">
        <f t="shared" si="9"/>
        <v>33226847.075833332</v>
      </c>
      <c r="N110" s="371">
        <f t="shared" si="9"/>
        <v>41201495.450416669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616">
        <f>'PreDev Flow of Funds'!D47</f>
        <v>14824249.954999998</v>
      </c>
      <c r="D114" s="1615"/>
    </row>
    <row r="115" spans="2:19">
      <c r="B115" s="397" t="s">
        <v>600</v>
      </c>
      <c r="C115" s="1617">
        <f>M102</f>
        <v>1323400.22</v>
      </c>
      <c r="D115" s="1615"/>
    </row>
    <row r="116" spans="2:19">
      <c r="B116" s="397" t="s">
        <v>582</v>
      </c>
      <c r="C116" s="1617">
        <f>'Development Budget'!G37-Predevelopment!D27-Predevelopment!D28-Predevelopment!D29-Timeline!M102-Predevelopment!D17</f>
        <v>-10626028.619999999</v>
      </c>
      <c r="D116" s="1615"/>
    </row>
    <row r="117" spans="2:19" ht="16.5" thickBot="1">
      <c r="B117" s="398" t="s">
        <v>601</v>
      </c>
      <c r="C117" s="1618">
        <f>C118-C114-C116-C115</f>
        <v>60835665.445</v>
      </c>
      <c r="D117" s="1619"/>
    </row>
    <row r="118" spans="2:19" ht="16.5" thickTop="1">
      <c r="B118" s="368" t="s">
        <v>585</v>
      </c>
      <c r="C118" s="1614">
        <v>66357287</v>
      </c>
      <c r="D118" s="1615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