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Recycled Bonds\Lower TDC\"/>
    </mc:Choice>
  </mc:AlternateContent>
  <xr:revisionPtr revIDLastSave="0" documentId="13_ncr:1_{CAA53D3C-FD94-4A83-9FC9-5CE4817C42E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0" i="1" l="1"/>
  <c r="D37" i="2"/>
  <c r="M116" i="1"/>
  <c r="M117" i="1"/>
  <c r="M163" i="1"/>
  <c r="E35" i="1"/>
  <c r="D40" i="28" l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5" i="28" a="1"/>
  <c r="D16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D27" i="28"/>
  <c r="E27" i="28" l="1"/>
  <c r="D28" i="28"/>
  <c r="D22" i="6"/>
  <c r="K97" i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<sst xmlns="http://schemas.openxmlformats.org/spreadsheetml/2006/main" count="1995" uniqueCount="1105">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</sst>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51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164" fontId="116" fillId="0" borderId="0" xfId="6" applyNumberFormat="1" applyFont="1" applyBorder="1" applyAlignment="1">
      <alignment vertical="top" wrapText="1"/>
    </xf>
    <xf numFmtId="0" fontId="122" fillId="0" borderId="0" xfId="0" applyFont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3" fontId="119" fillId="0" borderId="0" xfId="0" applyNumberFormat="1" applyFont="1" applyAlignment="1">
      <alignment wrapText="1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4" fontId="116" fillId="0" borderId="0" xfId="6" applyNumberFormat="1" applyFont="1" applyBorder="1"/>
    <xf numFmtId="3" fontId="116" fillId="0" borderId="0" xfId="0" quotePrefix="1" applyNumberFormat="1" applyFont="1"/>
    <xf numFmtId="43" fontId="24" fillId="0" borderId="0" xfId="6" applyFont="1"/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164" fontId="129" fillId="0" borderId="0" xfId="6" applyNumberFormat="1" applyFont="1" applyFill="1" applyBorder="1" applyAlignment="1">
      <alignment vertical="top"/>
    </xf>
    <xf numFmtId="0" fontId="123" fillId="21" borderId="0" xfId="0" applyFont="1" applyFill="1"/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3" fontId="109" fillId="21" borderId="0" xfId="0" applyNumberFormat="1" applyFont="1" applyFill="1" applyAlignment="1">
      <alignment vertical="top" wrapText="1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3" fontId="116" fillId="21" borderId="0" xfId="0" applyNumberFormat="1" applyFont="1" applyFill="1" applyAlignment="1">
      <alignment wrapText="1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3" fontId="119" fillId="21" borderId="0" xfId="0" applyNumberFormat="1" applyFont="1" applyFill="1" applyAlignment="1">
      <alignment vertical="center" wrapText="1"/>
    </xf>
    <xf numFmtId="0" fontId="111" fillId="0" borderId="0" xfId="9"/>
    <xf numFmtId="0" fontId="131" fillId="0" borderId="0" xfId="9" applyFont="1"/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70" fontId="135" fillId="0" borderId="0" xfId="7" applyNumberFormat="1" applyFont="1" applyBorder="1"/>
    <xf numFmtId="170" fontId="104" fillId="0" borderId="0" xfId="7" applyNumberFormat="1" applyFont="1"/>
    <xf numFmtId="3" fontId="109" fillId="21" borderId="0" xfId="0" applyNumberFormat="1" applyFont="1" applyFill="1" applyAlignment="1">
      <alignment vertical="center" wrapText="1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125" fillId="21" borderId="0" xfId="0" applyNumberFormat="1" applyFont="1" applyFill="1" applyAlignment="1">
      <alignment vertical="top" wrapText="1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38" fontId="0" fillId="0" borderId="0" xfId="0" applyNumberFormat="1"/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92" fillId="0" borderId="19" xfId="0" applyFont="1" applyBorder="1"/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3" fontId="119" fillId="41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2" borderId="20" xfId="0" applyNumberFormat="1" applyFont="1" applyFill="1" applyBorder="1"/>
    <xf numFmtId="0" fontId="21" fillId="42" borderId="22" xfId="0" applyFont="1" applyFill="1" applyBorder="1"/>
    <xf numFmtId="0" fontId="15" fillId="42" borderId="22" xfId="0" applyFont="1" applyFill="1" applyBorder="1"/>
    <xf numFmtId="0" fontId="21" fillId="42" borderId="17" xfId="0" applyFont="1" applyFill="1" applyBorder="1"/>
    <xf numFmtId="170" fontId="15" fillId="42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9" fontId="1" fillId="0" borderId="73" xfId="3" applyFont="1" applyFill="1" applyBorder="1"/>
    <xf numFmtId="9" fontId="15" fillId="0" borderId="72" xfId="3" applyFont="1" applyFill="1" applyBorder="1"/>
    <xf numFmtId="38" fontId="140" fillId="13" borderId="0" xfId="6" applyNumberFormat="1" applyFont="1" applyFill="1" applyBorder="1" applyAlignment="1" applyProtection="1">
      <alignment vertical="center"/>
      <protection locked="0"/>
    </xf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94" fillId="43" borderId="0" xfId="0" applyFont="1" applyFill="1" applyAlignment="1">
      <alignment horizontal="left" vertical="top"/>
    </xf>
    <xf numFmtId="6" fontId="94" fillId="43" borderId="0" xfId="0" applyNumberFormat="1" applyFont="1" applyFill="1" applyAlignment="1">
      <alignment horizontal="right" vertical="top"/>
    </xf>
    <xf numFmtId="9" fontId="96" fillId="43" borderId="0" xfId="5" applyFont="1" applyFill="1" applyBorder="1" applyAlignment="1" applyProtection="1">
      <alignment vertical="top"/>
    </xf>
    <xf numFmtId="6" fontId="94" fillId="43" borderId="74" xfId="6" applyNumberFormat="1" applyFont="1" applyFill="1" applyBorder="1" applyAlignment="1" applyProtection="1">
      <alignment vertical="top"/>
      <protection locked="0"/>
    </xf>
    <xf numFmtId="38" fontId="94" fillId="43" borderId="0" xfId="6" applyNumberFormat="1" applyFont="1" applyFill="1" applyBorder="1" applyAlignment="1" applyProtection="1">
      <alignment vertical="top"/>
      <protection locked="0"/>
    </xf>
    <xf numFmtId="0" fontId="94" fillId="43" borderId="0" xfId="0" applyFont="1" applyFill="1" applyAlignment="1">
      <alignment vertical="top"/>
    </xf>
    <xf numFmtId="38" fontId="96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  <protection locked="0"/>
    </xf>
    <xf numFmtId="0" fontId="24" fillId="43" borderId="0" xfId="0" applyFont="1" applyFill="1" applyAlignment="1">
      <alignment vertical="top"/>
    </xf>
    <xf numFmtId="10" fontId="94" fillId="43" borderId="0" xfId="0" applyNumberFormat="1" applyFont="1" applyFill="1" applyAlignment="1">
      <alignment vertical="top"/>
    </xf>
    <xf numFmtId="169" fontId="94" fillId="43" borderId="0" xfId="0" applyNumberFormat="1" applyFont="1" applyFill="1" applyAlignment="1">
      <alignment vertical="top"/>
    </xf>
    <xf numFmtId="7" fontId="94" fillId="43" borderId="0" xfId="0" applyNumberFormat="1" applyFont="1" applyFill="1" applyAlignment="1">
      <alignment vertical="top"/>
    </xf>
    <xf numFmtId="8" fontId="94" fillId="43" borderId="0" xfId="0" applyNumberFormat="1" applyFont="1" applyFill="1" applyAlignment="1">
      <alignment vertical="top"/>
    </xf>
    <xf numFmtId="38" fontId="96" fillId="43" borderId="0" xfId="6" applyNumberFormat="1" applyFont="1" applyFill="1" applyBorder="1" applyAlignment="1" applyProtection="1">
      <alignment vertical="top"/>
    </xf>
    <xf numFmtId="40" fontId="94" fillId="43" borderId="0" xfId="0" applyNumberFormat="1" applyFont="1" applyFill="1" applyAlignment="1">
      <alignment vertical="top"/>
    </xf>
    <xf numFmtId="0" fontId="112" fillId="43" borderId="19" xfId="0" applyFont="1" applyFill="1" applyBorder="1" applyAlignment="1" applyProtection="1">
      <alignment horizontal="left" vertical="top"/>
      <protection locked="0"/>
    </xf>
    <xf numFmtId="0" fontId="100" fillId="43" borderId="19" xfId="0" applyFont="1" applyFill="1" applyBorder="1" applyAlignment="1" applyProtection="1">
      <alignment horizontal="left" vertical="top"/>
      <protection locked="0"/>
    </xf>
    <xf numFmtId="40" fontId="100" fillId="43" borderId="19" xfId="0" applyNumberFormat="1" applyFont="1" applyFill="1" applyBorder="1" applyAlignment="1">
      <alignment vertical="top"/>
    </xf>
    <xf numFmtId="38" fontId="112" fillId="43" borderId="19" xfId="0" applyNumberFormat="1" applyFont="1" applyFill="1" applyBorder="1" applyAlignment="1">
      <alignment vertical="top"/>
    </xf>
    <xf numFmtId="38" fontId="100" fillId="43" borderId="71" xfId="6" applyNumberFormat="1" applyFont="1" applyFill="1" applyBorder="1" applyAlignment="1" applyProtection="1">
      <alignment vertical="top"/>
    </xf>
    <xf numFmtId="38" fontId="100" fillId="43" borderId="19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  <protection locked="0"/>
    </xf>
    <xf numFmtId="0" fontId="100" fillId="43" borderId="0" xfId="0" applyFont="1" applyFill="1" applyAlignment="1">
      <alignment horizontal="left" vertical="top"/>
    </xf>
    <xf numFmtId="38" fontId="94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>
      <alignment vertical="top"/>
    </xf>
    <xf numFmtId="38" fontId="94" fillId="43" borderId="0" xfId="6" applyNumberFormat="1" applyFont="1" applyFill="1" applyBorder="1" applyAlignment="1">
      <alignment vertical="top"/>
    </xf>
    <xf numFmtId="169" fontId="94" fillId="43" borderId="0" xfId="0" applyNumberFormat="1" applyFont="1" applyFill="1" applyAlignment="1">
      <alignment horizontal="right" vertical="top"/>
    </xf>
    <xf numFmtId="38" fontId="24" fillId="43" borderId="74" xfId="0" applyNumberFormat="1" applyFont="1" applyFill="1" applyBorder="1"/>
    <xf numFmtId="38" fontId="24" fillId="43" borderId="0" xfId="0" applyNumberFormat="1" applyFont="1" applyFill="1"/>
    <xf numFmtId="40" fontId="24" fillId="43" borderId="0" xfId="0" applyNumberFormat="1" applyFont="1" applyFill="1" applyAlignment="1">
      <alignment vertical="top"/>
    </xf>
    <xf numFmtId="38" fontId="105" fillId="43" borderId="0" xfId="0" applyNumberFormat="1" applyFont="1" applyFill="1" applyAlignment="1">
      <alignment vertical="top"/>
    </xf>
    <xf numFmtId="6" fontId="106" fillId="43" borderId="0" xfId="0" applyNumberFormat="1" applyFont="1" applyFill="1" applyAlignment="1">
      <alignment vertical="top"/>
    </xf>
    <xf numFmtId="38" fontId="101" fillId="43" borderId="0" xfId="0" applyNumberFormat="1" applyFont="1" applyFill="1" applyAlignment="1">
      <alignment vertical="top"/>
    </xf>
    <xf numFmtId="10" fontId="24" fillId="43" borderId="0" xfId="5" applyNumberFormat="1" applyFont="1" applyFill="1" applyBorder="1" applyAlignment="1" applyProtection="1">
      <alignment vertical="top"/>
    </xf>
    <xf numFmtId="38" fontId="105" fillId="43" borderId="0" xfId="5" applyNumberFormat="1" applyFont="1" applyFill="1" applyBorder="1" applyAlignment="1" applyProtection="1">
      <alignment vertical="top"/>
    </xf>
    <xf numFmtId="0" fontId="0" fillId="43" borderId="0" xfId="0" applyFill="1"/>
    <xf numFmtId="164" fontId="105" fillId="43" borderId="74" xfId="6" applyNumberFormat="1" applyFont="1" applyFill="1" applyBorder="1" applyAlignment="1">
      <alignment vertical="top"/>
    </xf>
    <xf numFmtId="164" fontId="105" fillId="43" borderId="0" xfId="6" applyNumberFormat="1" applyFont="1" applyFill="1" applyBorder="1" applyAlignment="1">
      <alignment vertical="top"/>
    </xf>
    <xf numFmtId="164" fontId="126" fillId="43" borderId="0" xfId="0" applyNumberFormat="1" applyFont="1" applyFill="1"/>
    <xf numFmtId="164" fontId="127" fillId="43" borderId="0" xfId="0" applyNumberFormat="1" applyFont="1" applyFill="1"/>
    <xf numFmtId="0" fontId="112" fillId="43" borderId="19" xfId="0" applyFont="1" applyFill="1" applyBorder="1" applyAlignment="1">
      <alignment horizontal="left" vertical="top"/>
    </xf>
    <xf numFmtId="0" fontId="94" fillId="43" borderId="19" xfId="0" applyFont="1" applyFill="1" applyBorder="1" applyAlignment="1">
      <alignment horizontal="left" vertical="top"/>
    </xf>
    <xf numFmtId="0" fontId="0" fillId="43" borderId="19" xfId="0" applyFill="1" applyBorder="1"/>
    <xf numFmtId="38" fontId="128" fillId="43" borderId="19" xfId="0" applyNumberFormat="1" applyFont="1" applyFill="1" applyBorder="1" applyAlignment="1">
      <alignment vertical="top"/>
    </xf>
    <xf numFmtId="38" fontId="94" fillId="43" borderId="71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</xf>
    <xf numFmtId="165" fontId="24" fillId="43" borderId="0" xfId="5" applyNumberFormat="1" applyFont="1" applyFill="1" applyBorder="1" applyAlignment="1">
      <alignment vertical="top"/>
    </xf>
    <xf numFmtId="38" fontId="128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</xf>
    <xf numFmtId="38" fontId="94" fillId="43" borderId="0" xfId="6" applyNumberFormat="1" applyFont="1" applyFill="1" applyBorder="1" applyAlignment="1" applyProtection="1">
      <alignment vertical="top"/>
    </xf>
    <xf numFmtId="0" fontId="100" fillId="43" borderId="19" xfId="0" applyFont="1" applyFill="1" applyBorder="1" applyAlignment="1">
      <alignment horizontal="left" vertical="top"/>
    </xf>
    <xf numFmtId="180" fontId="102" fillId="43" borderId="19" xfId="0" applyNumberFormat="1" applyFont="1" applyFill="1" applyBorder="1" applyAlignment="1">
      <alignment vertical="top"/>
    </xf>
    <xf numFmtId="38" fontId="121" fillId="43" borderId="19" xfId="0" applyNumberFormat="1" applyFont="1" applyFill="1" applyBorder="1" applyAlignment="1">
      <alignment vertical="top"/>
    </xf>
    <xf numFmtId="181" fontId="24" fillId="43" borderId="0" xfId="5" applyNumberFormat="1" applyFont="1" applyFill="1" applyBorder="1" applyAlignment="1">
      <alignment vertical="top"/>
    </xf>
    <xf numFmtId="182" fontId="24" fillId="43" borderId="0" xfId="5" applyNumberFormat="1" applyFont="1" applyFill="1" applyBorder="1" applyAlignment="1">
      <alignment vertical="top"/>
    </xf>
    <xf numFmtId="0" fontId="112" fillId="43" borderId="0" xfId="0" applyFont="1" applyFill="1" applyAlignment="1">
      <alignment horizontal="left" vertical="top"/>
    </xf>
    <xf numFmtId="10" fontId="24" fillId="43" borderId="0" xfId="5" applyNumberFormat="1" applyFont="1" applyFill="1" applyBorder="1" applyAlignment="1">
      <alignment vertical="top"/>
    </xf>
    <xf numFmtId="38" fontId="105" fillId="43" borderId="0" xfId="5" applyNumberFormat="1" applyFont="1" applyFill="1" applyBorder="1" applyAlignment="1">
      <alignment vertical="top"/>
    </xf>
    <xf numFmtId="0" fontId="96" fillId="43" borderId="0" xfId="0" applyFont="1" applyFill="1" applyAlignment="1">
      <alignment horizontal="left" vertical="top"/>
    </xf>
    <xf numFmtId="38" fontId="24" fillId="43" borderId="74" xfId="6" applyNumberFormat="1" applyFont="1" applyFill="1" applyBorder="1" applyAlignment="1" applyProtection="1">
      <alignment vertical="top"/>
      <protection locked="0"/>
    </xf>
    <xf numFmtId="38" fontId="24" fillId="43" borderId="0" xfId="6" applyNumberFormat="1" applyFont="1" applyFill="1" applyBorder="1" applyAlignment="1" applyProtection="1">
      <alignment vertical="top"/>
      <protection locked="0"/>
    </xf>
    <xf numFmtId="10" fontId="92" fillId="43" borderId="0" xfId="5" applyNumberFormat="1" applyFont="1" applyFill="1" applyBorder="1" applyAlignment="1">
      <alignment vertical="top"/>
    </xf>
    <xf numFmtId="38" fontId="110" fillId="43" borderId="0" xfId="5" applyNumberFormat="1" applyFont="1" applyFill="1" applyBorder="1" applyAlignment="1">
      <alignment vertical="top"/>
    </xf>
    <xf numFmtId="38" fontId="100" fillId="43" borderId="74" xfId="6" applyNumberFormat="1" applyFont="1" applyFill="1" applyBorder="1" applyAlignment="1">
      <alignment vertical="top"/>
    </xf>
    <xf numFmtId="38" fontId="100" fillId="43" borderId="0" xfId="6" applyNumberFormat="1" applyFont="1" applyFill="1" applyBorder="1" applyAlignment="1">
      <alignment vertical="top"/>
    </xf>
    <xf numFmtId="38" fontId="129" fillId="43" borderId="0" xfId="0" applyNumberFormat="1" applyFont="1" applyFill="1" applyAlignment="1">
      <alignment vertical="top"/>
    </xf>
    <xf numFmtId="0" fontId="129" fillId="43" borderId="0" xfId="0" applyFont="1" applyFill="1" applyAlignment="1">
      <alignment vertical="top"/>
    </xf>
    <xf numFmtId="38" fontId="24" fillId="43" borderId="74" xfId="6" applyNumberFormat="1" applyFont="1" applyFill="1" applyBorder="1" applyAlignment="1">
      <alignment vertical="top"/>
    </xf>
    <xf numFmtId="38" fontId="24" fillId="43" borderId="0" xfId="6" applyNumberFormat="1" applyFont="1" applyFill="1" applyBorder="1" applyAlignment="1">
      <alignment vertical="top"/>
    </xf>
    <xf numFmtId="165" fontId="94" fillId="43" borderId="0" xfId="0" applyNumberFormat="1" applyFont="1" applyFill="1" applyAlignment="1">
      <alignment vertical="top"/>
    </xf>
    <xf numFmtId="38" fontId="24" fillId="43" borderId="74" xfId="0" applyNumberFormat="1" applyFont="1" applyFill="1" applyBorder="1" applyAlignment="1">
      <alignment vertical="top"/>
    </xf>
    <xf numFmtId="38" fontId="24" fillId="43" borderId="0" xfId="0" applyNumberFormat="1" applyFont="1" applyFill="1" applyAlignment="1">
      <alignment vertical="top"/>
    </xf>
    <xf numFmtId="0" fontId="102" fillId="43" borderId="0" xfId="0" applyFont="1" applyFill="1" applyAlignment="1">
      <alignment vertical="top"/>
    </xf>
    <xf numFmtId="38" fontId="110" fillId="43" borderId="0" xfId="0" applyNumberFormat="1" applyFont="1" applyFill="1" applyAlignment="1">
      <alignment vertical="top"/>
    </xf>
    <xf numFmtId="38" fontId="92" fillId="43" borderId="74" xfId="6" applyNumberFormat="1" applyFont="1" applyFill="1" applyBorder="1" applyAlignment="1">
      <alignment vertical="top"/>
    </xf>
    <xf numFmtId="38" fontId="92" fillId="43" borderId="0" xfId="6" applyNumberFormat="1" applyFont="1" applyFill="1" applyBorder="1" applyAlignment="1">
      <alignment vertical="top"/>
    </xf>
    <xf numFmtId="0" fontId="95" fillId="43" borderId="0" xfId="0" applyFont="1" applyFill="1" applyAlignment="1">
      <alignment vertical="top"/>
    </xf>
    <xf numFmtId="38" fontId="94" fillId="43" borderId="74" xfId="0" applyNumberFormat="1" applyFont="1" applyFill="1" applyBorder="1" applyAlignment="1">
      <alignment vertical="top"/>
    </xf>
    <xf numFmtId="38" fontId="121" fillId="43" borderId="0" xfId="0" applyNumberFormat="1" applyFont="1" applyFill="1" applyAlignment="1">
      <alignment vertical="top"/>
    </xf>
    <xf numFmtId="8" fontId="24" fillId="43" borderId="0" xfId="0" applyNumberFormat="1" applyFont="1" applyFill="1" applyAlignment="1">
      <alignment vertical="top"/>
    </xf>
    <xf numFmtId="0" fontId="0" fillId="43" borderId="74" xfId="0" applyFill="1" applyBorder="1"/>
    <xf numFmtId="8" fontId="24" fillId="43" borderId="0" xfId="5" applyNumberFormat="1" applyFont="1" applyFill="1" applyBorder="1" applyAlignment="1">
      <alignment vertical="top"/>
    </xf>
    <xf numFmtId="183" fontId="24" fillId="43" borderId="0" xfId="7" applyNumberFormat="1" applyFont="1" applyFill="1" applyBorder="1" applyAlignment="1">
      <alignment vertical="top"/>
    </xf>
    <xf numFmtId="170" fontId="24" fillId="43" borderId="0" xfId="7" applyNumberFormat="1" applyFont="1" applyFill="1" applyBorder="1" applyAlignment="1">
      <alignment vertical="top"/>
    </xf>
    <xf numFmtId="170" fontId="24" fillId="43" borderId="0" xfId="0" applyNumberFormat="1" applyFont="1" applyFill="1" applyAlignment="1">
      <alignment vertical="top"/>
    </xf>
    <xf numFmtId="3" fontId="105" fillId="43" borderId="0" xfId="0" applyNumberFormat="1" applyFont="1" applyFill="1"/>
    <xf numFmtId="3" fontId="105" fillId="43" borderId="0" xfId="5" applyNumberFormat="1" applyFont="1" applyFill="1" applyBorder="1" applyAlignment="1">
      <alignment vertical="top"/>
    </xf>
    <xf numFmtId="42" fontId="24" fillId="43" borderId="0" xfId="0" applyNumberFormat="1" applyFont="1" applyFill="1" applyAlignment="1">
      <alignment vertical="top"/>
    </xf>
    <xf numFmtId="3" fontId="105" fillId="43" borderId="0" xfId="0" applyNumberFormat="1" applyFont="1" applyFill="1" applyAlignment="1">
      <alignment vertical="top"/>
    </xf>
    <xf numFmtId="9" fontId="24" fillId="43" borderId="0" xfId="3" applyFont="1" applyFill="1" applyAlignment="1">
      <alignment vertical="top"/>
    </xf>
    <xf numFmtId="0" fontId="94" fillId="43" borderId="0" xfId="0" applyFont="1" applyFill="1" applyAlignment="1">
      <alignment horizontal="left"/>
    </xf>
    <xf numFmtId="0" fontId="129" fillId="43" borderId="0" xfId="0" applyFont="1" applyFill="1"/>
    <xf numFmtId="38" fontId="105" fillId="43" borderId="0" xfId="0" applyNumberFormat="1" applyFont="1" applyFill="1"/>
    <xf numFmtId="164" fontId="24" fillId="43" borderId="74" xfId="6" applyNumberFormat="1" applyFont="1" applyFill="1" applyBorder="1" applyAlignment="1"/>
    <xf numFmtId="164" fontId="24" fillId="43" borderId="0" xfId="6" applyNumberFormat="1" applyFont="1" applyFill="1" applyBorder="1" applyAlignment="1"/>
    <xf numFmtId="164" fontId="24" fillId="43" borderId="74" xfId="6" applyNumberFormat="1" applyFont="1" applyFill="1" applyBorder="1" applyAlignment="1">
      <alignment vertical="top"/>
    </xf>
    <xf numFmtId="164" fontId="24" fillId="43" borderId="0" xfId="6" applyNumberFormat="1" applyFont="1" applyFill="1" applyBorder="1" applyAlignment="1">
      <alignment vertical="top"/>
    </xf>
    <xf numFmtId="10" fontId="105" fillId="43" borderId="0" xfId="5" applyNumberFormat="1" applyFont="1" applyFill="1" applyBorder="1" applyAlignment="1">
      <alignment vertical="top"/>
    </xf>
    <xf numFmtId="0" fontId="0" fillId="43" borderId="0" xfId="0" applyFill="1" applyAlignment="1">
      <alignment vertical="top"/>
    </xf>
    <xf numFmtId="184" fontId="24" fillId="43" borderId="0" xfId="0" applyNumberFormat="1" applyFont="1" applyFill="1" applyAlignment="1">
      <alignment vertical="top"/>
    </xf>
    <xf numFmtId="38" fontId="105" fillId="43" borderId="0" xfId="6" applyNumberFormat="1" applyFont="1" applyFill="1" applyBorder="1" applyAlignment="1">
      <alignment vertical="top"/>
    </xf>
    <xf numFmtId="0" fontId="134" fillId="43" borderId="0" xfId="0" applyFont="1" applyFill="1" applyAlignment="1">
      <alignment horizontal="right"/>
    </xf>
    <xf numFmtId="38" fontId="137" fillId="43" borderId="0" xfId="0" applyNumberFormat="1" applyFont="1" applyFill="1"/>
    <xf numFmtId="38" fontId="24" fillId="43" borderId="74" xfId="6" applyNumberFormat="1" applyFont="1" applyFill="1" applyBorder="1" applyAlignment="1"/>
    <xf numFmtId="38" fontId="24" fillId="43" borderId="0" xfId="6" applyNumberFormat="1" applyFont="1" applyFill="1" applyBorder="1" applyAlignment="1"/>
    <xf numFmtId="0" fontId="24" fillId="43" borderId="0" xfId="0" applyFont="1" applyFill="1"/>
    <xf numFmtId="10" fontId="24" fillId="43" borderId="0" xfId="0" applyNumberFormat="1" applyFont="1" applyFill="1"/>
    <xf numFmtId="3" fontId="105" fillId="43" borderId="0" xfId="6" applyNumberFormat="1" applyFont="1" applyFill="1" applyBorder="1" applyAlignment="1">
      <alignment vertical="top"/>
    </xf>
    <xf numFmtId="0" fontId="24" fillId="43" borderId="74" xfId="0" applyFont="1" applyFill="1" applyBorder="1"/>
    <xf numFmtId="10" fontId="24" fillId="43" borderId="0" xfId="0" applyNumberFormat="1" applyFont="1" applyFill="1" applyAlignment="1">
      <alignment vertical="top"/>
    </xf>
    <xf numFmtId="0" fontId="24" fillId="43" borderId="74" xfId="0" applyFont="1" applyFill="1" applyBorder="1" applyAlignment="1">
      <alignment vertical="top"/>
    </xf>
    <xf numFmtId="3" fontId="24" fillId="43" borderId="0" xfId="7" applyNumberFormat="1" applyFont="1" applyFill="1" applyBorder="1" applyAlignment="1">
      <alignment vertical="top"/>
    </xf>
    <xf numFmtId="3" fontId="24" fillId="43" borderId="0" xfId="0" applyNumberFormat="1" applyFont="1" applyFill="1" applyAlignment="1">
      <alignment vertical="top"/>
    </xf>
    <xf numFmtId="0" fontId="0" fillId="43" borderId="74" xfId="0" applyFill="1" applyBorder="1" applyAlignment="1">
      <alignment vertical="top"/>
    </xf>
    <xf numFmtId="38" fontId="24" fillId="43" borderId="0" xfId="0" applyNumberFormat="1" applyFont="1" applyFill="1" applyAlignment="1">
      <alignment horizontal="center"/>
    </xf>
    <xf numFmtId="0" fontId="94" fillId="43" borderId="0" xfId="0" applyFont="1" applyFill="1" applyAlignment="1" applyProtection="1">
      <alignment horizontal="left" vertical="top"/>
      <protection locked="0"/>
    </xf>
    <xf numFmtId="6" fontId="24" fillId="43" borderId="0" xfId="0" applyNumberFormat="1" applyFont="1" applyFill="1" applyAlignment="1">
      <alignment vertical="top"/>
    </xf>
    <xf numFmtId="40" fontId="24" fillId="43" borderId="74" xfId="6" applyNumberFormat="1" applyFont="1" applyFill="1" applyBorder="1" applyAlignment="1" applyProtection="1">
      <alignment vertical="top"/>
      <protection locked="0"/>
    </xf>
    <xf numFmtId="40" fontId="24" fillId="43" borderId="0" xfId="6" applyNumberFormat="1" applyFont="1" applyFill="1" applyBorder="1" applyAlignment="1" applyProtection="1">
      <alignment vertical="top"/>
      <protection locked="0"/>
    </xf>
    <xf numFmtId="165" fontId="94" fillId="43" borderId="0" xfId="5" applyNumberFormat="1" applyFont="1" applyFill="1" applyBorder="1" applyAlignment="1">
      <alignment vertical="top"/>
    </xf>
    <xf numFmtId="0" fontId="100" fillId="43" borderId="0" xfId="0" applyFont="1" applyFill="1" applyAlignment="1">
      <alignment vertical="top"/>
    </xf>
    <xf numFmtId="38" fontId="92" fillId="43" borderId="74" xfId="6" applyNumberFormat="1" applyFont="1" applyFill="1" applyBorder="1" applyAlignment="1" applyProtection="1">
      <alignment vertical="top"/>
      <protection locked="0"/>
    </xf>
    <xf numFmtId="38" fontId="92" fillId="43" borderId="0" xfId="6" applyNumberFormat="1" applyFont="1" applyFill="1" applyBorder="1" applyAlignment="1" applyProtection="1">
      <alignment vertical="top"/>
      <protection locked="0"/>
    </xf>
    <xf numFmtId="7" fontId="100" fillId="43" borderId="0" xfId="0" applyNumberFormat="1" applyFont="1" applyFill="1" applyAlignment="1">
      <alignment vertical="top"/>
    </xf>
    <xf numFmtId="10" fontId="94" fillId="43" borderId="0" xfId="5" applyNumberFormat="1" applyFont="1" applyFill="1" applyBorder="1" applyAlignment="1">
      <alignment vertical="top"/>
    </xf>
    <xf numFmtId="43" fontId="94" fillId="43" borderId="0" xfId="6" applyFont="1" applyFill="1" applyBorder="1" applyAlignment="1">
      <alignment vertical="top"/>
    </xf>
    <xf numFmtId="42" fontId="94" fillId="43" borderId="0" xfId="6" applyNumberFormat="1" applyFont="1" applyFill="1" applyBorder="1" applyAlignment="1">
      <alignment vertical="top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13" workbookViewId="0">
      <selection activeCell="G21" sqref="G21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521" t="s">
        <v>1090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152</v>
      </c>
      <c r="E10" s="699"/>
    </row>
    <row r="11" spans="1:5">
      <c r="A11" s="690"/>
      <c r="B11" s="698" t="s">
        <v>11</v>
      </c>
      <c r="C11" s="698"/>
      <c r="D11" s="700">
        <f>D12+D13</f>
        <v>148344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148344</v>
      </c>
      <c r="E12" s="700"/>
    </row>
    <row r="13" spans="1:5">
      <c r="A13" s="1531"/>
      <c r="B13" s="1532" t="s">
        <v>13</v>
      </c>
      <c r="C13" s="1532"/>
      <c r="D13" s="1533">
        <f>'Construction Calculation'!C18</f>
        <v>0</v>
      </c>
      <c r="E13" s="700"/>
    </row>
    <row r="14" spans="1:5">
      <c r="A14" s="1534" t="s">
        <v>1094</v>
      </c>
      <c r="B14" s="1535"/>
      <c r="C14" s="1535"/>
      <c r="D14" s="1559" t="s">
        <v>1103</v>
      </c>
      <c r="E14" s="700"/>
    </row>
    <row r="15" spans="1:5">
      <c r="A15" s="1427" t="s">
        <v>1091</v>
      </c>
      <c r="B15" s="1522"/>
      <c r="C15" s="1529"/>
      <c r="D15" s="1523" cm="1">
        <f t="array" aca="1" ref="D15" ca="1">IF(D14="Year 7 Takeout", INDIRECT("GapCalc!K46"), INDIRECT("GapCalc!K58"))</f>
        <v>9.1324788995884337E-2</v>
      </c>
      <c r="E15" s="700"/>
    </row>
    <row r="16" spans="1:5">
      <c r="A16" s="1525" t="s">
        <v>1092</v>
      </c>
      <c r="B16" s="702"/>
      <c r="D16" s="1524" cm="1">
        <f t="array" aca="1" ref="D16" ca="1">IF(D14="Year 7 Takeout", INDIRECT("GapCalc!K51"), INDIRECT("GapCalc!K63"))</f>
        <v>9.1324788995884365E-2</v>
      </c>
      <c r="E16" s="700"/>
    </row>
    <row r="17" spans="1:6">
      <c r="A17" s="1530"/>
      <c r="B17" s="702"/>
      <c r="D17" s="1526"/>
      <c r="E17" s="1597" t="s">
        <v>961</v>
      </c>
    </row>
    <row r="18" spans="1:6">
      <c r="A18" s="1527" t="s">
        <v>1093</v>
      </c>
      <c r="B18" s="47"/>
      <c r="C18" s="47"/>
      <c r="D18" s="1528" cm="1">
        <f t="array" aca="1" ref="D18" ca="1">IF(D14="Year 7 Takeout", INDIRECT("GapCalc!I55"), INDIRECT("GapCalc!I67"))</f>
        <v>160414.8795679044</v>
      </c>
      <c r="E18" s="1598">
        <f ca="1">-D18/D28</f>
        <v>-1.9912472637525374E-3</v>
      </c>
      <c r="F18" s="1171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375" t="s">
        <v>382</v>
      </c>
    </row>
    <row r="21" spans="1:6">
      <c r="A21" s="64"/>
      <c r="B21" s="63" t="s">
        <v>15</v>
      </c>
      <c r="C21" s="63"/>
      <c r="D21" s="1376">
        <f>'Development Budget'!G28</f>
        <v>10055000</v>
      </c>
      <c r="E21" s="1376">
        <f>D21/$D$10</f>
        <v>66151.31578947368</v>
      </c>
    </row>
    <row r="22" spans="1:6">
      <c r="A22" s="64"/>
      <c r="B22" s="4" t="s">
        <v>16</v>
      </c>
      <c r="C22" s="4"/>
      <c r="D22" s="1376">
        <f>'Development Budget'!G44</f>
        <v>61177208.750000007</v>
      </c>
      <c r="E22" s="1376">
        <f t="shared" ref="E22:E28" si="0">D22/$D$10</f>
        <v>402481.63651315792</v>
      </c>
      <c r="F22" s="1169"/>
    </row>
    <row r="23" spans="1:6">
      <c r="A23" s="64"/>
      <c r="B23" s="4" t="s">
        <v>17</v>
      </c>
      <c r="C23" s="4"/>
      <c r="D23" s="1376">
        <f>SUM('Development Budget'!G80,'Development Budget'!G59)</f>
        <v>1872240</v>
      </c>
      <c r="E23" s="1376">
        <f t="shared" si="0"/>
        <v>12317.368421052632</v>
      </c>
    </row>
    <row r="24" spans="1:6">
      <c r="A24" s="64"/>
      <c r="B24" s="4" t="s">
        <v>18</v>
      </c>
      <c r="C24" s="4"/>
      <c r="D24" s="1376">
        <f>'Development Budget'!G97</f>
        <v>2637086</v>
      </c>
      <c r="E24" s="1376">
        <f t="shared" si="0"/>
        <v>17349.25</v>
      </c>
    </row>
    <row r="25" spans="1:6">
      <c r="A25" s="64"/>
      <c r="B25" s="4" t="s">
        <v>19</v>
      </c>
      <c r="C25" s="4"/>
      <c r="D25" s="1376">
        <f>'Development Budget'!G148+'Development Budget'!G170+'Development Budget'!G176</f>
        <v>8931776.6242734715</v>
      </c>
      <c r="E25" s="1376">
        <f t="shared" si="0"/>
        <v>58761.688317588625</v>
      </c>
    </row>
    <row r="26" spans="1:6">
      <c r="A26" s="64"/>
      <c r="B26" s="4" t="s">
        <v>20</v>
      </c>
      <c r="C26" s="4"/>
      <c r="D26" s="1376">
        <f>'Development Budget'!G181</f>
        <v>3905727.4453824316</v>
      </c>
      <c r="E26" s="1376">
        <f t="shared" si="0"/>
        <v>25695.57529856863</v>
      </c>
    </row>
    <row r="27" spans="1:6" ht="16.5" thickBot="1">
      <c r="A27" s="146"/>
      <c r="B27" s="67" t="s">
        <v>21</v>
      </c>
      <c r="C27" s="67"/>
      <c r="D27" s="1377">
        <f>'Development Budget'!G250-SUM(D21:D26)</f>
        <v>-8019038.8196559101</v>
      </c>
      <c r="E27" s="1377">
        <f t="shared" si="0"/>
        <v>-52756.834339841516</v>
      </c>
    </row>
    <row r="28" spans="1:6" ht="16.5" thickTop="1">
      <c r="A28" s="4"/>
      <c r="B28" s="4"/>
      <c r="C28" s="150" t="s">
        <v>14</v>
      </c>
      <c r="D28" s="1378">
        <f>SUM(D21:D27)</f>
        <v>80560000</v>
      </c>
      <c r="E28" s="1376">
        <f t="shared" si="0"/>
        <v>530000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375" t="s">
        <v>382</v>
      </c>
    </row>
    <row r="31" spans="1:6">
      <c r="A31" s="4"/>
      <c r="B31" s="4" t="s">
        <v>23</v>
      </c>
      <c r="C31" s="4"/>
      <c r="D31" s="61"/>
      <c r="E31" s="1376">
        <f t="shared" ref="E31:E32" si="1">D31/$D$10</f>
        <v>0</v>
      </c>
    </row>
    <row r="32" spans="1:6">
      <c r="A32" s="4"/>
      <c r="B32" s="4" t="s">
        <v>24</v>
      </c>
      <c r="C32" s="4"/>
      <c r="D32" s="1431">
        <f>Data!C20</f>
        <v>52364000</v>
      </c>
      <c r="E32" s="1431">
        <f t="shared" si="1"/>
        <v>344500</v>
      </c>
    </row>
    <row r="33" spans="1:5">
      <c r="A33" s="64"/>
      <c r="B33" s="4" t="s">
        <v>1051</v>
      </c>
      <c r="C33" s="4"/>
      <c r="D33" s="1432">
        <f>GapCalc!D29</f>
        <v>4229400.0000000009</v>
      </c>
      <c r="E33" s="1431">
        <f>D33/$D$10</f>
        <v>27825.000000000007</v>
      </c>
    </row>
    <row r="34" spans="1:5">
      <c r="A34" s="65"/>
      <c r="B34" s="4" t="s">
        <v>26</v>
      </c>
      <c r="C34" s="4"/>
      <c r="D34" s="1432">
        <f>GapCalc!D30</f>
        <v>23966600.000000004</v>
      </c>
      <c r="E34" s="1431">
        <f>D34/$D$10</f>
        <v>157675.00000000003</v>
      </c>
    </row>
    <row r="35" spans="1:5" ht="16.5" thickBot="1">
      <c r="A35" s="66"/>
      <c r="B35" s="67" t="s">
        <v>27</v>
      </c>
      <c r="C35" s="67"/>
      <c r="D35" s="1433">
        <v>0</v>
      </c>
      <c r="E35" s="1433">
        <f>D35/$D$10</f>
        <v>0</v>
      </c>
    </row>
    <row r="36" spans="1:5" ht="16.5" thickTop="1">
      <c r="A36" s="4"/>
      <c r="B36" s="690"/>
      <c r="C36" s="150" t="s">
        <v>28</v>
      </c>
      <c r="D36" s="1434">
        <f>SUM(D31:D35)</f>
        <v>80560000</v>
      </c>
      <c r="E36" s="1431">
        <f>D36/$D$10</f>
        <v>530000</v>
      </c>
    </row>
    <row r="37" spans="1:5">
      <c r="A37" s="60"/>
      <c r="B37" s="4"/>
      <c r="C37" s="4"/>
      <c r="D37" s="1431"/>
      <c r="E37" s="1439"/>
    </row>
    <row r="38" spans="1:5" ht="18.75">
      <c r="A38" s="152" t="s">
        <v>29</v>
      </c>
      <c r="B38" s="148"/>
      <c r="C38" s="148"/>
      <c r="D38" s="1435"/>
      <c r="E38" s="1440" t="s">
        <v>382</v>
      </c>
    </row>
    <row r="39" spans="1:5">
      <c r="A39" s="60"/>
      <c r="B39" s="4" t="s">
        <v>1047</v>
      </c>
      <c r="C39" s="4"/>
      <c r="D39" s="1431">
        <f>Data!G30</f>
        <v>0</v>
      </c>
      <c r="E39" s="1431">
        <f>D39/$D$10</f>
        <v>0</v>
      </c>
    </row>
    <row r="40" spans="1:5">
      <c r="A40" s="60"/>
      <c r="B40" s="4" t="s">
        <v>995</v>
      </c>
      <c r="C40" s="4"/>
      <c r="D40" s="1431">
        <f>GapCalc!D37</f>
        <v>60486712.59494748</v>
      </c>
      <c r="E40" s="1431">
        <f t="shared" ref="E40" si="2">D40/$D$10</f>
        <v>397938.89865097025</v>
      </c>
    </row>
    <row r="41" spans="1:5">
      <c r="A41" s="60"/>
      <c r="B41" s="4" t="s">
        <v>1051</v>
      </c>
      <c r="C41" s="4"/>
      <c r="D41" s="1436">
        <f>GapCalc!D29+GapCalc!D38</f>
        <v>4229400.0000000009</v>
      </c>
      <c r="E41" s="1431">
        <f>D41/$D$10</f>
        <v>27825.000000000007</v>
      </c>
    </row>
    <row r="42" spans="1:5">
      <c r="A42" s="60"/>
      <c r="B42" s="1402" t="s">
        <v>26</v>
      </c>
      <c r="C42" s="4"/>
      <c r="D42" s="1437">
        <f>GapCalc!D30+GapCalc!D39</f>
        <v>23966600.000000004</v>
      </c>
      <c r="E42" s="1431">
        <f>D42/$D$10</f>
        <v>157675.00000000003</v>
      </c>
    </row>
    <row r="43" spans="1:5">
      <c r="A43" s="60"/>
      <c r="B43" s="1558" t="s">
        <v>1102</v>
      </c>
      <c r="C43" s="4"/>
      <c r="D43" s="1437">
        <f>IF(D32-D40&gt;0,0,D32-D40)</f>
        <v>-8122712.5949474797</v>
      </c>
      <c r="E43" s="1431">
        <f>D43/$D$10</f>
        <v>-53438.898650970259</v>
      </c>
    </row>
    <row r="44" spans="1:5">
      <c r="A44" s="60"/>
      <c r="B44" s="4" t="s">
        <v>27</v>
      </c>
      <c r="C44" s="4"/>
      <c r="D44" s="1437">
        <v>0</v>
      </c>
      <c r="E44" s="1431">
        <v>0</v>
      </c>
    </row>
    <row r="45" spans="1:5" ht="16.5" thickBot="1">
      <c r="A45" s="66"/>
      <c r="B45" s="731"/>
      <c r="C45" s="1519" t="s">
        <v>33</v>
      </c>
      <c r="D45" s="1520">
        <f>SUM(D39:D44)</f>
        <v>80560000</v>
      </c>
      <c r="E45" s="1433">
        <f>D45/$D$10</f>
        <v>530000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14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148344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148344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375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376">
        <f>'Development Budget'!G28</f>
        <v>10055000</v>
      </c>
      <c r="E17" s="1376">
        <f>D17/$D$11</f>
        <v>66151.31578947368</v>
      </c>
      <c r="F17" s="62"/>
      <c r="G17" s="144"/>
      <c r="H17" s="145"/>
    </row>
    <row r="18" spans="1:10" s="4" customFormat="1" ht="15.75">
      <c r="A18" s="64"/>
      <c r="B18" s="4" t="s">
        <v>16</v>
      </c>
      <c r="D18" s="1376">
        <f>'Development Budget'!G44</f>
        <v>61177208.750000007</v>
      </c>
      <c r="E18" s="1376">
        <f t="shared" ref="E18:E24" si="0">D18/$D$11</f>
        <v>402481.63651315792</v>
      </c>
      <c r="F18" s="337"/>
      <c r="G18" s="144"/>
      <c r="H18" s="145"/>
    </row>
    <row r="19" spans="1:10" s="4" customFormat="1" ht="15.75">
      <c r="A19" s="64"/>
      <c r="B19" s="4" t="s">
        <v>17</v>
      </c>
      <c r="D19" s="1376">
        <f>SUM('Development Budget'!G80,'Development Budget'!G59)</f>
        <v>1872240</v>
      </c>
      <c r="E19" s="1376">
        <f t="shared" si="0"/>
        <v>12317.368421052632</v>
      </c>
      <c r="F19" s="62"/>
      <c r="G19" s="144"/>
      <c r="H19" s="145"/>
    </row>
    <row r="20" spans="1:10" s="4" customFormat="1" ht="15.75">
      <c r="A20" s="64"/>
      <c r="B20" s="4" t="s">
        <v>18</v>
      </c>
      <c r="D20" s="1376">
        <f>'Development Budget'!G97</f>
        <v>2637086</v>
      </c>
      <c r="E20" s="1376">
        <f t="shared" si="0"/>
        <v>17349.25</v>
      </c>
      <c r="F20" s="62"/>
      <c r="G20" s="144"/>
      <c r="H20" s="145"/>
    </row>
    <row r="21" spans="1:10" s="4" customFormat="1" ht="15.75">
      <c r="A21" s="64"/>
      <c r="B21" s="4" t="s">
        <v>19</v>
      </c>
      <c r="D21" s="1376">
        <f>'Development Budget'!G148+'Development Budget'!G170+'Development Budget'!G176</f>
        <v>8931776.6242734715</v>
      </c>
      <c r="E21" s="1376">
        <f t="shared" si="0"/>
        <v>58761.688317588625</v>
      </c>
      <c r="F21" s="62"/>
      <c r="G21" s="144"/>
      <c r="H21" s="145"/>
    </row>
    <row r="22" spans="1:10" s="4" customFormat="1" ht="15.75">
      <c r="A22" s="64"/>
      <c r="B22" s="4" t="s">
        <v>20</v>
      </c>
      <c r="D22" s="1376">
        <f>'Development Budget'!G181</f>
        <v>3905727.4453824316</v>
      </c>
      <c r="E22" s="1376">
        <f t="shared" si="0"/>
        <v>25695.57529856863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377">
        <f>'Development Budget'!G250-SUM(D17:D22)</f>
        <v>-8019038.8196559101</v>
      </c>
      <c r="E23" s="1377">
        <f t="shared" si="0"/>
        <v>-52756.834339841516</v>
      </c>
      <c r="F23" s="62"/>
      <c r="G23" s="144"/>
      <c r="H23" s="145"/>
    </row>
    <row r="24" spans="1:10" s="4" customFormat="1" ht="16.5" thickTop="1">
      <c r="C24" s="150" t="s">
        <v>14</v>
      </c>
      <c r="D24" s="1378">
        <f>SUM(D17:D23)</f>
        <v>80560000</v>
      </c>
      <c r="E24" s="1376">
        <f t="shared" si="0"/>
        <v>530000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375" t="s">
        <v>382</v>
      </c>
      <c r="G26" s="1360" t="s">
        <v>1050</v>
      </c>
      <c r="H26" s="1282">
        <f>SUM(D29:D30)/H34</f>
        <v>1</v>
      </c>
    </row>
    <row r="27" spans="1:10" ht="15.75">
      <c r="A27" s="4"/>
      <c r="B27" s="4" t="s">
        <v>23</v>
      </c>
      <c r="C27" s="4"/>
      <c r="D27" s="61"/>
      <c r="E27" s="1376">
        <f t="shared" ref="E27:E28" si="1">D27/$D$11</f>
        <v>0</v>
      </c>
      <c r="F27" s="62"/>
      <c r="G27" s="1266" t="s">
        <v>981</v>
      </c>
      <c r="H27" s="1267"/>
      <c r="I27" s="695"/>
    </row>
    <row r="28" spans="1:10" ht="15.75">
      <c r="A28" s="4"/>
      <c r="B28" s="4" t="s">
        <v>24</v>
      </c>
      <c r="C28" s="4"/>
      <c r="D28" s="1431">
        <f>Data!C20</f>
        <v>52364000</v>
      </c>
      <c r="E28" s="1431">
        <f t="shared" si="1"/>
        <v>344500</v>
      </c>
      <c r="F28" s="62"/>
      <c r="G28" s="1264" t="s">
        <v>608</v>
      </c>
      <c r="H28" s="1453">
        <f>H32/D11</f>
        <v>27825.000000000007</v>
      </c>
      <c r="I28" s="703"/>
    </row>
    <row r="29" spans="1:10" ht="15.75">
      <c r="A29" s="64"/>
      <c r="B29" s="4" t="s">
        <v>1051</v>
      </c>
      <c r="C29" s="4"/>
      <c r="D29" s="1432">
        <v>4229400.0000000009</v>
      </c>
      <c r="E29" s="1431">
        <f>D29/$D$11</f>
        <v>27825.000000000007</v>
      </c>
      <c r="F29" s="520"/>
      <c r="G29" s="1265" t="s">
        <v>971</v>
      </c>
      <c r="H29" s="1454">
        <f>H33/D11</f>
        <v>157675.00000000003</v>
      </c>
      <c r="I29" s="703"/>
    </row>
    <row r="30" spans="1:10" ht="16.5" thickBot="1">
      <c r="A30" s="65"/>
      <c r="B30" s="4" t="s">
        <v>26</v>
      </c>
      <c r="C30" s="4"/>
      <c r="D30" s="1432">
        <v>23966600.000000004</v>
      </c>
      <c r="E30" s="1431">
        <f>D30/$D$11</f>
        <v>157675.00000000003</v>
      </c>
      <c r="F30" s="62"/>
      <c r="G30" s="4"/>
      <c r="H30" s="1436"/>
      <c r="I30" s="695"/>
      <c r="J30" s="690"/>
    </row>
    <row r="31" spans="1:10" ht="16.5" thickBot="1">
      <c r="A31" s="60"/>
      <c r="B31" s="4" t="s">
        <v>27</v>
      </c>
      <c r="C31" s="4"/>
      <c r="D31" s="1431">
        <v>0</v>
      </c>
      <c r="E31" s="1431">
        <f>D31/$D$11</f>
        <v>0</v>
      </c>
      <c r="F31" s="62"/>
      <c r="G31" s="1283" t="s">
        <v>1000</v>
      </c>
      <c r="H31" s="1455"/>
      <c r="I31" s="1284"/>
      <c r="J31" s="690"/>
    </row>
    <row r="32" spans="1:10" ht="16.5" thickBot="1">
      <c r="A32" s="1278"/>
      <c r="B32" s="67" t="s">
        <v>997</v>
      </c>
      <c r="C32" s="67"/>
      <c r="D32" s="1433">
        <f>SUM(D28:D31)-D24</f>
        <v>0</v>
      </c>
      <c r="E32" s="1433">
        <f>D32/$D$11</f>
        <v>0</v>
      </c>
      <c r="F32" s="62"/>
      <c r="G32" s="1185" t="s">
        <v>608</v>
      </c>
      <c r="H32" s="1456">
        <f>D29+D38</f>
        <v>4229400.0000000009</v>
      </c>
      <c r="I32" s="1192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434">
        <f>SUM(D27:D31)</f>
        <v>80560000</v>
      </c>
      <c r="E33" s="1431">
        <f>D33/$D$11</f>
        <v>530000</v>
      </c>
      <c r="F33" s="62"/>
      <c r="G33" s="1286" t="s">
        <v>971</v>
      </c>
      <c r="H33" s="1456">
        <f>D30+D39</f>
        <v>23966600.000000004</v>
      </c>
      <c r="I33" s="1192">
        <f>H33/H34</f>
        <v>0.85</v>
      </c>
      <c r="J33" s="690"/>
    </row>
    <row r="34" spans="1:12" ht="17.25" thickTop="1" thickBot="1">
      <c r="A34" s="60"/>
      <c r="B34" s="4"/>
      <c r="C34" s="4"/>
      <c r="D34" s="1431"/>
      <c r="E34" s="1439"/>
      <c r="F34" s="62"/>
      <c r="G34" s="1285" t="s">
        <v>37</v>
      </c>
      <c r="H34" s="1457">
        <f>SUM(H32:H33)</f>
        <v>28196000.000000004</v>
      </c>
      <c r="I34" s="1192"/>
      <c r="J34" s="690"/>
    </row>
    <row r="35" spans="1:12" ht="18.75">
      <c r="A35" s="152" t="s">
        <v>29</v>
      </c>
      <c r="B35" s="148"/>
      <c r="C35" s="148"/>
      <c r="D35" s="1435"/>
      <c r="E35" s="1440" t="s">
        <v>382</v>
      </c>
      <c r="F35" s="68"/>
      <c r="G35" s="1185"/>
      <c r="H35" s="1448"/>
      <c r="I35" s="1187" t="s">
        <v>961</v>
      </c>
      <c r="J35" s="690"/>
    </row>
    <row r="36" spans="1:12" ht="16.5" thickBot="1">
      <c r="A36" s="60"/>
      <c r="B36" s="4" t="s">
        <v>1047</v>
      </c>
      <c r="C36" s="4"/>
      <c r="D36" s="1431">
        <f>Data!G30</f>
        <v>0</v>
      </c>
      <c r="E36" s="1431">
        <f>D36/$D$11</f>
        <v>0</v>
      </c>
      <c r="F36" s="62"/>
      <c r="G36" s="1186"/>
      <c r="H36" s="1458"/>
      <c r="I36" s="1188">
        <f>H34/D24</f>
        <v>0.35000000000000003</v>
      </c>
      <c r="J36" s="704"/>
    </row>
    <row r="37" spans="1:12" ht="16.5" thickBot="1">
      <c r="A37" s="60"/>
      <c r="B37" s="4" t="s">
        <v>995</v>
      </c>
      <c r="C37" s="4"/>
      <c r="D37" s="1431">
        <f>Data!C38</f>
        <v>60486712.59494748</v>
      </c>
      <c r="E37" s="1431">
        <f t="shared" ref="E37" si="2">D37/$D$11</f>
        <v>397938.89865097025</v>
      </c>
      <c r="F37" s="62"/>
      <c r="G37" s="335"/>
      <c r="H37" s="1459"/>
      <c r="I37" s="703"/>
      <c r="J37" s="704"/>
    </row>
    <row r="38" spans="1:12" ht="16.5" thickBot="1">
      <c r="A38" s="60"/>
      <c r="B38" s="4" t="s">
        <v>1051</v>
      </c>
      <c r="C38" s="4"/>
      <c r="D38" s="1436">
        <v>0</v>
      </c>
      <c r="E38" s="1431">
        <f>D38/$D$11</f>
        <v>0</v>
      </c>
      <c r="F38" s="62"/>
      <c r="G38" s="1279" t="s">
        <v>998</v>
      </c>
      <c r="H38" s="1460" t="s">
        <v>982</v>
      </c>
      <c r="I38" s="1287" t="s">
        <v>1002</v>
      </c>
      <c r="J38" s="690"/>
    </row>
    <row r="39" spans="1:12" ht="15.75">
      <c r="A39" s="60"/>
      <c r="B39" s="1402" t="s">
        <v>26</v>
      </c>
      <c r="C39" s="4"/>
      <c r="D39" s="1437">
        <v>0</v>
      </c>
      <c r="E39" s="1431">
        <f>D39/$D$11</f>
        <v>0</v>
      </c>
      <c r="F39" s="62"/>
      <c r="G39" s="1280" t="s">
        <v>608</v>
      </c>
      <c r="H39" s="1461">
        <f>-D32*0.15</f>
        <v>0</v>
      </c>
      <c r="I39" s="1441">
        <f>D29+H39</f>
        <v>4229400.0000000009</v>
      </c>
      <c r="J39" s="690"/>
    </row>
    <row r="40" spans="1:12" ht="16.5" thickBot="1">
      <c r="A40" s="60"/>
      <c r="B40" s="4" t="s">
        <v>27</v>
      </c>
      <c r="C40" s="4"/>
      <c r="D40" s="1437">
        <v>0</v>
      </c>
      <c r="E40" s="1431">
        <v>0</v>
      </c>
      <c r="F40" s="62"/>
      <c r="G40" s="1281" t="s">
        <v>971</v>
      </c>
      <c r="H40" s="1462">
        <f>-D32*0.85</f>
        <v>0</v>
      </c>
      <c r="I40" s="1442">
        <f>D30+H40</f>
        <v>23966600.000000004</v>
      </c>
      <c r="J40" s="690"/>
    </row>
    <row r="41" spans="1:12" ht="16.5" thickBot="1">
      <c r="A41" s="66"/>
      <c r="B41" s="67" t="s">
        <v>997</v>
      </c>
      <c r="C41" s="67"/>
      <c r="D41" s="1438">
        <f>SUM(D36:D39)-D28</f>
        <v>8122712.5949474797</v>
      </c>
      <c r="E41" s="1433">
        <f>D41/$D$11</f>
        <v>53438.898650970259</v>
      </c>
      <c r="F41" s="62"/>
      <c r="H41" s="1461"/>
      <c r="I41" s="1443"/>
      <c r="J41" s="690"/>
    </row>
    <row r="42" spans="1:12" ht="17.25" thickTop="1" thickBot="1">
      <c r="A42" s="60"/>
      <c r="B42" s="690"/>
      <c r="C42" s="150" t="s">
        <v>33</v>
      </c>
      <c r="D42" s="1434">
        <f>SUM(D36:D39)</f>
        <v>60486712.59494748</v>
      </c>
      <c r="E42" s="1431">
        <f>D42/$D$11</f>
        <v>397938.89865097025</v>
      </c>
      <c r="G42" s="1279" t="s">
        <v>999</v>
      </c>
      <c r="H42" s="1460" t="s">
        <v>982</v>
      </c>
      <c r="I42" s="1444" t="s">
        <v>1002</v>
      </c>
      <c r="J42" s="690"/>
    </row>
    <row r="43" spans="1:12" ht="15.75">
      <c r="A43" s="65"/>
      <c r="B43" s="60"/>
      <c r="C43" s="60"/>
      <c r="D43" s="61"/>
      <c r="E43" s="61"/>
      <c r="G43" s="1280" t="s">
        <v>608</v>
      </c>
      <c r="H43" s="1461">
        <f>-D41*0.15</f>
        <v>-1218406.8892421219</v>
      </c>
      <c r="I43" s="1441">
        <f>D38+H43</f>
        <v>-1218406.8892421219</v>
      </c>
      <c r="J43" s="690"/>
    </row>
    <row r="44" spans="1:12" ht="16.5" thickBot="1">
      <c r="A44" s="60"/>
      <c r="B44" s="60"/>
      <c r="C44" s="60"/>
      <c r="D44" s="159"/>
      <c r="E44" s="159"/>
      <c r="G44" s="1281" t="s">
        <v>971</v>
      </c>
      <c r="H44" s="1461">
        <f>-D41*0.85</f>
        <v>-6904305.7057053577</v>
      </c>
      <c r="I44" s="1441">
        <f>D39+H44</f>
        <v>-6904305.7057053577</v>
      </c>
      <c r="J44" s="690"/>
    </row>
    <row r="45" spans="1:12" ht="15.75">
      <c r="A45" s="60"/>
      <c r="D45" s="159"/>
      <c r="E45" s="159"/>
      <c r="G45" s="4"/>
      <c r="H45" s="1549" t="s">
        <v>1095</v>
      </c>
      <c r="I45" s="1553"/>
      <c r="J45" s="1551"/>
      <c r="K45" s="1550"/>
      <c r="L45" s="1539"/>
    </row>
    <row r="46" spans="1:12" ht="15.75">
      <c r="A46" s="60"/>
      <c r="D46" s="1289"/>
      <c r="E46" s="1289"/>
      <c r="G46" s="690"/>
      <c r="H46" s="1417" t="s">
        <v>1061</v>
      </c>
      <c r="I46" s="1445">
        <f>'Cash Flow'!C66</f>
        <v>24102952.647632722</v>
      </c>
      <c r="J46" s="1427" t="s">
        <v>1083</v>
      </c>
      <c r="K46" s="1428">
        <f>'Cash Flow'!C76</f>
        <v>9.1324788995884337E-2</v>
      </c>
      <c r="L46" s="1540"/>
    </row>
    <row r="47" spans="1:12" ht="16.5" thickBot="1">
      <c r="A47" s="696"/>
      <c r="C47" s="1288"/>
      <c r="D47" s="690"/>
      <c r="E47" s="690"/>
      <c r="G47" s="690"/>
      <c r="H47" s="1418" t="s">
        <v>1062</v>
      </c>
      <c r="I47" s="1446">
        <f>'Cash Flow'!C80</f>
        <v>9781461.5358274002</v>
      </c>
      <c r="J47" s="1429" t="s">
        <v>1098</v>
      </c>
      <c r="K47" s="1452">
        <f>'Cash Flow'!C70</f>
        <v>39287812.815641336</v>
      </c>
      <c r="L47" s="1540"/>
    </row>
    <row r="48" spans="1:12" ht="15.75" thickTop="1">
      <c r="A48" s="6"/>
      <c r="B48" s="696"/>
      <c r="C48" s="696"/>
      <c r="D48" s="690"/>
      <c r="E48" s="690"/>
      <c r="H48" s="1415" t="s">
        <v>1059</v>
      </c>
      <c r="I48" s="1447">
        <f>I46-H33</f>
        <v>136352.64763271809</v>
      </c>
      <c r="J48" s="1541"/>
      <c r="K48" s="1542"/>
      <c r="L48" s="1540"/>
    </row>
    <row r="49" spans="1:12" ht="15.75">
      <c r="A49" s="696"/>
      <c r="B49" s="696"/>
      <c r="C49" s="696"/>
      <c r="D49" s="690"/>
      <c r="E49" s="690"/>
      <c r="F49" s="68"/>
      <c r="H49" s="1543"/>
      <c r="I49" s="1448"/>
      <c r="J49" s="707"/>
      <c r="K49" s="1542"/>
      <c r="L49" s="1540"/>
    </row>
    <row r="50" spans="1:12">
      <c r="A50" s="696"/>
      <c r="B50" s="696"/>
      <c r="C50" s="696"/>
      <c r="D50" s="690"/>
      <c r="E50" s="690"/>
      <c r="F50" s="692"/>
      <c r="H50" s="1543"/>
      <c r="I50" s="1542"/>
      <c r="J50" s="707"/>
      <c r="K50" s="1542"/>
      <c r="L50" s="1540"/>
    </row>
    <row r="51" spans="1:12">
      <c r="A51" s="6"/>
      <c r="B51" s="696"/>
      <c r="C51" s="696"/>
      <c r="D51" s="690"/>
      <c r="E51" s="690"/>
      <c r="F51" s="692"/>
      <c r="H51" s="1419" t="s">
        <v>1070</v>
      </c>
      <c r="I51" s="1449">
        <f>'Cash Flow'!H66</f>
        <v>4253462.2319351872</v>
      </c>
      <c r="J51" s="1430" t="s">
        <v>1083</v>
      </c>
      <c r="K51" s="1463">
        <f>'Cash Flow'!H76</f>
        <v>9.1324788995884365E-2</v>
      </c>
      <c r="L51" s="1540"/>
    </row>
    <row r="52" spans="1:12" ht="15.75" thickBot="1">
      <c r="A52" s="696"/>
      <c r="B52" s="696"/>
      <c r="C52" s="696"/>
      <c r="D52" s="690"/>
      <c r="E52" s="690"/>
      <c r="F52" s="708"/>
      <c r="H52" s="1421" t="s">
        <v>1071</v>
      </c>
      <c r="I52" s="1450">
        <f>H32</f>
        <v>4229400.0000000009</v>
      </c>
      <c r="J52" s="1429" t="s">
        <v>1097</v>
      </c>
      <c r="K52" s="1452">
        <f>'Cash Flow'!H70</f>
        <v>6933143.4380543549</v>
      </c>
      <c r="L52" s="1540"/>
    </row>
    <row r="53" spans="1:12" ht="15.75" thickTop="1">
      <c r="A53" s="696"/>
      <c r="B53" s="696"/>
      <c r="C53" s="696"/>
      <c r="D53" s="690"/>
      <c r="E53" s="690"/>
      <c r="F53" s="708"/>
      <c r="H53" s="1420" t="s">
        <v>1059</v>
      </c>
      <c r="I53" s="1451">
        <f>I51-I52</f>
        <v>24062.231935186312</v>
      </c>
      <c r="J53" s="690"/>
      <c r="L53" s="1540"/>
    </row>
    <row r="54" spans="1:12">
      <c r="A54" s="696"/>
      <c r="B54" s="696"/>
      <c r="C54" s="696"/>
      <c r="D54" s="690"/>
      <c r="E54" s="690"/>
      <c r="F54" s="692"/>
      <c r="H54" s="1543"/>
      <c r="I54" s="1542"/>
      <c r="J54" s="690"/>
      <c r="L54" s="1540"/>
    </row>
    <row r="55" spans="1:12">
      <c r="A55" s="696"/>
      <c r="B55" s="690"/>
      <c r="C55" s="690"/>
      <c r="D55" s="690"/>
      <c r="E55" s="690"/>
      <c r="F55" s="690"/>
      <c r="H55" s="1554" t="s">
        <v>1075</v>
      </c>
      <c r="I55" s="1555">
        <f>I48+I53</f>
        <v>160414.8795679044</v>
      </c>
      <c r="J55" s="1556"/>
      <c r="K55" s="1547"/>
      <c r="L55" s="1548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549" t="s">
        <v>1096</v>
      </c>
      <c r="I57" s="1550"/>
      <c r="J57" s="1551"/>
      <c r="K57" s="1550"/>
      <c r="L57" s="1552"/>
    </row>
    <row r="58" spans="1:12" ht="15.75">
      <c r="A58" s="696"/>
      <c r="B58" s="696"/>
      <c r="C58" s="696"/>
      <c r="D58" s="690"/>
      <c r="E58" s="690"/>
      <c r="F58" s="692"/>
      <c r="H58" s="1417" t="s">
        <v>1061</v>
      </c>
      <c r="I58" s="1445">
        <f>'Cash Flow'!C93</f>
        <v>33523548.809998233</v>
      </c>
      <c r="J58" s="1427" t="s">
        <v>1083</v>
      </c>
      <c r="K58" s="1428">
        <f>'Cash Flow'!C103</f>
        <v>0.12799806631018629</v>
      </c>
      <c r="L58" s="1540"/>
    </row>
    <row r="59" spans="1:12" ht="16.5" thickBot="1">
      <c r="A59" s="696"/>
      <c r="B59" s="696"/>
      <c r="C59" s="696"/>
      <c r="D59" s="690"/>
      <c r="E59" s="690"/>
      <c r="F59" s="692"/>
      <c r="H59" s="1418" t="s">
        <v>1062</v>
      </c>
      <c r="I59" s="1446">
        <f>'Cash Flow'!C92</f>
        <v>0</v>
      </c>
      <c r="J59" s="1429" t="s">
        <v>1097</v>
      </c>
      <c r="K59" s="1452">
        <f>'Cash Flow'!C97</f>
        <v>54643384.560297117</v>
      </c>
      <c r="L59" s="1540"/>
    </row>
    <row r="60" spans="1:12" ht="15.75" thickTop="1">
      <c r="A60" s="696"/>
      <c r="B60" s="696"/>
      <c r="C60" s="696"/>
      <c r="D60" s="690"/>
      <c r="E60" s="690"/>
      <c r="F60" s="692"/>
      <c r="G60" s="703"/>
      <c r="H60" s="1415" t="s">
        <v>1059</v>
      </c>
      <c r="I60" s="1447">
        <f>I58-H33</f>
        <v>9556948.8099982291</v>
      </c>
      <c r="J60" s="1541"/>
      <c r="K60" s="1542"/>
      <c r="L60" s="1540"/>
    </row>
    <row r="61" spans="1:12">
      <c r="A61" s="696"/>
      <c r="B61" s="696"/>
      <c r="C61" s="696"/>
      <c r="D61" s="690"/>
      <c r="E61" s="690"/>
      <c r="F61" s="709"/>
      <c r="G61" s="703"/>
      <c r="H61" s="1543"/>
      <c r="I61" s="1448"/>
      <c r="J61" s="707"/>
      <c r="K61" s="1542"/>
      <c r="L61" s="1540"/>
    </row>
    <row r="62" spans="1:12">
      <c r="A62" s="696"/>
      <c r="B62" s="696"/>
      <c r="C62" s="696"/>
      <c r="D62" s="690"/>
      <c r="E62" s="690"/>
      <c r="F62" s="692"/>
      <c r="G62" s="703"/>
      <c r="H62" s="1543"/>
      <c r="I62" s="1542"/>
      <c r="J62" s="707"/>
      <c r="K62" s="1542"/>
      <c r="L62" s="1540"/>
    </row>
    <row r="63" spans="1:12">
      <c r="A63" s="696"/>
      <c r="B63" s="696"/>
      <c r="C63" s="696"/>
      <c r="D63" s="690"/>
      <c r="E63" s="690"/>
      <c r="F63" s="692"/>
      <c r="G63" s="703"/>
      <c r="H63" s="1419" t="s">
        <v>1070</v>
      </c>
      <c r="I63" s="1449">
        <f>'Cash Flow'!H93</f>
        <v>4718637.7626436148</v>
      </c>
      <c r="J63" s="1430" t="s">
        <v>1083</v>
      </c>
      <c r="K63" s="1463">
        <f>'Cash Flow'!H103</f>
        <v>8.1855098905496998E-2</v>
      </c>
      <c r="L63" s="1540"/>
    </row>
    <row r="64" spans="1:12" ht="15.75" thickBot="1">
      <c r="A64" s="696"/>
      <c r="B64" s="696"/>
      <c r="C64" s="696"/>
      <c r="D64" s="690"/>
      <c r="E64" s="690"/>
      <c r="F64" s="692"/>
      <c r="G64" s="703"/>
      <c r="H64" s="1421" t="s">
        <v>1071</v>
      </c>
      <c r="I64" s="1450">
        <f>H32</f>
        <v>4229400.0000000009</v>
      </c>
      <c r="J64" s="1429" t="s">
        <v>1097</v>
      </c>
      <c r="K64" s="1452">
        <f>'Cash Flow'!H97</f>
        <v>7691379.5531090917</v>
      </c>
      <c r="L64" s="1540"/>
    </row>
    <row r="65" spans="1:14" ht="15.75" thickTop="1">
      <c r="A65" s="696"/>
      <c r="B65" s="696"/>
      <c r="C65" s="696"/>
      <c r="D65" s="690"/>
      <c r="E65" s="690"/>
      <c r="F65" s="692"/>
      <c r="G65" s="703"/>
      <c r="H65" s="1420" t="s">
        <v>1059</v>
      </c>
      <c r="I65" s="1451">
        <f>I63-I64</f>
        <v>489237.76264361385</v>
      </c>
      <c r="J65" s="690"/>
      <c r="L65" s="1540"/>
    </row>
    <row r="66" spans="1:14">
      <c r="A66" s="696"/>
      <c r="B66" s="696"/>
      <c r="C66" s="696"/>
      <c r="D66" s="690"/>
      <c r="E66" s="690"/>
      <c r="F66" s="692"/>
      <c r="G66" s="703"/>
      <c r="H66" s="1543"/>
      <c r="I66" s="1542"/>
      <c r="J66" s="690"/>
      <c r="L66" s="1540"/>
    </row>
    <row r="67" spans="1:14">
      <c r="A67" s="6"/>
      <c r="B67" s="696"/>
      <c r="C67" s="696"/>
      <c r="D67" s="690"/>
      <c r="E67" s="690"/>
      <c r="F67" s="692"/>
      <c r="G67" s="703"/>
      <c r="H67" s="1544" t="s">
        <v>1075</v>
      </c>
      <c r="I67" s="1545">
        <f>I60+I65</f>
        <v>10046186.572641842</v>
      </c>
      <c r="J67" s="690"/>
      <c r="L67" s="1540"/>
    </row>
    <row r="68" spans="1:14">
      <c r="A68" s="696"/>
      <c r="B68" s="696"/>
      <c r="C68" s="696"/>
      <c r="D68" s="690"/>
      <c r="E68" s="690"/>
      <c r="F68" s="709"/>
      <c r="G68" s="703"/>
      <c r="H68" s="1546"/>
      <c r="I68" s="1547"/>
      <c r="J68" s="1547"/>
      <c r="K68" s="1547"/>
      <c r="L68" s="1548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37" zoomScale="130" zoomScaleNormal="130" workbookViewId="0">
      <selection activeCell="O114" sqref="O114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0.19736842105263158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42</v>
      </c>
      <c r="N8" s="201">
        <f>E37</f>
        <v>30</v>
      </c>
      <c r="O8" s="521">
        <f t="shared" si="0"/>
        <v>0.19736842105263158</v>
      </c>
      <c r="Q8" s="283">
        <f>SUM(O10:O15)</f>
        <v>0.78947368421052633</v>
      </c>
      <c r="R8" s="201" t="s">
        <v>50</v>
      </c>
    </row>
    <row r="9" spans="2:19" ht="12.75" customHeight="1">
      <c r="B9" s="268"/>
      <c r="C9" s="209" t="s">
        <v>51</v>
      </c>
      <c r="D9" s="210">
        <f>SUM(E32,E41,E50,E59,E77,E68,E86,E95,E115,E105+E23)</f>
        <v>33</v>
      </c>
      <c r="E9" s="278">
        <f>IF(D9="","",D9/D$15)</f>
        <v>0.21710526315789475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0</v>
      </c>
      <c r="O9" s="332">
        <f t="shared" si="0"/>
        <v>0</v>
      </c>
    </row>
    <row r="10" spans="2:19" ht="12.75" customHeight="1">
      <c r="B10" s="268"/>
      <c r="C10" s="209" t="s">
        <v>52</v>
      </c>
      <c r="D10" s="210">
        <f>SUM(E24,E33,E42,E51,E60,E78,E69,E87,E96,E116,E106)</f>
        <v>26</v>
      </c>
      <c r="E10" s="278">
        <f>IF(D10="","",D10/D$15)</f>
        <v>0.17105263157894737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53</v>
      </c>
      <c r="O10" s="332">
        <f t="shared" si="0"/>
        <v>0</v>
      </c>
    </row>
    <row r="11" spans="2:19" ht="12.75" customHeight="1">
      <c r="B11" s="268"/>
      <c r="C11" s="209" t="s">
        <v>54</v>
      </c>
      <c r="D11" s="210">
        <f>SUM(E25,E34,E43,E52,E61,E79,E70,E88,E97,E117,E107)</f>
        <v>93</v>
      </c>
      <c r="E11" s="278">
        <f>IF(D11="","",D11/D$15)</f>
        <v>0.61184210526315785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55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56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57</v>
      </c>
      <c r="N13" s="201">
        <f>E55</f>
        <v>120</v>
      </c>
      <c r="O13" s="332">
        <f>N13/$N$18</f>
        <v>0.78947368421052633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58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59</v>
      </c>
      <c r="D15" s="281">
        <f>SUM(D9:D13)</f>
        <v>152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60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150</v>
      </c>
      <c r="O16" s="283">
        <f>SUM(O7:O15)</f>
        <v>0.98684210526315796</v>
      </c>
    </row>
    <row r="17" spans="2:21" ht="12.75" customHeight="1">
      <c r="B17" s="268"/>
      <c r="C17" s="201" t="s">
        <v>61</v>
      </c>
      <c r="E17" s="284">
        <f>SUM(J28+J37,J46,J55,J64,J82,J91,J73,J100,J120,J110)</f>
        <v>123620</v>
      </c>
      <c r="F17" s="284"/>
      <c r="G17" s="222"/>
      <c r="H17" s="228"/>
      <c r="K17" s="233"/>
      <c r="M17" s="285" t="s">
        <v>62</v>
      </c>
      <c r="N17" s="284">
        <f>E120</f>
        <v>2</v>
      </c>
      <c r="O17" s="332">
        <f t="shared" si="0"/>
        <v>1.3157894736842105E-2</v>
      </c>
      <c r="U17" s="332"/>
    </row>
    <row r="18" spans="2:21" ht="12.75" customHeight="1">
      <c r="B18" s="268"/>
      <c r="C18" s="201" t="s">
        <v>63</v>
      </c>
      <c r="E18" s="285">
        <f>SUM(K28+K37,K46,K64,K55,K82,K91,K73,K100,K120,K110)</f>
        <v>520235</v>
      </c>
      <c r="F18" s="285"/>
      <c r="H18" s="286"/>
      <c r="I18" s="287"/>
      <c r="K18" s="226"/>
      <c r="M18" s="328" t="s">
        <v>10</v>
      </c>
      <c r="N18" s="1268">
        <f>N17+N16</f>
        <v>152</v>
      </c>
      <c r="O18" s="1269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0.19736842105263158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64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65</v>
      </c>
      <c r="D21" s="236" t="s">
        <v>66</v>
      </c>
      <c r="E21" s="237" t="s">
        <v>67</v>
      </c>
      <c r="F21" s="237"/>
      <c r="G21" s="237" t="s">
        <v>68</v>
      </c>
      <c r="H21" s="237" t="s">
        <v>69</v>
      </c>
      <c r="I21" s="238" t="s">
        <v>70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71</v>
      </c>
      <c r="D22" s="812" t="s">
        <v>72</v>
      </c>
      <c r="E22" s="813" t="s">
        <v>73</v>
      </c>
      <c r="F22" s="814"/>
      <c r="G22" s="814" t="s">
        <v>74</v>
      </c>
      <c r="H22" s="814" t="s">
        <v>49</v>
      </c>
      <c r="I22" s="815" t="s">
        <v>74</v>
      </c>
      <c r="J22" s="816" t="s">
        <v>75</v>
      </c>
      <c r="K22" s="801" t="s">
        <v>76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51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59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64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65</v>
      </c>
      <c r="D30" s="236" t="s">
        <v>66</v>
      </c>
      <c r="E30" s="237" t="s">
        <v>67</v>
      </c>
      <c r="F30" s="237"/>
      <c r="G30" s="237" t="s">
        <v>68</v>
      </c>
      <c r="H30" s="237" t="s">
        <v>69</v>
      </c>
      <c r="I30" s="238" t="s">
        <v>70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71</v>
      </c>
      <c r="D31" s="812" t="s">
        <v>72</v>
      </c>
      <c r="E31" s="813" t="s">
        <v>73</v>
      </c>
      <c r="F31" s="814"/>
      <c r="G31" s="814" t="s">
        <v>74</v>
      </c>
      <c r="H31" s="814" t="s">
        <v>49</v>
      </c>
      <c r="I31" s="815" t="s">
        <v>74</v>
      </c>
      <c r="J31" s="816" t="s">
        <v>75</v>
      </c>
      <c r="K31" s="801" t="s">
        <v>76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15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6000</v>
      </c>
      <c r="K32" s="292">
        <f>E32*I32</f>
        <v>18195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8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5360</v>
      </c>
      <c r="K33" s="292">
        <f>E33*I33</f>
        <v>10400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7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7000</v>
      </c>
      <c r="K34" s="292">
        <f>E34*I34</f>
        <v>10920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59</v>
      </c>
      <c r="D37" s="241"/>
      <c r="E37" s="242">
        <f>SUM(E32:E36)</f>
        <v>30</v>
      </c>
      <c r="F37" s="241"/>
      <c r="G37" s="241"/>
      <c r="H37" s="243"/>
      <c r="I37" s="241"/>
      <c r="J37" s="293">
        <f>SUM(J32:J36)</f>
        <v>18360</v>
      </c>
      <c r="K37" s="294">
        <f>SUM(K32:K36)</f>
        <v>39515</v>
      </c>
      <c r="U37" s="332"/>
    </row>
    <row r="38" spans="2:21" ht="12.75" customHeight="1">
      <c r="B38" s="289"/>
      <c r="C38" s="314">
        <v>0.8</v>
      </c>
      <c r="D38" s="316" t="s">
        <v>64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65</v>
      </c>
      <c r="D39" s="244" t="s">
        <v>66</v>
      </c>
      <c r="E39" s="237" t="s">
        <v>67</v>
      </c>
      <c r="F39" s="237"/>
      <c r="G39" s="237" t="s">
        <v>68</v>
      </c>
      <c r="H39" s="240" t="s">
        <v>69</v>
      </c>
      <c r="I39" s="238" t="s">
        <v>70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72</v>
      </c>
      <c r="E40" s="814" t="s">
        <v>73</v>
      </c>
      <c r="F40" s="814"/>
      <c r="G40" s="814" t="s">
        <v>74</v>
      </c>
      <c r="H40" s="817" t="s">
        <v>49</v>
      </c>
      <c r="I40" s="815" t="s">
        <v>74</v>
      </c>
      <c r="J40" s="816" t="s">
        <v>75</v>
      </c>
      <c r="K40" s="801" t="s">
        <v>76</v>
      </c>
      <c r="O40" s="427"/>
    </row>
    <row r="41" spans="2:21" ht="12.75" customHeight="1" outlineLevel="1">
      <c r="B41" s="290"/>
      <c r="C41" s="209" t="s">
        <v>51</v>
      </c>
      <c r="D41" s="239">
        <f>$G9</f>
        <v>400</v>
      </c>
      <c r="E41" s="223">
        <v>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0</v>
      </c>
      <c r="K41" s="292">
        <f>E41*I41</f>
        <v>0</v>
      </c>
      <c r="L41" s="1481"/>
      <c r="M41" s="1481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0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0</v>
      </c>
      <c r="K42" s="292">
        <f>E42*I42</f>
        <v>0</v>
      </c>
      <c r="L42" s="1481"/>
      <c r="M42" s="1481"/>
      <c r="O42" s="1476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0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0</v>
      </c>
      <c r="K43" s="292">
        <f>E43*I43</f>
        <v>0</v>
      </c>
      <c r="L43" s="1481"/>
      <c r="M43" s="1481"/>
      <c r="O43" s="1477"/>
      <c r="P43" s="1478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481"/>
      <c r="O44" s="1480"/>
      <c r="P44" s="1478"/>
      <c r="Q44" s="1479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477"/>
      <c r="P45" s="1478"/>
      <c r="Q45" s="1479"/>
    </row>
    <row r="46" spans="2:21" ht="12.75" customHeight="1">
      <c r="B46" s="295"/>
      <c r="C46" s="312" t="s">
        <v>59</v>
      </c>
      <c r="D46" s="245"/>
      <c r="E46" s="309">
        <f>SUM(E41:E45)</f>
        <v>0</v>
      </c>
      <c r="F46" s="203"/>
      <c r="G46" s="203"/>
      <c r="H46" s="246"/>
      <c r="I46" s="247"/>
      <c r="J46" s="296">
        <f>SUM(J41:J45)</f>
        <v>0</v>
      </c>
      <c r="K46" s="297">
        <f>SUM(K41:K45)</f>
        <v>0</v>
      </c>
      <c r="O46" s="1477"/>
      <c r="P46" s="1478"/>
      <c r="Q46" s="1479"/>
    </row>
    <row r="47" spans="2:21" ht="12.75" customHeight="1">
      <c r="B47" s="289"/>
      <c r="C47" s="314">
        <v>1.2</v>
      </c>
      <c r="D47" s="316" t="s">
        <v>64</v>
      </c>
      <c r="E47" s="317"/>
      <c r="F47" s="301"/>
      <c r="G47" s="315"/>
      <c r="H47" s="264"/>
      <c r="I47" s="301"/>
      <c r="J47" s="302"/>
      <c r="K47" s="303"/>
      <c r="O47" s="1477"/>
      <c r="P47" s="1478"/>
      <c r="Q47" s="1479"/>
    </row>
    <row r="48" spans="2:21" ht="12.75" customHeight="1" outlineLevel="1">
      <c r="B48" s="290"/>
      <c r="C48" s="298" t="s">
        <v>65</v>
      </c>
      <c r="D48" s="248" t="s">
        <v>66</v>
      </c>
      <c r="E48" s="249" t="s">
        <v>67</v>
      </c>
      <c r="F48" s="237"/>
      <c r="G48" s="237" t="s">
        <v>68</v>
      </c>
      <c r="H48" s="240" t="s">
        <v>69</v>
      </c>
      <c r="I48" s="238" t="s">
        <v>70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71</v>
      </c>
      <c r="D49" s="820" t="s">
        <v>72</v>
      </c>
      <c r="E49" s="821" t="s">
        <v>73</v>
      </c>
      <c r="F49" s="814"/>
      <c r="G49" s="814" t="s">
        <v>74</v>
      </c>
      <c r="H49" s="817" t="s">
        <v>49</v>
      </c>
      <c r="I49" s="815" t="s">
        <v>74</v>
      </c>
      <c r="J49" s="816" t="s">
        <v>75</v>
      </c>
      <c r="K49" s="801" t="s">
        <v>76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18</v>
      </c>
      <c r="F50" s="223"/>
      <c r="G50" s="308">
        <f>H9*$C$47</f>
        <v>2911.2</v>
      </c>
      <c r="H50" s="308">
        <f>$K$9</f>
        <v>0</v>
      </c>
      <c r="I50" s="1750">
        <v>2400</v>
      </c>
      <c r="J50" s="284">
        <f>D50*E50</f>
        <v>7200</v>
      </c>
      <c r="K50" s="292">
        <f>E50*I50</f>
        <v>43200</v>
      </c>
      <c r="L50" s="1536"/>
      <c r="M50" s="1481"/>
      <c r="N50" s="1481"/>
      <c r="O50" s="1537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18</v>
      </c>
      <c r="F51" s="223"/>
      <c r="G51" s="308">
        <f>H10*$C$47</f>
        <v>3120</v>
      </c>
      <c r="H51" s="308">
        <f>$K$10</f>
        <v>0</v>
      </c>
      <c r="I51" s="1750">
        <f>ROUND(G51-H51,0)</f>
        <v>3120</v>
      </c>
      <c r="J51" s="284">
        <f>D51*E51</f>
        <v>12060</v>
      </c>
      <c r="K51" s="292">
        <f>E51*I51</f>
        <v>56160</v>
      </c>
      <c r="L51" s="1536"/>
      <c r="M51" s="1481"/>
      <c r="N51" s="1481"/>
      <c r="O51" s="1537"/>
      <c r="Q51" s="1538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84</v>
      </c>
      <c r="F52" s="223"/>
      <c r="G52" s="308">
        <f>H11*$C$47</f>
        <v>3744</v>
      </c>
      <c r="H52" s="228">
        <f>$K$11</f>
        <v>0</v>
      </c>
      <c r="I52" s="1750">
        <v>4540</v>
      </c>
      <c r="J52" s="284">
        <f>D52*E52</f>
        <v>84000</v>
      </c>
      <c r="K52" s="292">
        <f>E52*I52</f>
        <v>381360</v>
      </c>
      <c r="L52" s="1536"/>
      <c r="M52" s="1481"/>
      <c r="N52" s="1481"/>
      <c r="O52" s="1537"/>
      <c r="Q52" s="1538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50">
        <f>ROUND(G53-H53,0)</f>
        <v>4327</v>
      </c>
      <c r="J53" s="284">
        <f>D53*E53</f>
        <v>0</v>
      </c>
      <c r="K53" s="292">
        <f>E53*I53</f>
        <v>0</v>
      </c>
      <c r="L53" s="1536"/>
      <c r="O53" s="1537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414"/>
    </row>
    <row r="55" spans="2:22" ht="12.75" customHeight="1" outlineLevel="1">
      <c r="B55" s="269"/>
      <c r="C55" s="252" t="s">
        <v>59</v>
      </c>
      <c r="D55" s="247"/>
      <c r="E55" s="253">
        <f>SUM(E50:E54)</f>
        <v>120</v>
      </c>
      <c r="F55" s="247"/>
      <c r="G55" s="247"/>
      <c r="H55" s="246"/>
      <c r="I55" s="247"/>
      <c r="J55" s="296">
        <f>SUM(J50:J54)</f>
        <v>103260</v>
      </c>
      <c r="K55" s="297">
        <f>SUM(K50:K54)</f>
        <v>480720</v>
      </c>
      <c r="N55" s="59"/>
      <c r="O55" s="1538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65</v>
      </c>
      <c r="D103" s="244" t="s">
        <v>66</v>
      </c>
      <c r="E103" s="237" t="s">
        <v>67</v>
      </c>
      <c r="F103" s="237"/>
      <c r="G103" s="237" t="s">
        <v>68</v>
      </c>
      <c r="H103" s="240" t="s">
        <v>69</v>
      </c>
      <c r="I103" s="238" t="s">
        <v>70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71</v>
      </c>
      <c r="D104" s="812" t="s">
        <v>72</v>
      </c>
      <c r="E104" s="813" t="s">
        <v>73</v>
      </c>
      <c r="F104" s="814"/>
      <c r="G104" s="814" t="s">
        <v>74</v>
      </c>
      <c r="H104" s="817" t="s">
        <v>49</v>
      </c>
      <c r="I104" s="815" t="s">
        <v>74</v>
      </c>
      <c r="J104" s="816" t="s">
        <v>75</v>
      </c>
      <c r="K104" s="801" t="s">
        <v>76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79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79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59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79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65</v>
      </c>
      <c r="D113" s="244" t="s">
        <v>66</v>
      </c>
      <c r="E113" s="237" t="s">
        <v>67</v>
      </c>
      <c r="F113" s="237"/>
      <c r="G113" s="237" t="s">
        <v>68</v>
      </c>
      <c r="H113" s="240" t="s">
        <v>69</v>
      </c>
      <c r="I113" s="238" t="s">
        <v>70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71</v>
      </c>
      <c r="D114" s="812" t="s">
        <v>72</v>
      </c>
      <c r="E114" s="813" t="s">
        <v>73</v>
      </c>
      <c r="F114" s="814"/>
      <c r="G114" s="814" t="s">
        <v>74</v>
      </c>
      <c r="H114" s="817" t="s">
        <v>49</v>
      </c>
      <c r="I114" s="815" t="s">
        <v>74</v>
      </c>
      <c r="J114" s="816" t="s">
        <v>75</v>
      </c>
      <c r="K114" s="801" t="s">
        <v>76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59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152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464"/>
      <c r="L127" s="203"/>
    </row>
    <row r="128" spans="2:12" outlineLevel="1">
      <c r="C128" s="1465"/>
      <c r="D128" s="309"/>
      <c r="E128" s="245"/>
      <c r="F128" s="203"/>
      <c r="G128" s="1466"/>
      <c r="H128" s="1467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468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469"/>
      <c r="D134" s="203"/>
      <c r="E134" s="1466"/>
      <c r="F134" s="203"/>
      <c r="G134" s="203"/>
      <c r="H134" s="1467"/>
      <c r="I134" s="203"/>
      <c r="J134" s="284"/>
      <c r="K134" s="285"/>
      <c r="L134" s="203"/>
    </row>
    <row r="135" spans="3:12" outlineLevel="1">
      <c r="C135" s="1465"/>
      <c r="D135" s="309"/>
      <c r="E135" s="245"/>
      <c r="F135" s="203"/>
      <c r="G135" s="1466"/>
      <c r="H135" s="1467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468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469"/>
      <c r="D141" s="203"/>
      <c r="E141" s="1466"/>
      <c r="F141" s="203"/>
      <c r="G141" s="203"/>
      <c r="H141" s="1467"/>
      <c r="I141" s="203"/>
      <c r="J141" s="284"/>
      <c r="K141" s="285"/>
    </row>
    <row r="142" spans="3:12" outlineLevel="1">
      <c r="C142" s="1465"/>
      <c r="D142" s="309"/>
      <c r="E142" s="245"/>
      <c r="F142" s="203"/>
      <c r="G142" s="1466"/>
      <c r="H142" s="1467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468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469"/>
      <c r="D148" s="203"/>
      <c r="E148" s="1466"/>
      <c r="F148" s="203"/>
      <c r="G148" s="203"/>
      <c r="H148" s="1467"/>
      <c r="I148" s="203"/>
      <c r="J148" s="284"/>
      <c r="K148" s="285"/>
    </row>
    <row r="149" spans="3:13" outlineLevel="1">
      <c r="C149" s="1465"/>
      <c r="D149" s="309"/>
      <c r="E149" s="245"/>
      <c r="F149" s="203"/>
      <c r="G149" s="1466"/>
      <c r="H149" s="1467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468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469"/>
      <c r="D155" s="203"/>
      <c r="E155" s="1466"/>
      <c r="F155" s="203"/>
      <c r="G155" s="203"/>
      <c r="H155" s="1467"/>
      <c r="I155" s="203"/>
      <c r="J155" s="284"/>
      <c r="K155" s="285"/>
    </row>
    <row r="156" spans="3:13" outlineLevel="1">
      <c r="C156" s="1465"/>
      <c r="D156" s="309"/>
      <c r="E156" s="245"/>
      <c r="F156" s="203"/>
      <c r="G156" s="1466"/>
      <c r="H156" s="1467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468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469"/>
      <c r="D162" s="203"/>
      <c r="E162" s="1466"/>
      <c r="F162" s="203"/>
      <c r="G162" s="203"/>
      <c r="H162" s="1467"/>
      <c r="I162" s="203"/>
      <c r="J162" s="284"/>
      <c r="K162" s="285"/>
    </row>
    <row r="163" spans="3:17" outlineLevel="1">
      <c r="C163" s="1465"/>
      <c r="D163" s="309"/>
      <c r="E163" s="245"/>
      <c r="F163" s="203"/>
      <c r="G163" s="1466"/>
      <c r="H163" s="1467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468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469"/>
      <c r="D169" s="203"/>
      <c r="E169" s="1466"/>
      <c r="F169" s="203"/>
      <c r="G169" s="203"/>
      <c r="H169" s="1467"/>
      <c r="I169" s="203"/>
      <c r="J169" s="284"/>
      <c r="K169" s="285"/>
    </row>
    <row r="170" spans="3:17" outlineLevel="1">
      <c r="C170" s="1465"/>
      <c r="D170" s="309"/>
      <c r="E170" s="245"/>
      <c r="F170" s="203"/>
      <c r="G170" s="1466"/>
      <c r="H170" s="1467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468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469"/>
      <c r="D176" s="203"/>
      <c r="E176" s="1466"/>
      <c r="F176" s="203"/>
      <c r="G176" s="203"/>
      <c r="H176" s="1467"/>
      <c r="I176" s="203"/>
      <c r="J176" s="284"/>
      <c r="K176" s="285"/>
      <c r="O176" s="298"/>
      <c r="Q176" s="298"/>
    </row>
    <row r="177" spans="3:15" outlineLevel="1">
      <c r="C177" s="1465"/>
      <c r="D177" s="309"/>
      <c r="E177" s="245"/>
      <c r="F177" s="203"/>
      <c r="G177" s="1466"/>
      <c r="H177" s="1467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468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469"/>
      <c r="D183" s="203"/>
      <c r="E183" s="1466"/>
      <c r="F183" s="203"/>
      <c r="G183" s="203"/>
      <c r="H183" s="1467"/>
      <c r="I183" s="203"/>
      <c r="J183" s="284"/>
      <c r="K183" s="285"/>
      <c r="O183" s="1470"/>
    </row>
    <row r="184" spans="3:15" outlineLevel="1">
      <c r="C184" s="1465"/>
      <c r="D184" s="309"/>
      <c r="E184" s="245"/>
      <c r="F184" s="203"/>
      <c r="G184" s="1466"/>
      <c r="H184" s="1467"/>
      <c r="I184" s="203"/>
      <c r="J184" s="284"/>
      <c r="K184" s="285"/>
      <c r="O184" s="1470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470"/>
    </row>
    <row r="186" spans="3:15" outlineLevel="1">
      <c r="D186" s="244"/>
      <c r="E186" s="1468"/>
      <c r="F186" s="238"/>
      <c r="G186" s="238"/>
      <c r="H186" s="238"/>
      <c r="I186" s="237"/>
      <c r="J186" s="222"/>
      <c r="K186" s="222"/>
      <c r="O186" s="1470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470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470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470"/>
    </row>
    <row r="190" spans="3:15" outlineLevel="1">
      <c r="C190" s="1469"/>
      <c r="D190" s="203"/>
      <c r="E190" s="1466"/>
      <c r="F190" s="203"/>
      <c r="G190" s="203"/>
      <c r="H190" s="1467"/>
      <c r="I190" s="203"/>
      <c r="J190" s="284"/>
      <c r="K190" s="285"/>
      <c r="O190" s="1470"/>
    </row>
    <row r="191" spans="3:15" outlineLevel="1">
      <c r="C191" s="1465"/>
      <c r="D191" s="309"/>
      <c r="E191" s="245"/>
      <c r="F191" s="203"/>
      <c r="G191" s="1466"/>
      <c r="H191" s="1467"/>
      <c r="I191" s="203"/>
      <c r="J191" s="284"/>
      <c r="K191" s="285"/>
      <c r="O191" s="1470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470"/>
    </row>
    <row r="193" spans="3:15" outlineLevel="1">
      <c r="D193" s="244"/>
      <c r="E193" s="1468"/>
      <c r="F193" s="238"/>
      <c r="G193" s="238"/>
      <c r="H193" s="238"/>
      <c r="I193" s="237"/>
      <c r="J193" s="222"/>
      <c r="K193" s="222"/>
      <c r="O193" s="1470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470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470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470"/>
    </row>
    <row r="197" spans="3:15" outlineLevel="1">
      <c r="C197" s="1469"/>
      <c r="D197" s="203"/>
      <c r="E197" s="1466"/>
      <c r="F197" s="203"/>
      <c r="G197" s="203"/>
      <c r="H197" s="1467"/>
      <c r="I197" s="203"/>
      <c r="J197" s="284"/>
      <c r="K197" s="285"/>
      <c r="O197" s="1470"/>
    </row>
    <row r="198" spans="3:15" outlineLevel="1">
      <c r="C198" s="1465"/>
      <c r="D198" s="309"/>
      <c r="E198" s="245"/>
      <c r="F198" s="203"/>
      <c r="G198" s="1466"/>
      <c r="H198" s="1467"/>
      <c r="I198" s="203"/>
      <c r="J198" s="284"/>
      <c r="K198" s="285"/>
      <c r="O198" s="1470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470"/>
    </row>
    <row r="200" spans="3:15" outlineLevel="1">
      <c r="D200" s="244"/>
      <c r="E200" s="1468"/>
      <c r="F200" s="238"/>
      <c r="G200" s="238"/>
      <c r="H200" s="238"/>
      <c r="I200" s="237"/>
      <c r="J200" s="222"/>
      <c r="K200" s="222"/>
      <c r="O200" s="1470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470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470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470"/>
    </row>
    <row r="204" spans="3:15" outlineLevel="1">
      <c r="C204" s="1469"/>
      <c r="D204" s="203"/>
      <c r="E204" s="1466"/>
      <c r="F204" s="203"/>
      <c r="G204" s="203"/>
      <c r="H204" s="1467"/>
      <c r="I204" s="203"/>
      <c r="J204" s="284"/>
      <c r="K204" s="285"/>
      <c r="O204" s="1470"/>
    </row>
    <row r="205" spans="3:15" outlineLevel="1">
      <c r="O205" s="1470"/>
    </row>
    <row r="206" spans="3:15" outlineLevel="1">
      <c r="C206" s="288"/>
      <c r="D206" s="288"/>
      <c r="E206" s="288"/>
      <c r="J206" s="1471"/>
      <c r="O206" s="1470"/>
    </row>
    <row r="207" spans="3:15" outlineLevel="1">
      <c r="O207" s="1470"/>
    </row>
    <row r="208" spans="3:15" outlineLevel="1"/>
    <row r="209" spans="3:11" ht="16.5" outlineLevel="1">
      <c r="C209" s="1464"/>
    </row>
    <row r="210" spans="3:11" outlineLevel="1">
      <c r="C210" s="1465"/>
      <c r="D210" s="309"/>
      <c r="E210" s="245"/>
      <c r="F210" s="203"/>
      <c r="G210" s="1466"/>
      <c r="H210" s="1467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468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469"/>
      <c r="D216" s="203"/>
      <c r="E216" s="1466"/>
      <c r="F216" s="203"/>
      <c r="G216" s="203"/>
      <c r="H216" s="1467"/>
      <c r="I216" s="203"/>
      <c r="J216" s="284"/>
      <c r="K216" s="285"/>
    </row>
    <row r="217" spans="3:11" outlineLevel="1">
      <c r="C217" s="1465"/>
      <c r="D217" s="309"/>
      <c r="E217" s="245"/>
      <c r="F217" s="203"/>
      <c r="G217" s="1466"/>
      <c r="H217" s="1467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472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467"/>
      <c r="I223" s="203"/>
      <c r="J223" s="284"/>
      <c r="K223" s="285"/>
    </row>
    <row r="224" spans="3:11" outlineLevel="1">
      <c r="C224" s="1465"/>
      <c r="D224" s="309"/>
      <c r="E224" s="245"/>
      <c r="F224" s="203"/>
      <c r="G224" s="1466"/>
      <c r="H224" s="1467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473"/>
      <c r="F226" s="238"/>
      <c r="G226" s="238"/>
      <c r="H226" s="1472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474"/>
      <c r="D230" s="203"/>
      <c r="E230" s="1466"/>
      <c r="F230" s="203"/>
      <c r="G230" s="203"/>
      <c r="H230" s="1467"/>
      <c r="I230" s="203"/>
      <c r="J230" s="284"/>
      <c r="K230" s="285"/>
    </row>
    <row r="231" spans="3:11" outlineLevel="1">
      <c r="C231" s="1465"/>
      <c r="D231" s="309"/>
      <c r="E231" s="245"/>
      <c r="F231" s="203"/>
      <c r="G231" s="1466"/>
      <c r="H231" s="1467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472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467"/>
      <c r="I237" s="203"/>
      <c r="J237" s="284"/>
      <c r="K237" s="285"/>
    </row>
    <row r="238" spans="3:11" outlineLevel="1">
      <c r="C238" s="1465"/>
      <c r="D238" s="309"/>
      <c r="E238" s="245"/>
      <c r="F238" s="203"/>
      <c r="G238" s="1466"/>
      <c r="H238" s="1467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473"/>
      <c r="F240" s="238"/>
      <c r="G240" s="238"/>
      <c r="H240" s="1472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474"/>
      <c r="D244" s="203"/>
      <c r="E244" s="1466"/>
      <c r="F244" s="203"/>
      <c r="G244" s="203"/>
      <c r="H244" s="1467"/>
      <c r="I244" s="203"/>
      <c r="J244" s="284"/>
      <c r="K244" s="285"/>
    </row>
    <row r="245" spans="3:11" outlineLevel="1">
      <c r="C245" s="1465"/>
      <c r="D245" s="1466"/>
      <c r="E245" s="203"/>
      <c r="F245" s="203"/>
      <c r="G245" s="1466"/>
      <c r="H245" s="1467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468"/>
      <c r="F247" s="238"/>
      <c r="G247" s="238"/>
      <c r="H247" s="1472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474"/>
      <c r="D251" s="203"/>
      <c r="E251" s="1466"/>
      <c r="F251" s="203"/>
      <c r="G251" s="203"/>
      <c r="H251" s="1467"/>
      <c r="I251" s="203"/>
      <c r="J251" s="284"/>
      <c r="K251" s="285"/>
    </row>
    <row r="252" spans="3:11" outlineLevel="1">
      <c r="C252" s="1465"/>
      <c r="D252" s="1466"/>
      <c r="E252" s="203"/>
      <c r="F252" s="203"/>
      <c r="G252" s="1466"/>
      <c r="H252" s="1467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472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474"/>
      <c r="D258" s="203"/>
      <c r="E258" s="1466"/>
      <c r="F258" s="203"/>
      <c r="G258" s="203"/>
      <c r="H258" s="1467"/>
      <c r="I258" s="203"/>
      <c r="J258" s="284"/>
      <c r="K258" s="285"/>
    </row>
    <row r="259" spans="3:11" outlineLevel="1">
      <c r="C259" s="1465"/>
      <c r="D259" s="1466"/>
      <c r="E259" s="203"/>
      <c r="F259" s="203"/>
      <c r="G259" s="1466"/>
      <c r="H259" s="1467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472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474"/>
      <c r="D265" s="203"/>
      <c r="E265" s="1466"/>
      <c r="F265" s="203"/>
      <c r="G265" s="203"/>
      <c r="H265" s="1467"/>
      <c r="I265" s="203"/>
      <c r="J265" s="284"/>
      <c r="K265" s="285"/>
    </row>
    <row r="266" spans="3:11" outlineLevel="1"/>
    <row r="267" spans="3:11" outlineLevel="1">
      <c r="C267" s="288"/>
      <c r="D267" s="288"/>
      <c r="E267" s="1475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232" zoomScaleNormal="100" workbookViewId="0">
      <selection activeCell="G254" sqref="G254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271" t="s">
        <v>988</v>
      </c>
      <c r="J4" s="717">
        <f>GapCalc!D41</f>
        <v>8122712.5949474797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152</v>
      </c>
    </row>
    <row r="10" spans="1:66" customFormat="1" ht="6.6" customHeight="1">
      <c r="A10" s="845"/>
      <c r="B10" s="940"/>
      <c r="C10" s="940"/>
      <c r="D10" s="940"/>
      <c r="E10" s="940"/>
      <c r="F10" s="940"/>
      <c r="G10" s="941"/>
      <c r="H10" s="941"/>
      <c r="I10" s="941"/>
      <c r="J10" s="940"/>
      <c r="K10" s="942"/>
      <c r="L10" s="942"/>
      <c r="M10" s="943"/>
      <c r="N10" s="944"/>
      <c r="O10" s="944"/>
      <c r="P10" s="940"/>
      <c r="Q10" s="940"/>
      <c r="R10" s="940"/>
      <c r="S10" s="940"/>
      <c r="T10" s="845"/>
      <c r="U10" s="945"/>
      <c r="V10" s="946"/>
      <c r="W10" s="946"/>
      <c r="X10" s="946"/>
      <c r="Y10" s="946"/>
      <c r="Z10" s="946"/>
      <c r="AA10" s="946"/>
      <c r="AB10" s="946"/>
      <c r="AC10" s="946"/>
      <c r="AD10" s="947"/>
      <c r="AE10" s="946"/>
      <c r="AF10" s="947"/>
      <c r="AG10" s="946"/>
      <c r="AH10" s="948"/>
      <c r="AJ10" s="949"/>
      <c r="AK10" s="950"/>
      <c r="AL10" s="951"/>
      <c r="AM10" s="952"/>
      <c r="AN10" s="949"/>
      <c r="AO10" s="949"/>
      <c r="AP10" s="952"/>
      <c r="AQ10" s="949"/>
      <c r="AR10" s="949"/>
      <c r="AS10" s="949"/>
      <c r="AT10" s="949"/>
      <c r="AU10" s="949"/>
      <c r="AV10" s="949"/>
      <c r="AW10" s="949"/>
      <c r="AX10" s="949"/>
      <c r="AY10" s="949"/>
      <c r="AZ10" s="949"/>
      <c r="BA10" s="949"/>
      <c r="BB10" s="949"/>
      <c r="BC10" s="949"/>
      <c r="BD10" s="949"/>
      <c r="BE10" s="949"/>
      <c r="BF10" s="949"/>
      <c r="BG10" s="949"/>
      <c r="BH10" s="949"/>
      <c r="BI10" s="949"/>
      <c r="BJ10" s="949"/>
      <c r="BK10" s="949"/>
      <c r="BL10" s="949"/>
      <c r="BM10" s="949"/>
      <c r="BN10" s="949"/>
    </row>
    <row r="11" spans="1:66" customFormat="1" ht="12.95" customHeight="1">
      <c r="A11" s="845"/>
      <c r="B11" s="953"/>
      <c r="C11" s="954"/>
      <c r="D11" s="955" t="s">
        <v>722</v>
      </c>
      <c r="E11" s="954"/>
      <c r="F11" s="954"/>
      <c r="G11" s="956"/>
      <c r="H11" s="956"/>
      <c r="I11" s="956"/>
      <c r="J11" s="954"/>
      <c r="K11" s="957"/>
      <c r="L11" s="957"/>
      <c r="M11" s="958"/>
      <c r="N11" s="959"/>
      <c r="O11" s="959"/>
      <c r="P11" s="960"/>
      <c r="Q11" s="960"/>
      <c r="R11" s="960"/>
      <c r="S11" s="960"/>
      <c r="T11" s="845"/>
      <c r="U11" s="961" t="s">
        <v>723</v>
      </c>
      <c r="V11" s="962"/>
      <c r="W11" s="962"/>
      <c r="X11" s="962"/>
      <c r="Y11" s="962"/>
      <c r="Z11" s="962"/>
      <c r="AA11" s="962"/>
      <c r="AB11" s="962"/>
      <c r="AC11" s="962"/>
      <c r="AD11" s="963"/>
      <c r="AE11" s="962"/>
      <c r="AF11" s="963"/>
      <c r="AG11" s="962"/>
      <c r="AH11" s="964"/>
      <c r="AJ11" s="965" t="s">
        <v>724</v>
      </c>
      <c r="AK11" s="966"/>
      <c r="AL11" s="967"/>
      <c r="AM11" s="968"/>
      <c r="AN11" s="969"/>
      <c r="AO11" s="969"/>
      <c r="AP11" s="968"/>
      <c r="AQ11" s="970" t="s">
        <v>725</v>
      </c>
      <c r="AR11" s="949"/>
      <c r="AS11" s="949"/>
      <c r="AT11" s="949"/>
      <c r="AU11" s="949"/>
      <c r="AV11" s="949"/>
      <c r="AW11" s="949"/>
      <c r="AX11" s="949"/>
      <c r="AY11" s="949"/>
      <c r="AZ11" s="949"/>
      <c r="BA11" s="949"/>
      <c r="BB11" s="949"/>
      <c r="BC11" s="949"/>
      <c r="BD11" s="949"/>
      <c r="BE11" s="949"/>
      <c r="BF11" s="949"/>
      <c r="BG11" s="949"/>
      <c r="BH11" s="949"/>
      <c r="BI11" s="949"/>
      <c r="BJ11" s="949"/>
      <c r="BK11" s="949"/>
      <c r="BL11" s="949"/>
      <c r="BM11" s="949"/>
      <c r="BN11" s="949"/>
    </row>
    <row r="12" spans="1:66" customFormat="1" ht="6.6" customHeight="1">
      <c r="A12" s="845"/>
      <c r="B12" s="940"/>
      <c r="C12" s="940"/>
      <c r="D12" s="940"/>
      <c r="E12" s="940"/>
      <c r="F12" s="940"/>
      <c r="G12" s="941"/>
      <c r="H12" s="941"/>
      <c r="I12" s="941"/>
      <c r="J12" s="940"/>
      <c r="K12" s="942"/>
      <c r="L12" s="942"/>
      <c r="M12" s="943"/>
      <c r="N12" s="944"/>
      <c r="O12" s="944"/>
      <c r="P12" s="940"/>
      <c r="Q12" s="940"/>
      <c r="R12" s="940"/>
      <c r="S12" s="940"/>
      <c r="T12" s="845"/>
      <c r="U12" s="945"/>
      <c r="V12" s="946"/>
      <c r="W12" s="946"/>
      <c r="X12" s="946"/>
      <c r="Y12" s="946"/>
      <c r="Z12" s="946"/>
      <c r="AA12" s="946"/>
      <c r="AB12" s="946"/>
      <c r="AC12" s="946"/>
      <c r="AD12" s="947"/>
      <c r="AE12" s="946"/>
      <c r="AF12" s="947"/>
      <c r="AG12" s="946"/>
      <c r="AH12" s="948"/>
      <c r="AJ12" s="949"/>
      <c r="AK12" s="950"/>
      <c r="AL12" s="951"/>
      <c r="AM12" s="952"/>
      <c r="AN12" s="949"/>
      <c r="AO12" s="949"/>
      <c r="AP12" s="952"/>
      <c r="AQ12" s="949"/>
      <c r="AR12" s="949"/>
      <c r="AS12" s="949"/>
      <c r="AT12" s="949"/>
      <c r="AU12" s="949"/>
      <c r="AV12" s="949"/>
      <c r="AW12" s="949"/>
      <c r="AX12" s="949"/>
      <c r="AY12" s="949"/>
      <c r="AZ12" s="949"/>
      <c r="BA12" s="949"/>
      <c r="BB12" s="949"/>
      <c r="BC12" s="949"/>
      <c r="BD12" s="949"/>
      <c r="BE12" s="949"/>
      <c r="BF12" s="949"/>
      <c r="BG12" s="949"/>
      <c r="BH12" s="949"/>
      <c r="BI12" s="949"/>
      <c r="BJ12" s="949"/>
      <c r="BK12" s="949"/>
      <c r="BL12" s="949"/>
      <c r="BM12" s="949"/>
      <c r="BN12" s="949"/>
    </row>
    <row r="13" spans="1:66" customFormat="1" ht="14.45" customHeight="1">
      <c r="A13" s="845"/>
      <c r="B13" s="845"/>
      <c r="C13" s="845"/>
      <c r="D13" s="845"/>
      <c r="E13" s="845"/>
      <c r="F13" s="845"/>
      <c r="G13" s="845"/>
      <c r="H13" s="845"/>
      <c r="I13" s="845"/>
      <c r="J13" s="845"/>
      <c r="K13" s="971"/>
      <c r="L13" s="971"/>
      <c r="M13" s="971"/>
      <c r="N13" s="845"/>
      <c r="O13" s="845"/>
      <c r="P13" s="845"/>
      <c r="Q13" s="845"/>
      <c r="R13" s="845"/>
      <c r="S13" s="845"/>
      <c r="T13" s="845"/>
      <c r="AD13" s="972"/>
      <c r="AF13" s="972"/>
      <c r="AH13" s="54"/>
      <c r="AJ13" s="870"/>
      <c r="AK13" s="845"/>
      <c r="AL13" s="886"/>
      <c r="AN13" s="870"/>
      <c r="AO13" s="870"/>
      <c r="AQ13" s="870"/>
      <c r="AR13" s="870"/>
      <c r="AS13" s="870"/>
      <c r="AT13" s="870"/>
      <c r="AU13" s="870"/>
      <c r="AV13" s="870"/>
      <c r="AW13" s="870"/>
      <c r="AX13" s="870"/>
      <c r="AY13" s="870"/>
      <c r="AZ13" s="870"/>
      <c r="BA13" s="870"/>
      <c r="BB13" s="870"/>
      <c r="BC13" s="870"/>
      <c r="BD13" s="870"/>
      <c r="BE13" s="870"/>
      <c r="BF13" s="870"/>
      <c r="BG13" s="870"/>
      <c r="BH13" s="870"/>
      <c r="BI13" s="870"/>
      <c r="BJ13" s="870"/>
      <c r="BK13" s="870"/>
      <c r="BL13" s="870"/>
      <c r="BM13" s="870"/>
      <c r="BN13" s="870"/>
    </row>
    <row r="14" spans="1:66" s="973" customFormat="1" ht="12.75">
      <c r="B14" s="974"/>
      <c r="C14" s="975"/>
      <c r="D14" s="975"/>
      <c r="E14" s="975"/>
      <c r="F14" s="1600" t="s">
        <v>84</v>
      </c>
      <c r="G14" s="1601"/>
      <c r="H14" s="976"/>
      <c r="I14" s="977"/>
      <c r="J14" s="976"/>
      <c r="K14" s="978"/>
      <c r="L14" s="979"/>
      <c r="M14" s="980"/>
      <c r="N14" s="981"/>
      <c r="P14" s="982"/>
      <c r="Q14" s="982"/>
      <c r="R14" s="982"/>
      <c r="S14" s="982"/>
      <c r="U14" s="983"/>
      <c r="V14" s="983"/>
      <c r="X14" s="983"/>
      <c r="Z14" s="983"/>
      <c r="AB14" s="983"/>
      <c r="AD14" s="984"/>
      <c r="AF14" s="984"/>
      <c r="AH14" s="985"/>
      <c r="AJ14" s="984"/>
      <c r="AL14" s="985"/>
      <c r="AN14" s="984"/>
      <c r="AO14" s="984"/>
      <c r="AQ14" s="984"/>
      <c r="AR14" s="984"/>
      <c r="AS14" s="984"/>
      <c r="AT14" s="984"/>
      <c r="AU14" s="984"/>
      <c r="AV14" s="984"/>
      <c r="AW14" s="984"/>
      <c r="AX14" s="984"/>
      <c r="AY14" s="984"/>
      <c r="AZ14" s="984"/>
      <c r="BA14" s="984"/>
      <c r="BB14" s="984"/>
      <c r="BC14" s="984"/>
      <c r="BD14" s="984"/>
      <c r="BE14" s="984"/>
      <c r="BF14" s="984"/>
      <c r="BG14" s="984"/>
      <c r="BH14" s="984"/>
      <c r="BI14" s="984"/>
      <c r="BJ14" s="984"/>
      <c r="BK14" s="984"/>
      <c r="BL14" s="984"/>
      <c r="BM14" s="984"/>
      <c r="BN14" s="984"/>
    </row>
    <row r="15" spans="1:66" s="973" customFormat="1" ht="12.75">
      <c r="B15" s="986"/>
      <c r="C15" s="987" t="s">
        <v>347</v>
      </c>
      <c r="D15" s="988"/>
      <c r="E15" s="975"/>
      <c r="F15" s="975"/>
      <c r="G15" s="975" t="s">
        <v>726</v>
      </c>
      <c r="I15" s="981" t="s">
        <v>382</v>
      </c>
      <c r="J15" s="976"/>
      <c r="K15" s="975" t="s">
        <v>727</v>
      </c>
      <c r="L15" s="976"/>
      <c r="M15" s="989" t="s">
        <v>728</v>
      </c>
      <c r="N15" s="990"/>
      <c r="P15" s="991" t="s">
        <v>729</v>
      </c>
      <c r="Q15" s="992"/>
      <c r="R15" s="992"/>
      <c r="S15" s="992"/>
      <c r="U15" s="983" t="s">
        <v>730</v>
      </c>
      <c r="V15" s="983" t="s">
        <v>731</v>
      </c>
      <c r="X15" s="983" t="s">
        <v>732</v>
      </c>
      <c r="Z15" s="983" t="s">
        <v>733</v>
      </c>
      <c r="AB15" s="983" t="s">
        <v>734</v>
      </c>
      <c r="AD15" s="984" t="s">
        <v>735</v>
      </c>
      <c r="AF15" s="984" t="s">
        <v>736</v>
      </c>
      <c r="AH15" s="985" t="s">
        <v>737</v>
      </c>
      <c r="AJ15" s="993" t="s">
        <v>738</v>
      </c>
      <c r="AL15" s="985" t="s">
        <v>739</v>
      </c>
      <c r="AN15" s="984" t="s">
        <v>740</v>
      </c>
      <c r="AO15" s="984" t="s">
        <v>741</v>
      </c>
      <c r="AQ15" s="984" t="s">
        <v>742</v>
      </c>
      <c r="AR15" s="984" t="s">
        <v>743</v>
      </c>
      <c r="AS15" s="984" t="s">
        <v>744</v>
      </c>
      <c r="AT15" s="984" t="s">
        <v>745</v>
      </c>
      <c r="AU15" s="984" t="s">
        <v>746</v>
      </c>
      <c r="AV15" s="984" t="s">
        <v>747</v>
      </c>
      <c r="AW15" s="984" t="s">
        <v>748</v>
      </c>
      <c r="AX15" s="984" t="s">
        <v>749</v>
      </c>
      <c r="AY15" s="984" t="s">
        <v>750</v>
      </c>
      <c r="AZ15" s="984" t="s">
        <v>751</v>
      </c>
      <c r="BA15" s="984" t="s">
        <v>752</v>
      </c>
      <c r="BB15" s="984" t="s">
        <v>753</v>
      </c>
      <c r="BC15" s="984" t="s">
        <v>754</v>
      </c>
      <c r="BD15" s="984" t="s">
        <v>755</v>
      </c>
      <c r="BE15" s="984" t="s">
        <v>756</v>
      </c>
      <c r="BF15" s="984" t="s">
        <v>757</v>
      </c>
      <c r="BG15" s="984" t="s">
        <v>758</v>
      </c>
      <c r="BH15" s="984" t="s">
        <v>759</v>
      </c>
      <c r="BI15" s="984" t="s">
        <v>760</v>
      </c>
      <c r="BJ15" s="984" t="s">
        <v>761</v>
      </c>
      <c r="BK15" s="984" t="s">
        <v>762</v>
      </c>
      <c r="BL15" s="984" t="s">
        <v>763</v>
      </c>
      <c r="BM15" s="984" t="s">
        <v>764</v>
      </c>
      <c r="BN15" s="984" t="s">
        <v>765</v>
      </c>
    </row>
    <row r="16" spans="1:66" s="973" customFormat="1" ht="6" customHeight="1">
      <c r="B16" s="974"/>
      <c r="C16" s="975"/>
      <c r="D16" s="975"/>
      <c r="E16" s="975"/>
      <c r="F16" s="975"/>
      <c r="G16" s="975"/>
      <c r="H16" s="976"/>
      <c r="I16" s="977"/>
      <c r="J16" s="976"/>
      <c r="K16" s="994"/>
      <c r="L16" s="995"/>
      <c r="M16" s="996"/>
      <c r="N16" s="997"/>
      <c r="O16" s="998"/>
      <c r="P16" s="982"/>
      <c r="Q16" s="982"/>
      <c r="R16" s="982"/>
      <c r="S16" s="982"/>
      <c r="U16" s="983"/>
      <c r="V16" s="983"/>
      <c r="X16" s="983"/>
      <c r="Z16" s="983"/>
      <c r="AB16" s="983"/>
      <c r="AD16" s="984"/>
      <c r="AF16" s="984"/>
      <c r="AH16" s="985"/>
      <c r="AJ16" s="984"/>
      <c r="AL16" s="985"/>
      <c r="AN16" s="984"/>
      <c r="AO16" s="984"/>
      <c r="AQ16" s="984"/>
      <c r="AR16" s="984"/>
      <c r="AS16" s="984"/>
      <c r="AT16" s="984"/>
      <c r="AU16" s="984"/>
      <c r="AV16" s="984"/>
      <c r="AW16" s="984"/>
      <c r="AX16" s="984"/>
      <c r="AY16" s="984"/>
      <c r="AZ16" s="984"/>
      <c r="BA16" s="984"/>
      <c r="BB16" s="984"/>
      <c r="BC16" s="984"/>
      <c r="BD16" s="984"/>
      <c r="BE16" s="984"/>
      <c r="BF16" s="984"/>
      <c r="BG16" s="984"/>
      <c r="BH16" s="984"/>
      <c r="BI16" s="984"/>
      <c r="BJ16" s="984"/>
      <c r="BK16" s="984"/>
      <c r="BL16" s="984"/>
      <c r="BM16" s="984"/>
      <c r="BN16" s="984"/>
    </row>
    <row r="17" spans="1:28" ht="15.75">
      <c r="A17" s="3"/>
      <c r="B17" s="845"/>
      <c r="C17" s="841" t="s">
        <v>87</v>
      </c>
      <c r="D17" s="842"/>
      <c r="E17" s="843"/>
      <c r="F17" s="843"/>
      <c r="G17" s="999"/>
      <c r="H17" s="1000"/>
      <c r="I17" s="1000"/>
      <c r="J17" s="1000"/>
      <c r="K17" s="1001"/>
      <c r="L17" s="1001"/>
      <c r="M17" s="1002" t="s">
        <v>994</v>
      </c>
      <c r="N17" s="1517">
        <v>65000</v>
      </c>
      <c r="O17" s="845"/>
      <c r="P17" s="845"/>
      <c r="Q17" s="845"/>
      <c r="R17" s="845"/>
      <c r="S17" s="845"/>
      <c r="T17" s="845"/>
      <c r="U17"/>
      <c r="V17"/>
      <c r="W17"/>
      <c r="X17"/>
      <c r="Y17"/>
      <c r="Z17"/>
      <c r="AA17"/>
      <c r="AB17"/>
    </row>
    <row r="18" spans="1:28" ht="14.25" customHeight="1">
      <c r="A18" s="3"/>
      <c r="B18" s="845"/>
      <c r="C18" s="1623" t="s">
        <v>640</v>
      </c>
      <c r="D18" s="1623"/>
      <c r="E18" s="1624">
        <f>N18</f>
        <v>9880000</v>
      </c>
      <c r="F18" s="1625"/>
      <c r="G18" s="1626">
        <f>E18</f>
        <v>9880000</v>
      </c>
      <c r="H18" s="1627"/>
      <c r="I18" s="1627">
        <f>G18/$F$9</f>
        <v>65000</v>
      </c>
      <c r="J18" s="1003"/>
      <c r="K18" s="1004"/>
      <c r="L18" s="1004"/>
      <c r="M18" s="1276">
        <f>F9*N17</f>
        <v>9880000</v>
      </c>
      <c r="N18" s="1518">
        <v>9880000</v>
      </c>
      <c r="O18" s="1005"/>
      <c r="P18" s="1006"/>
      <c r="Q18" s="845" t="s">
        <v>766</v>
      </c>
      <c r="R18" s="845"/>
      <c r="S18" s="845"/>
      <c r="T18" s="845"/>
      <c r="U18" s="1007">
        <v>1</v>
      </c>
      <c r="V18" s="1007">
        <v>0</v>
      </c>
      <c r="W18"/>
      <c r="X18" s="972">
        <f>U18*G18</f>
        <v>9880000</v>
      </c>
      <c r="Y18" s="972"/>
      <c r="Z18" s="972">
        <f>V18*G18</f>
        <v>0</v>
      </c>
      <c r="AA18"/>
      <c r="AB18" s="972">
        <v>144621.84</v>
      </c>
    </row>
    <row r="19" spans="1:28" ht="15.75">
      <c r="A19" s="3"/>
      <c r="B19" s="845"/>
      <c r="C19" s="1623" t="s">
        <v>641</v>
      </c>
      <c r="D19" s="1623"/>
      <c r="E19" s="1628"/>
      <c r="F19" s="1629"/>
      <c r="G19" s="1630">
        <f>SUM(F20:F22)</f>
        <v>25000</v>
      </c>
      <c r="H19" s="1627"/>
      <c r="I19" s="1627">
        <f t="shared" ref="I19:I82" si="0">G19/$F$9</f>
        <v>164.47368421052633</v>
      </c>
      <c r="J19" s="1003"/>
      <c r="K19" s="1008"/>
      <c r="L19" s="1008"/>
      <c r="M19" s="1009"/>
      <c r="N19" s="935"/>
      <c r="O19" s="935"/>
      <c r="P19" s="870" t="e">
        <v>#DIV/0!</v>
      </c>
      <c r="Q19" s="845" t="s">
        <v>767</v>
      </c>
      <c r="R19" s="845"/>
      <c r="S19" s="845"/>
      <c r="T19" s="845"/>
      <c r="U19" s="1007">
        <v>1</v>
      </c>
      <c r="V19" s="1007">
        <v>0</v>
      </c>
      <c r="W19"/>
      <c r="X19" s="972">
        <f>U19*G19</f>
        <v>25000</v>
      </c>
      <c r="Y19" s="972"/>
      <c r="Z19" s="972">
        <f>V19*G19</f>
        <v>0</v>
      </c>
      <c r="AA19"/>
      <c r="AB19" s="972">
        <v>500</v>
      </c>
    </row>
    <row r="20" spans="1:28" ht="15.75">
      <c r="A20" s="3"/>
      <c r="B20" s="845"/>
      <c r="C20" s="1631"/>
      <c r="D20" s="1623" t="s">
        <v>642</v>
      </c>
      <c r="E20" s="1628"/>
      <c r="F20" s="1629">
        <v>10000</v>
      </c>
      <c r="G20" s="1630"/>
      <c r="H20" s="1627"/>
      <c r="I20" s="1627">
        <f t="shared" si="0"/>
        <v>0</v>
      </c>
      <c r="J20" s="1003"/>
      <c r="K20" s="1001"/>
      <c r="L20" s="1001"/>
      <c r="M20" s="971"/>
      <c r="N20" s="1010"/>
      <c r="O20" s="1010"/>
      <c r="P20" s="870">
        <v>0</v>
      </c>
      <c r="Q20" s="845" t="s">
        <v>768</v>
      </c>
      <c r="R20" s="845"/>
      <c r="S20" s="845"/>
      <c r="T20" s="845"/>
      <c r="U20" s="1007"/>
      <c r="V20" s="1007"/>
      <c r="W20"/>
      <c r="X20" s="972"/>
      <c r="Y20" s="972"/>
      <c r="Z20" s="972"/>
      <c r="AA20"/>
      <c r="AB20" s="972"/>
    </row>
    <row r="21" spans="1:28" ht="15.75">
      <c r="A21" s="3"/>
      <c r="B21" s="845"/>
      <c r="C21" s="1631"/>
      <c r="D21" s="1623" t="s">
        <v>643</v>
      </c>
      <c r="E21" s="1632">
        <v>0</v>
      </c>
      <c r="F21" s="1629">
        <f>E21*G18</f>
        <v>0</v>
      </c>
      <c r="G21" s="1630"/>
      <c r="H21" s="1627"/>
      <c r="I21" s="1627">
        <f t="shared" si="0"/>
        <v>0</v>
      </c>
      <c r="J21" s="1003"/>
      <c r="K21" s="1001"/>
      <c r="L21" s="1001"/>
      <c r="M21" s="971"/>
      <c r="N21" s="1011"/>
      <c r="O21" s="1011"/>
      <c r="P21" s="870"/>
      <c r="Q21" s="845"/>
      <c r="R21" s="845"/>
      <c r="S21" s="845"/>
      <c r="T21" s="845"/>
      <c r="U21" s="1007"/>
      <c r="V21" s="1007"/>
      <c r="W21"/>
      <c r="X21" s="972"/>
      <c r="Y21" s="972"/>
      <c r="Z21" s="972"/>
      <c r="AA21"/>
      <c r="AB21" s="972"/>
    </row>
    <row r="22" spans="1:28" ht="15.75">
      <c r="A22" s="690"/>
      <c r="B22" s="845"/>
      <c r="C22" s="1631"/>
      <c r="D22" s="1623" t="s">
        <v>644</v>
      </c>
      <c r="E22" s="1628"/>
      <c r="F22" s="1629">
        <v>15000</v>
      </c>
      <c r="G22" s="1630"/>
      <c r="H22" s="1627"/>
      <c r="I22" s="1627">
        <f t="shared" si="0"/>
        <v>0</v>
      </c>
      <c r="J22" s="844"/>
      <c r="K22" s="1012"/>
      <c r="L22" s="1012"/>
      <c r="M22"/>
      <c r="N22"/>
      <c r="O22"/>
      <c r="P22" s="870"/>
      <c r="Q22" s="845"/>
      <c r="R22" s="845"/>
      <c r="S22" s="845"/>
      <c r="T22" s="845"/>
      <c r="U22" s="1007"/>
      <c r="V22" s="1007"/>
      <c r="W22"/>
      <c r="X22" s="972"/>
      <c r="Y22" s="972"/>
      <c r="Z22" s="972"/>
      <c r="AA22"/>
      <c r="AB22" s="972"/>
    </row>
    <row r="23" spans="1:28" ht="15.75">
      <c r="A23" s="690"/>
      <c r="B23" s="845"/>
      <c r="C23" s="1623" t="s">
        <v>645</v>
      </c>
      <c r="D23" s="1623"/>
      <c r="E23" s="1633">
        <v>150000</v>
      </c>
      <c r="F23" s="1629"/>
      <c r="G23" s="1630">
        <f>E23</f>
        <v>150000</v>
      </c>
      <c r="H23" s="1627"/>
      <c r="I23" s="1627">
        <f t="shared" si="0"/>
        <v>986.84210526315792</v>
      </c>
      <c r="J23" s="1003"/>
      <c r="K23" s="1013"/>
      <c r="L23" s="1013"/>
      <c r="M23" s="1002"/>
      <c r="N23" s="845"/>
      <c r="O23" s="845"/>
      <c r="P23" s="882"/>
      <c r="Q23" s="890"/>
      <c r="R23" s="845"/>
      <c r="S23" s="845"/>
      <c r="T23" s="845"/>
      <c r="U23" s="1007">
        <v>1</v>
      </c>
      <c r="V23" s="1007">
        <v>0</v>
      </c>
      <c r="W23"/>
      <c r="X23" s="972">
        <f>U23*G23</f>
        <v>150000</v>
      </c>
      <c r="Y23" s="972"/>
      <c r="Z23" s="972">
        <f>V23*G23</f>
        <v>0</v>
      </c>
      <c r="AA23"/>
      <c r="AB23" s="972">
        <v>0</v>
      </c>
    </row>
    <row r="24" spans="1:28" ht="15.75">
      <c r="A24" s="690"/>
      <c r="B24" s="845"/>
      <c r="C24" s="1623" t="s">
        <v>646</v>
      </c>
      <c r="D24" s="1623"/>
      <c r="E24" s="1634"/>
      <c r="F24" s="1629"/>
      <c r="G24" s="1630">
        <f>SUM(F25:F26)</f>
        <v>0</v>
      </c>
      <c r="H24" s="1627"/>
      <c r="I24" s="1627">
        <f t="shared" si="0"/>
        <v>0</v>
      </c>
      <c r="J24" s="1003"/>
      <c r="K24" s="905"/>
      <c r="L24" s="905"/>
      <c r="M24" s="1002"/>
      <c r="N24" s="845"/>
      <c r="O24" s="845"/>
      <c r="P24" s="870"/>
      <c r="Q24" s="845"/>
      <c r="R24" s="845"/>
      <c r="S24" s="845"/>
      <c r="T24" s="845"/>
      <c r="U24" s="1007">
        <v>1</v>
      </c>
      <c r="V24" s="1007">
        <v>0</v>
      </c>
      <c r="W24"/>
      <c r="X24" s="972">
        <f>U24*G24</f>
        <v>0</v>
      </c>
      <c r="Y24" s="972"/>
      <c r="Z24" s="972">
        <f>V24*G24</f>
        <v>0</v>
      </c>
      <c r="AA24"/>
      <c r="AB24" s="972">
        <v>7920</v>
      </c>
    </row>
    <row r="25" spans="1:28" ht="15.75">
      <c r="A25" s="3"/>
      <c r="B25" s="845"/>
      <c r="C25" s="1631"/>
      <c r="D25" s="1623" t="s">
        <v>647</v>
      </c>
      <c r="E25" s="1635">
        <f>5</f>
        <v>5</v>
      </c>
      <c r="F25" s="1636">
        <v>0</v>
      </c>
      <c r="G25" s="1630"/>
      <c r="H25" s="1627"/>
      <c r="I25" s="1627">
        <f t="shared" si="0"/>
        <v>0</v>
      </c>
      <c r="J25" s="1003"/>
      <c r="K25" s="1014"/>
      <c r="L25" s="1014"/>
      <c r="M25" s="1002"/>
      <c r="N25" s="845"/>
      <c r="O25" s="845"/>
      <c r="P25" s="845"/>
      <c r="Q25" s="845"/>
      <c r="R25" s="845"/>
      <c r="S25" s="845"/>
      <c r="T25" s="845"/>
      <c r="U25" s="1007"/>
      <c r="V25" s="1007"/>
      <c r="W25"/>
      <c r="X25" s="972"/>
      <c r="Y25" s="972"/>
      <c r="Z25" s="972"/>
      <c r="AA25"/>
      <c r="AB25" s="972"/>
    </row>
    <row r="26" spans="1:28" ht="15.75">
      <c r="B26" s="845"/>
      <c r="C26" s="1631"/>
      <c r="D26" s="1623" t="s">
        <v>648</v>
      </c>
      <c r="E26" s="1635">
        <v>7</v>
      </c>
      <c r="F26" s="1636">
        <v>0</v>
      </c>
      <c r="G26" s="1630"/>
      <c r="H26" s="1627"/>
      <c r="I26" s="1627">
        <f t="shared" si="0"/>
        <v>0</v>
      </c>
      <c r="J26" s="1003"/>
      <c r="K26" s="1014"/>
      <c r="L26" s="1014"/>
      <c r="M26" s="1002"/>
      <c r="N26" s="845"/>
      <c r="O26" s="845"/>
      <c r="P26" s="845"/>
      <c r="Q26" s="845"/>
      <c r="R26" s="845"/>
      <c r="S26" s="845"/>
      <c r="T26" s="845"/>
      <c r="U26" s="1007"/>
      <c r="V26" s="1007"/>
      <c r="W26"/>
      <c r="X26" s="972"/>
      <c r="Y26" s="972"/>
      <c r="Z26" s="972"/>
      <c r="AA26"/>
      <c r="AB26" s="972"/>
    </row>
    <row r="27" spans="1:28" ht="15.75">
      <c r="A27" s="3"/>
      <c r="B27" s="845"/>
      <c r="C27" s="1623" t="s">
        <v>769</v>
      </c>
      <c r="D27" s="1623"/>
      <c r="E27" s="1637"/>
      <c r="F27" s="1629"/>
      <c r="G27" s="1630">
        <v>0</v>
      </c>
      <c r="H27" s="1627"/>
      <c r="I27" s="1627">
        <f t="shared" si="0"/>
        <v>0</v>
      </c>
      <c r="J27" s="1003"/>
      <c r="K27" s="1015"/>
      <c r="L27" s="1015"/>
      <c r="M27" s="1002"/>
      <c r="N27" s="845"/>
      <c r="O27" s="845"/>
      <c r="P27" s="845"/>
      <c r="Q27" s="845"/>
      <c r="R27" s="845"/>
      <c r="S27" s="845"/>
      <c r="T27" s="845"/>
      <c r="U27" s="1007">
        <v>1</v>
      </c>
      <c r="V27" s="1007">
        <v>0</v>
      </c>
      <c r="W27"/>
      <c r="X27" s="972">
        <f>U27*G27</f>
        <v>0</v>
      </c>
      <c r="Y27" s="972"/>
      <c r="Z27" s="972">
        <f>V27*G27</f>
        <v>0</v>
      </c>
      <c r="AA27"/>
      <c r="AB27" s="972">
        <v>0</v>
      </c>
    </row>
    <row r="28" spans="1:28" ht="15.75" thickBot="1">
      <c r="A28" s="1181"/>
      <c r="B28" s="1182"/>
      <c r="C28" s="1638" t="s">
        <v>770</v>
      </c>
      <c r="D28" s="1639"/>
      <c r="E28" s="1640"/>
      <c r="F28" s="1641"/>
      <c r="G28" s="1642">
        <f>SUM(G18:G27)</f>
        <v>10055000</v>
      </c>
      <c r="H28" s="1643"/>
      <c r="I28" s="1644">
        <f t="shared" si="0"/>
        <v>66151.31578947368</v>
      </c>
      <c r="J28" s="1016"/>
      <c r="K28" s="1017"/>
      <c r="L28" s="1018"/>
      <c r="M28" s="1019"/>
      <c r="N28" s="858"/>
      <c r="O28" s="858"/>
      <c r="P28" s="858"/>
      <c r="Q28" s="858"/>
      <c r="R28" s="858"/>
      <c r="S28" s="858"/>
      <c r="T28" s="858"/>
      <c r="U28" s="1020"/>
      <c r="V28" s="1020"/>
      <c r="W28" s="1021"/>
      <c r="X28" s="1022">
        <f>SUM(X18:X27)</f>
        <v>10055000</v>
      </c>
      <c r="Y28" s="1022"/>
      <c r="Z28" s="1022">
        <f>SUM(Z18:Z27)</f>
        <v>0</v>
      </c>
      <c r="AA28" s="1021"/>
      <c r="AB28" s="1023">
        <v>153041.84</v>
      </c>
    </row>
    <row r="29" spans="1:28" ht="16.5" thickTop="1">
      <c r="A29" s="690"/>
      <c r="B29" s="845"/>
      <c r="C29" s="1645" t="s">
        <v>90</v>
      </c>
      <c r="D29" s="1623"/>
      <c r="E29" s="1646"/>
      <c r="F29" s="1629"/>
      <c r="G29" s="1647"/>
      <c r="H29" s="1648"/>
      <c r="I29" s="1627">
        <f t="shared" si="0"/>
        <v>0</v>
      </c>
      <c r="J29" s="1003"/>
      <c r="K29" s="905"/>
      <c r="L29" s="905"/>
      <c r="M29" s="1002"/>
      <c r="N29" s="845"/>
      <c r="O29" s="845"/>
      <c r="P29" s="845"/>
      <c r="Q29" s="845"/>
      <c r="R29" s="845"/>
      <c r="S29" s="845"/>
      <c r="T29" s="845"/>
      <c r="U29" s="1007"/>
      <c r="V29" s="1007"/>
      <c r="W29"/>
      <c r="X29" s="972"/>
      <c r="Y29" s="972"/>
      <c r="Z29" s="972"/>
      <c r="AA29"/>
      <c r="AB29" s="972"/>
    </row>
    <row r="30" spans="1:28" ht="15.75">
      <c r="A30" s="690"/>
      <c r="B30" s="845"/>
      <c r="C30" s="1623" t="s">
        <v>707</v>
      </c>
      <c r="D30" s="1623"/>
      <c r="E30" s="1649">
        <v>0</v>
      </c>
      <c r="F30" s="1629"/>
      <c r="G30" s="1647">
        <v>0</v>
      </c>
      <c r="H30" s="1648"/>
      <c r="I30" s="1627">
        <f t="shared" si="0"/>
        <v>0</v>
      </c>
      <c r="J30" s="1003"/>
      <c r="K30" s="1001"/>
      <c r="L30" s="1001"/>
      <c r="M30" s="1002"/>
      <c r="N30" s="845"/>
      <c r="O30" s="845"/>
      <c r="P30" s="1029"/>
      <c r="Q30" s="845"/>
      <c r="R30" s="845"/>
      <c r="S30" s="845"/>
      <c r="T30" s="845"/>
      <c r="U30" s="1007">
        <v>1</v>
      </c>
      <c r="V30" s="1007">
        <v>0</v>
      </c>
      <c r="W30"/>
      <c r="X30" s="972">
        <f>U30*G30</f>
        <v>0</v>
      </c>
      <c r="Y30" s="972"/>
      <c r="Z30" s="972">
        <f>V30*G30</f>
        <v>0</v>
      </c>
      <c r="AA30"/>
      <c r="AB30" s="972">
        <v>0</v>
      </c>
    </row>
    <row r="31" spans="1:28" ht="15.75">
      <c r="A31" s="690"/>
      <c r="B31" s="845"/>
      <c r="C31" s="1623" t="s">
        <v>708</v>
      </c>
      <c r="D31" s="1623"/>
      <c r="E31" s="1624">
        <v>35</v>
      </c>
      <c r="F31" s="1629"/>
      <c r="G31" s="1650">
        <f>E31*'Construction Calculation'!G11</f>
        <v>0</v>
      </c>
      <c r="H31" s="1651"/>
      <c r="I31" s="1627">
        <f t="shared" si="0"/>
        <v>0</v>
      </c>
      <c r="J31" s="1003"/>
      <c r="K31" s="1030"/>
      <c r="L31" s="935"/>
      <c r="M31" s="1401"/>
      <c r="N31" s="936"/>
      <c r="O31" s="936"/>
      <c r="P31" s="869"/>
      <c r="Q31" s="933"/>
      <c r="R31" s="886"/>
      <c r="S31" s="933"/>
      <c r="T31" s="845"/>
      <c r="U31" s="1007">
        <v>1</v>
      </c>
      <c r="V31" s="1007">
        <v>0</v>
      </c>
      <c r="W31"/>
      <c r="X31" s="972">
        <f>U31*G31</f>
        <v>0</v>
      </c>
      <c r="Y31" s="972"/>
      <c r="Z31" s="972">
        <f>V31*G31</f>
        <v>0</v>
      </c>
      <c r="AA31"/>
      <c r="AB31" s="972">
        <v>0</v>
      </c>
    </row>
    <row r="32" spans="1:28" ht="16.5" customHeight="1">
      <c r="A32" s="690"/>
      <c r="B32" s="845"/>
      <c r="C32" s="1623" t="s">
        <v>94</v>
      </c>
      <c r="D32" s="1623"/>
      <c r="E32" s="1652"/>
      <c r="F32" s="1653"/>
      <c r="G32" s="1647">
        <f>F33+F35</f>
        <v>48821767</v>
      </c>
      <c r="H32" s="1648"/>
      <c r="I32" s="1627">
        <f t="shared" si="0"/>
        <v>321195.83552631579</v>
      </c>
      <c r="J32" s="1003"/>
      <c r="K32" s="1031"/>
      <c r="L32" s="1001"/>
      <c r="M32" s="1032"/>
      <c r="N32" s="1033"/>
      <c r="O32" s="1033"/>
      <c r="P32" s="869"/>
      <c r="Q32" s="933"/>
      <c r="R32" s="886"/>
      <c r="S32" s="933"/>
      <c r="T32" s="845"/>
      <c r="U32" s="1007">
        <v>1</v>
      </c>
      <c r="V32" s="1007">
        <v>0</v>
      </c>
      <c r="W32"/>
      <c r="X32" s="972">
        <f>F33+F35+(U32*F36)</f>
        <v>53703943.700000003</v>
      </c>
      <c r="Y32" s="972"/>
      <c r="Z32" s="972">
        <f>F34+(V32*F36)</f>
        <v>0</v>
      </c>
      <c r="AA32"/>
      <c r="AB32" s="972">
        <v>881388.24230769218</v>
      </c>
    </row>
    <row r="33" spans="1:28" ht="16.5" customHeight="1">
      <c r="A33" s="690"/>
      <c r="B33" s="845"/>
      <c r="C33" s="1623"/>
      <c r="D33" s="1623" t="s">
        <v>669</v>
      </c>
      <c r="E33" s="1654">
        <v>300</v>
      </c>
      <c r="F33" s="1655">
        <f>E33*'Construction Calculation'!C14</f>
        <v>44503200</v>
      </c>
      <c r="G33" s="1647"/>
      <c r="H33" s="1648"/>
      <c r="I33" s="1627"/>
      <c r="J33" s="1003"/>
      <c r="K33" s="1004"/>
      <c r="L33" s="1004"/>
      <c r="M33" s="1034"/>
      <c r="N33" s="1035"/>
      <c r="O33" s="1035"/>
      <c r="P33" s="845"/>
      <c r="Q33" s="933"/>
      <c r="R33" s="845"/>
      <c r="S33" s="845"/>
      <c r="T33" s="845"/>
      <c r="U33" s="1007"/>
      <c r="V33" s="1007"/>
      <c r="W33"/>
      <c r="X33" s="972"/>
      <c r="Y33" s="972"/>
      <c r="Z33" s="972"/>
      <c r="AA33"/>
      <c r="AB33" s="972"/>
    </row>
    <row r="34" spans="1:28" ht="16.5" customHeight="1">
      <c r="A34" s="690"/>
      <c r="B34" s="845"/>
      <c r="C34" s="1623"/>
      <c r="D34" s="1623" t="s">
        <v>709</v>
      </c>
      <c r="E34" s="1654">
        <v>35</v>
      </c>
      <c r="F34" s="1655">
        <v>0</v>
      </c>
      <c r="G34" s="1647"/>
      <c r="H34" s="1648"/>
      <c r="I34" s="1627">
        <f t="shared" si="0"/>
        <v>0</v>
      </c>
      <c r="J34" s="1003"/>
      <c r="K34" s="1036"/>
      <c r="L34" s="1036"/>
      <c r="M34" s="1002"/>
      <c r="N34" s="935"/>
      <c r="O34" s="845"/>
      <c r="P34" s="869"/>
      <c r="Q34" s="933"/>
      <c r="R34" s="845"/>
      <c r="S34" s="890"/>
      <c r="T34" s="845"/>
      <c r="U34" s="1007"/>
      <c r="V34" s="1007"/>
      <c r="W34"/>
      <c r="X34" s="972"/>
      <c r="Y34" s="972"/>
      <c r="Z34" s="972"/>
      <c r="AA34"/>
      <c r="AB34" s="972"/>
    </row>
    <row r="35" spans="1:28" ht="16.5" customHeight="1">
      <c r="A35" s="690"/>
      <c r="B35" s="845"/>
      <c r="C35" s="1623"/>
      <c r="D35" s="1623" t="s">
        <v>691</v>
      </c>
      <c r="E35" s="1654">
        <f>'Construction Calculation'!G49</f>
        <v>143</v>
      </c>
      <c r="F35" s="1655">
        <f>'Construction Calculation'!I55</f>
        <v>4318567.0000000009</v>
      </c>
      <c r="G35" s="1647">
        <f>0*F35</f>
        <v>0</v>
      </c>
      <c r="H35" s="1648"/>
      <c r="I35" s="1627">
        <f t="shared" si="0"/>
        <v>0</v>
      </c>
      <c r="J35" s="1003"/>
      <c r="K35" s="1004"/>
      <c r="L35" s="1004"/>
      <c r="M35" s="971"/>
      <c r="N35" s="1178"/>
      <c r="O35" s="935"/>
      <c r="P35" s="845"/>
      <c r="Q35" s="1037"/>
      <c r="R35" s="845"/>
      <c r="S35" s="845"/>
      <c r="T35" s="1038"/>
      <c r="U35" s="1007"/>
      <c r="V35" s="1007"/>
      <c r="W35"/>
      <c r="X35" s="972"/>
      <c r="Y35" s="972"/>
      <c r="Z35" s="972"/>
      <c r="AA35"/>
      <c r="AB35" s="972"/>
    </row>
    <row r="36" spans="1:28" ht="16.5" customHeight="1">
      <c r="A36" s="690"/>
      <c r="B36" s="845"/>
      <c r="C36" s="1631"/>
      <c r="D36" s="1623" t="s">
        <v>710</v>
      </c>
      <c r="E36" s="1656">
        <v>0.1</v>
      </c>
      <c r="F36" s="1657">
        <f>E36*(G32+G31+G30)</f>
        <v>4882176.7</v>
      </c>
      <c r="G36" s="1630">
        <f>F36</f>
        <v>4882176.7</v>
      </c>
      <c r="H36" s="1627"/>
      <c r="I36" s="1627">
        <f t="shared" si="0"/>
        <v>32119.583552631579</v>
      </c>
      <c r="J36" s="1003"/>
      <c r="K36" s="1004"/>
      <c r="L36" s="1004"/>
      <c r="M36" s="1002"/>
      <c r="N36" s="845"/>
      <c r="O36" s="845"/>
      <c r="P36" s="845"/>
      <c r="Q36" s="845"/>
      <c r="R36" s="845"/>
      <c r="S36" s="845"/>
      <c r="T36" s="845"/>
      <c r="U36" s="1007"/>
      <c r="V36" s="1007"/>
      <c r="W36"/>
      <c r="X36" s="972"/>
      <c r="Y36" s="972"/>
      <c r="Z36" s="972"/>
      <c r="AA36"/>
      <c r="AB36" s="972"/>
    </row>
    <row r="37" spans="1:28" ht="15.75">
      <c r="A37" s="3"/>
      <c r="B37" s="845"/>
      <c r="C37" s="1623" t="s">
        <v>711</v>
      </c>
      <c r="D37" s="1623"/>
      <c r="E37" s="1656">
        <v>7.0000000000000007E-2</v>
      </c>
      <c r="F37" s="1658"/>
      <c r="G37" s="1659">
        <f>SUM($G$29:$G$32,$G$20,$G$21)*E37</f>
        <v>3417523.6900000004</v>
      </c>
      <c r="H37" s="1660"/>
      <c r="I37" s="1627">
        <f t="shared" si="0"/>
        <v>22483.708486842108</v>
      </c>
      <c r="J37" s="1003"/>
      <c r="K37" s="1008"/>
      <c r="L37" s="1039"/>
      <c r="M37" s="1002"/>
      <c r="N37" s="1026"/>
      <c r="O37" s="1027"/>
      <c r="P37" s="845"/>
      <c r="Q37" s="845"/>
      <c r="R37" s="845"/>
      <c r="S37" s="845"/>
      <c r="T37" s="845"/>
      <c r="U37" s="1007">
        <v>1</v>
      </c>
      <c r="V37" s="1007">
        <v>0</v>
      </c>
      <c r="W37"/>
      <c r="X37" s="972">
        <f t="shared" ref="X37:X43" si="1">U37*G37</f>
        <v>3417523.6900000004</v>
      </c>
      <c r="Y37" s="972"/>
      <c r="Z37" s="972">
        <f t="shared" ref="Z37:Z43" si="2">V37*G37</f>
        <v>0</v>
      </c>
      <c r="AA37"/>
      <c r="AB37" s="972">
        <v>56088.342692307691</v>
      </c>
    </row>
    <row r="38" spans="1:28" ht="15.75">
      <c r="A38" s="690"/>
      <c r="B38" s="845"/>
      <c r="C38" s="1623" t="s">
        <v>712</v>
      </c>
      <c r="D38" s="1623"/>
      <c r="E38" s="1656">
        <v>0.05</v>
      </c>
      <c r="F38" s="1658"/>
      <c r="G38" s="1659">
        <f>SUM($G$29:$G$32,$G$20,$G$21)*E38</f>
        <v>2441088.35</v>
      </c>
      <c r="H38" s="1660"/>
      <c r="I38" s="1627">
        <f t="shared" si="0"/>
        <v>16059.791776315789</v>
      </c>
      <c r="J38" s="1003"/>
      <c r="K38" s="1001"/>
      <c r="L38" s="1001"/>
      <c r="M38"/>
      <c r="N38" s="1026"/>
      <c r="O38" s="1027"/>
      <c r="P38" s="845"/>
      <c r="Q38" s="845"/>
      <c r="R38" s="845"/>
      <c r="S38" s="845"/>
      <c r="T38" s="845"/>
      <c r="U38" s="1007">
        <v>1</v>
      </c>
      <c r="V38" s="1007">
        <v>0</v>
      </c>
      <c r="W38"/>
      <c r="X38" s="972">
        <f t="shared" si="1"/>
        <v>2441088.35</v>
      </c>
      <c r="Y38" s="972"/>
      <c r="Z38" s="972">
        <f t="shared" si="2"/>
        <v>0</v>
      </c>
      <c r="AA38"/>
      <c r="AB38" s="972">
        <v>40063.101923076923</v>
      </c>
    </row>
    <row r="39" spans="1:28" ht="15.75">
      <c r="A39" s="3"/>
      <c r="B39" s="845"/>
      <c r="C39" s="1623" t="s">
        <v>713</v>
      </c>
      <c r="D39" s="1623"/>
      <c r="E39" s="1656">
        <v>0</v>
      </c>
      <c r="F39" s="1658"/>
      <c r="G39" s="1659">
        <f>SUM($G$29:$G$32,$G$20,$G$21)*E39</f>
        <v>0</v>
      </c>
      <c r="H39" s="1660"/>
      <c r="I39" s="1627">
        <f t="shared" si="0"/>
        <v>0</v>
      </c>
      <c r="J39" s="1003"/>
      <c r="K39" s="1001"/>
      <c r="L39" s="1001"/>
      <c r="M39"/>
      <c r="N39" s="1026"/>
      <c r="O39" s="1027"/>
      <c r="P39" s="845"/>
      <c r="Q39" s="845"/>
      <c r="R39" s="845"/>
      <c r="S39" s="845"/>
      <c r="T39" s="845"/>
      <c r="U39" s="1007">
        <v>1</v>
      </c>
      <c r="V39" s="1007">
        <v>0</v>
      </c>
      <c r="W39"/>
      <c r="X39" s="972">
        <f t="shared" si="1"/>
        <v>0</v>
      </c>
      <c r="Y39" s="972"/>
      <c r="Z39" s="972">
        <f t="shared" si="2"/>
        <v>0</v>
      </c>
      <c r="AA39"/>
      <c r="AB39" s="972">
        <v>0</v>
      </c>
    </row>
    <row r="40" spans="1:28" ht="15.75">
      <c r="A40" s="3"/>
      <c r="B40" s="845"/>
      <c r="C40" s="1623" t="s">
        <v>714</v>
      </c>
      <c r="D40" s="1623"/>
      <c r="E40" s="1656">
        <v>1.4999999999999999E-2</v>
      </c>
      <c r="F40" s="1658"/>
      <c r="G40" s="1659">
        <f>SUM($G$29:$G$32,$G$20,$G$21)*E40</f>
        <v>732326.505</v>
      </c>
      <c r="H40" s="1660"/>
      <c r="I40" s="1627">
        <f t="shared" si="0"/>
        <v>4817.9375328947372</v>
      </c>
      <c r="J40" s="1003"/>
      <c r="K40" s="1001"/>
      <c r="L40" s="1001"/>
      <c r="M40" s="1002"/>
      <c r="N40" s="1026"/>
      <c r="O40" s="1027"/>
      <c r="P40" s="845"/>
      <c r="Q40" s="845"/>
      <c r="R40" s="845"/>
      <c r="S40" s="845"/>
      <c r="T40" s="845"/>
      <c r="U40" s="1007">
        <v>1</v>
      </c>
      <c r="V40" s="1007">
        <v>0</v>
      </c>
      <c r="W40"/>
      <c r="X40" s="972">
        <f t="shared" si="1"/>
        <v>732326.505</v>
      </c>
      <c r="Y40" s="972"/>
      <c r="Z40" s="972">
        <f t="shared" si="2"/>
        <v>0</v>
      </c>
      <c r="AA40"/>
      <c r="AB40" s="972">
        <v>12018.930576923076</v>
      </c>
    </row>
    <row r="41" spans="1:28" ht="15.75">
      <c r="A41" s="3"/>
      <c r="B41" s="845"/>
      <c r="C41" s="1623" t="s">
        <v>715</v>
      </c>
      <c r="D41" s="1623"/>
      <c r="E41" s="1656">
        <v>1.4999999999999999E-2</v>
      </c>
      <c r="F41" s="1661"/>
      <c r="G41" s="1659">
        <f>SUM($G$29:$G$33,$G$20,$G$21)*E41</f>
        <v>732326.505</v>
      </c>
      <c r="H41" s="1660"/>
      <c r="I41" s="1627">
        <f t="shared" si="0"/>
        <v>4817.9375328947372</v>
      </c>
      <c r="J41" s="1003"/>
      <c r="K41" s="1001"/>
      <c r="L41" s="1001"/>
      <c r="M41" s="1002"/>
      <c r="N41" s="845"/>
      <c r="O41" s="845"/>
      <c r="P41" s="845"/>
      <c r="Q41" s="845"/>
      <c r="R41" s="845"/>
      <c r="S41" s="845"/>
      <c r="T41" s="845"/>
      <c r="U41" s="1007">
        <v>1</v>
      </c>
      <c r="V41" s="1007">
        <v>0</v>
      </c>
      <c r="W41"/>
      <c r="X41" s="972">
        <f t="shared" si="1"/>
        <v>732326.505</v>
      </c>
      <c r="Y41" s="972"/>
      <c r="Z41" s="972">
        <f t="shared" si="2"/>
        <v>0</v>
      </c>
      <c r="AA41"/>
      <c r="AB41" s="972">
        <v>12018.930576923076</v>
      </c>
    </row>
    <row r="42" spans="1:28" ht="15.75">
      <c r="A42" s="3"/>
      <c r="B42" s="845"/>
      <c r="C42" s="1623" t="s">
        <v>224</v>
      </c>
      <c r="D42" s="1623"/>
      <c r="E42" s="1656">
        <v>0</v>
      </c>
      <c r="F42" s="1662"/>
      <c r="G42" s="1659">
        <f>SUM($G$29:$G$32,$G$20,$G$21)*E42</f>
        <v>0</v>
      </c>
      <c r="H42" s="1660"/>
      <c r="I42" s="1627">
        <f t="shared" si="0"/>
        <v>0</v>
      </c>
      <c r="J42" s="1003"/>
      <c r="K42" s="1001"/>
      <c r="L42" s="1001"/>
      <c r="M42" s="1002"/>
      <c r="N42" s="845"/>
      <c r="O42" s="845"/>
      <c r="P42" s="845"/>
      <c r="Q42" s="845"/>
      <c r="R42" s="845"/>
      <c r="S42" s="845"/>
      <c r="T42" s="845"/>
      <c r="U42" s="1007">
        <v>1</v>
      </c>
      <c r="V42" s="1007">
        <v>0</v>
      </c>
      <c r="W42"/>
      <c r="X42" s="972">
        <f t="shared" si="1"/>
        <v>0</v>
      </c>
      <c r="Y42" s="972"/>
      <c r="Z42" s="972">
        <f t="shared" si="2"/>
        <v>0</v>
      </c>
      <c r="AA42"/>
      <c r="AB42" s="972">
        <v>0</v>
      </c>
    </row>
    <row r="43" spans="1:28" ht="15.75">
      <c r="A43" s="3"/>
      <c r="B43" s="845"/>
      <c r="C43" s="1631" t="s">
        <v>716</v>
      </c>
      <c r="D43" s="1658"/>
      <c r="E43" s="1656">
        <v>0</v>
      </c>
      <c r="F43" s="1658"/>
      <c r="G43" s="1659">
        <f>SUM($G$29:$G$32,$G$20,$G$21)*E43</f>
        <v>0</v>
      </c>
      <c r="H43" s="1660"/>
      <c r="I43" s="1627">
        <f t="shared" si="0"/>
        <v>0</v>
      </c>
      <c r="J43" s="1003"/>
      <c r="K43" s="1024"/>
      <c r="L43" s="1024"/>
      <c r="M43" s="1002"/>
      <c r="N43"/>
      <c r="O43"/>
      <c r="P43" s="845"/>
      <c r="Q43" s="845"/>
      <c r="R43" s="845"/>
      <c r="S43" s="845"/>
      <c r="T43" s="845"/>
      <c r="U43" s="1007">
        <v>1</v>
      </c>
      <c r="V43" s="1007">
        <v>0</v>
      </c>
      <c r="W43"/>
      <c r="X43" s="972">
        <f t="shared" si="1"/>
        <v>0</v>
      </c>
      <c r="Y43" s="972"/>
      <c r="Z43" s="972">
        <f t="shared" si="2"/>
        <v>0</v>
      </c>
      <c r="AA43"/>
      <c r="AB43" s="972">
        <v>0</v>
      </c>
    </row>
    <row r="44" spans="1:28" ht="16.5" thickBot="1">
      <c r="A44" s="1179"/>
      <c r="B44" s="1180"/>
      <c r="C44" s="1663" t="s">
        <v>717</v>
      </c>
      <c r="D44" s="1664"/>
      <c r="E44" s="1665"/>
      <c r="F44" s="1666"/>
      <c r="G44" s="1667">
        <f>SUM(G30:G43)+G23+G24</f>
        <v>61177208.750000007</v>
      </c>
      <c r="H44" s="1668"/>
      <c r="I44" s="1644">
        <f t="shared" si="0"/>
        <v>402481.63651315792</v>
      </c>
      <c r="J44" s="1040"/>
      <c r="K44" s="1028"/>
      <c r="L44" s="1041"/>
      <c r="M44" s="1042"/>
      <c r="N44" s="845"/>
      <c r="O44" s="845"/>
      <c r="P44" s="845"/>
      <c r="Q44" s="845"/>
      <c r="R44" s="845"/>
      <c r="S44" s="845"/>
      <c r="T44" s="845"/>
      <c r="U44" s="1007"/>
      <c r="V44" s="1007"/>
      <c r="W44"/>
      <c r="X44" s="972">
        <f>SUM(X30:X43)+X23+X24</f>
        <v>61177208.750000007</v>
      </c>
      <c r="Y44" s="972"/>
      <c r="Z44" s="972">
        <f>SUM(Z30:Z43)+Z23+Z24</f>
        <v>0</v>
      </c>
      <c r="AA44"/>
      <c r="AB44" s="972">
        <v>1009497.5480769229</v>
      </c>
    </row>
    <row r="45" spans="1:28" ht="16.5" thickTop="1">
      <c r="A45" s="939"/>
      <c r="B45" s="845"/>
      <c r="C45" s="1645" t="s">
        <v>718</v>
      </c>
      <c r="D45" s="1623"/>
      <c r="E45" s="1669">
        <v>0</v>
      </c>
      <c r="F45" s="1670"/>
      <c r="G45" s="1671">
        <f>E45*G44</f>
        <v>0</v>
      </c>
      <c r="H45" s="1672"/>
      <c r="I45" s="1627">
        <f t="shared" si="0"/>
        <v>0</v>
      </c>
      <c r="J45" s="1040"/>
      <c r="K45" s="1015"/>
      <c r="L45" s="1015"/>
      <c r="M45" s="1042"/>
      <c r="N45" s="845"/>
      <c r="O45" s="845"/>
      <c r="P45" s="845"/>
      <c r="Q45" s="936"/>
      <c r="R45" s="845"/>
      <c r="S45" s="845"/>
      <c r="T45" s="845"/>
      <c r="U45" s="1007">
        <v>1</v>
      </c>
      <c r="V45" s="1007">
        <v>0</v>
      </c>
      <c r="W45"/>
      <c r="X45" s="972">
        <f>U45*G45</f>
        <v>0</v>
      </c>
      <c r="Y45" s="972"/>
      <c r="Z45" s="972">
        <f>V45*G45</f>
        <v>0</v>
      </c>
      <c r="AA45"/>
      <c r="AB45" s="972">
        <v>0</v>
      </c>
    </row>
    <row r="46" spans="1:28" ht="15.75" thickBot="1">
      <c r="A46" s="1179"/>
      <c r="B46" s="1183"/>
      <c r="C46" s="1663" t="s">
        <v>719</v>
      </c>
      <c r="D46" s="1673"/>
      <c r="E46" s="1674"/>
      <c r="F46" s="1675"/>
      <c r="G46" s="1642">
        <f>SUM(G44:G45)</f>
        <v>61177208.750000007</v>
      </c>
      <c r="H46" s="1643"/>
      <c r="I46" s="1644">
        <f t="shared" si="0"/>
        <v>402481.63651315792</v>
      </c>
      <c r="J46" s="1016"/>
      <c r="K46" s="1015"/>
      <c r="L46" s="1015"/>
      <c r="M46" s="1043"/>
      <c r="N46" s="1044"/>
      <c r="O46" s="1044"/>
      <c r="P46" s="858"/>
      <c r="Q46" s="858"/>
      <c r="R46" s="858"/>
      <c r="S46" s="858"/>
      <c r="T46" s="858"/>
      <c r="U46" s="1020"/>
      <c r="V46" s="1020"/>
      <c r="W46" s="1021"/>
      <c r="X46" s="1023">
        <f>X44+X45</f>
        <v>61177208.750000007</v>
      </c>
      <c r="Y46" s="1023"/>
      <c r="Z46" s="1023">
        <f>Z44+Z45</f>
        <v>0</v>
      </c>
      <c r="AA46" s="1021"/>
      <c r="AB46" s="1023">
        <v>1009497.5480769229</v>
      </c>
    </row>
    <row r="47" spans="1:28" ht="16.5" thickTop="1">
      <c r="A47" s="3"/>
      <c r="B47" s="845"/>
      <c r="C47" s="1645" t="s">
        <v>720</v>
      </c>
      <c r="D47" s="1623"/>
      <c r="E47" s="1676">
        <v>0.1</v>
      </c>
      <c r="F47" s="1677">
        <v>0.15</v>
      </c>
      <c r="G47" s="1647">
        <f>(E47*G46)</f>
        <v>6117720.8750000009</v>
      </c>
      <c r="H47" s="1648"/>
      <c r="I47" s="1627">
        <f t="shared" si="0"/>
        <v>40248.163651315794</v>
      </c>
      <c r="J47" s="1003"/>
      <c r="K47" s="1001"/>
      <c r="L47" s="1001"/>
      <c r="M47" s="1002"/>
      <c r="N47" s="1010"/>
      <c r="O47" s="1010"/>
      <c r="P47" s="845"/>
      <c r="Q47" s="845"/>
      <c r="R47" s="845"/>
      <c r="S47" s="845"/>
      <c r="T47" s="845"/>
      <c r="U47" s="1007">
        <v>1</v>
      </c>
      <c r="V47" s="1007">
        <v>0</v>
      </c>
      <c r="W47"/>
      <c r="X47" s="972">
        <f>U47*G47</f>
        <v>6117720.8750000009</v>
      </c>
      <c r="Y47" s="972"/>
      <c r="Z47" s="972">
        <f>V47*G47</f>
        <v>0</v>
      </c>
      <c r="AA47"/>
      <c r="AB47" s="972">
        <v>100949.7548076923</v>
      </c>
    </row>
    <row r="48" spans="1:28" ht="15.75">
      <c r="A48" s="3"/>
      <c r="B48" s="845"/>
      <c r="C48" s="1678" t="s">
        <v>721</v>
      </c>
      <c r="D48" s="1623"/>
      <c r="E48" s="1679"/>
      <c r="F48" s="1680"/>
      <c r="G48" s="1647"/>
      <c r="H48" s="1648"/>
      <c r="I48" s="1627">
        <f t="shared" si="0"/>
        <v>0</v>
      </c>
      <c r="J48" s="1003"/>
      <c r="K48" s="1001"/>
      <c r="L48" s="1001"/>
      <c r="M48" s="1002"/>
      <c r="N48" s="845"/>
      <c r="O48" s="845"/>
      <c r="P48" s="1045"/>
      <c r="Q48" s="845"/>
      <c r="R48" s="845"/>
      <c r="S48" s="845"/>
      <c r="T48" s="845"/>
      <c r="U48" s="1007"/>
      <c r="V48" s="1007"/>
      <c r="W48"/>
      <c r="X48" s="972"/>
      <c r="Y48" s="972"/>
      <c r="Z48" s="972"/>
      <c r="AA48"/>
      <c r="AB48" s="972"/>
    </row>
    <row r="49" spans="1:28" ht="15.75">
      <c r="A49" s="3"/>
      <c r="B49" s="845"/>
      <c r="C49" s="1681"/>
      <c r="D49" s="1623" t="s">
        <v>771</v>
      </c>
      <c r="E49" s="1653"/>
      <c r="F49" s="1653">
        <f>335*F9</f>
        <v>50920</v>
      </c>
      <c r="G49" s="1682">
        <f>F49</f>
        <v>50920</v>
      </c>
      <c r="H49" s="1683"/>
      <c r="I49" s="1627">
        <f t="shared" si="0"/>
        <v>335</v>
      </c>
      <c r="J49" s="1046"/>
      <c r="K49" s="1024"/>
      <c r="L49" s="1025"/>
      <c r="M49" s="1002"/>
      <c r="N49"/>
      <c r="O49"/>
      <c r="P49" s="1047"/>
      <c r="Q49" s="845"/>
      <c r="R49" s="845"/>
      <c r="S49" s="845"/>
      <c r="T49" s="845"/>
      <c r="U49" s="1007"/>
      <c r="V49" s="1007"/>
      <c r="W49"/>
      <c r="X49" s="972"/>
      <c r="Y49" s="972"/>
      <c r="Z49" s="972"/>
      <c r="AA49"/>
      <c r="AB49" s="972"/>
    </row>
    <row r="50" spans="1:28" ht="15.75">
      <c r="A50" s="3"/>
      <c r="B50" s="845"/>
      <c r="C50" s="1681"/>
      <c r="D50" s="1623" t="s">
        <v>772</v>
      </c>
      <c r="E50" s="1653">
        <v>0</v>
      </c>
      <c r="F50" s="1653">
        <f>368*F9</f>
        <v>55936</v>
      </c>
      <c r="G50" s="1682">
        <f>F50</f>
        <v>55936</v>
      </c>
      <c r="H50" s="1683"/>
      <c r="I50" s="1627">
        <f t="shared" si="0"/>
        <v>368</v>
      </c>
      <c r="J50" s="1046"/>
      <c r="K50" s="1024"/>
      <c r="L50" s="1001"/>
      <c r="M50" s="1002"/>
      <c r="N50"/>
      <c r="O50"/>
      <c r="P50" s="845"/>
      <c r="Q50" s="845"/>
      <c r="R50" s="845"/>
      <c r="S50" s="845"/>
      <c r="T50" s="845"/>
      <c r="U50" s="1007"/>
      <c r="V50" s="1007"/>
      <c r="W50"/>
      <c r="X50" s="972"/>
      <c r="Y50" s="972"/>
      <c r="Z50" s="972"/>
      <c r="AA50"/>
      <c r="AB50" s="972"/>
    </row>
    <row r="51" spans="1:28" ht="15.75">
      <c r="A51" s="3"/>
      <c r="B51" s="845"/>
      <c r="C51" s="1678"/>
      <c r="D51" s="1623" t="s">
        <v>773</v>
      </c>
      <c r="E51" s="1680">
        <v>0</v>
      </c>
      <c r="F51" s="1680">
        <v>1225</v>
      </c>
      <c r="G51" s="1682">
        <f>F51</f>
        <v>1225</v>
      </c>
      <c r="H51" s="1648"/>
      <c r="I51" s="1627">
        <f t="shared" si="0"/>
        <v>8.0592105263157894</v>
      </c>
      <c r="J51" s="1003"/>
      <c r="K51" s="1024"/>
      <c r="L51" s="1001"/>
      <c r="M51" s="1002"/>
      <c r="N51" s="845"/>
      <c r="O51" s="845"/>
      <c r="P51" s="845"/>
      <c r="Q51" s="845"/>
      <c r="R51" s="845"/>
      <c r="S51" s="845"/>
      <c r="T51" s="845"/>
      <c r="U51" s="1007"/>
      <c r="V51" s="1007"/>
      <c r="W51"/>
      <c r="X51" s="972"/>
      <c r="Y51" s="972"/>
      <c r="Z51" s="972"/>
      <c r="AA51"/>
      <c r="AB51" s="972"/>
    </row>
    <row r="52" spans="1:28">
      <c r="A52" s="3"/>
      <c r="B52" s="858"/>
      <c r="C52" s="1678" t="s">
        <v>774</v>
      </c>
      <c r="D52" s="1645"/>
      <c r="E52" s="1684"/>
      <c r="F52" s="1685"/>
      <c r="G52" s="1686">
        <f>SUM(F49:F51)</f>
        <v>108081</v>
      </c>
      <c r="H52" s="1687"/>
      <c r="I52" s="1627">
        <f t="shared" si="0"/>
        <v>711.05921052631584</v>
      </c>
      <c r="J52" s="1048"/>
      <c r="K52" s="1049"/>
      <c r="L52" s="1015"/>
      <c r="M52" s="1050"/>
      <c r="N52" s="858"/>
      <c r="O52" s="858"/>
      <c r="P52" s="858"/>
      <c r="Q52" s="858"/>
      <c r="R52" s="858"/>
      <c r="S52" s="858"/>
      <c r="T52" s="858"/>
      <c r="U52" s="1020">
        <v>1</v>
      </c>
      <c r="V52" s="1020">
        <v>0</v>
      </c>
      <c r="W52" s="1021"/>
      <c r="X52" s="1023">
        <f>U52*G52</f>
        <v>108081</v>
      </c>
      <c r="Y52" s="1023"/>
      <c r="Z52" s="1023">
        <f>V52*G52</f>
        <v>0</v>
      </c>
      <c r="AA52" s="1021"/>
      <c r="AB52" s="1023">
        <v>2470.94</v>
      </c>
    </row>
    <row r="53" spans="1:28" ht="15.75">
      <c r="A53" s="3"/>
      <c r="B53" s="845"/>
      <c r="C53" s="1645" t="s">
        <v>775</v>
      </c>
      <c r="D53" s="1623"/>
      <c r="E53" s="1688"/>
      <c r="F53" s="1670"/>
      <c r="G53" s="1647"/>
      <c r="H53" s="1648"/>
      <c r="I53" s="1627">
        <f t="shared" si="0"/>
        <v>0</v>
      </c>
      <c r="J53" s="1051"/>
      <c r="K53" s="1049"/>
      <c r="L53" s="1001"/>
      <c r="M53" s="1002"/>
      <c r="N53" s="845"/>
      <c r="O53" s="845"/>
      <c r="P53" s="845"/>
      <c r="Q53" s="845"/>
      <c r="R53" s="845"/>
      <c r="S53" s="845"/>
      <c r="T53" s="845"/>
      <c r="U53" s="1007"/>
      <c r="V53" s="1007"/>
      <c r="W53"/>
      <c r="X53" s="972"/>
      <c r="Y53" s="972"/>
      <c r="Z53" s="972"/>
      <c r="AA53"/>
      <c r="AB53" s="972"/>
    </row>
    <row r="54" spans="1:28" ht="15.75">
      <c r="A54" s="3"/>
      <c r="B54" s="845"/>
      <c r="C54" s="1623" t="s">
        <v>385</v>
      </c>
      <c r="D54" s="1623"/>
      <c r="E54" s="1689"/>
      <c r="F54" s="1670"/>
      <c r="G54" s="1647">
        <f>SUM(F55:F56)</f>
        <v>1739800</v>
      </c>
      <c r="H54" s="1648"/>
      <c r="I54" s="1627">
        <f t="shared" si="0"/>
        <v>11446.052631578947</v>
      </c>
      <c r="J54" s="1003"/>
      <c r="K54" s="1052"/>
      <c r="L54" s="1030"/>
      <c r="M54" s="1002"/>
      <c r="N54" s="845"/>
      <c r="O54" s="845"/>
      <c r="P54" s="936"/>
      <c r="Q54" s="845"/>
      <c r="R54" s="845"/>
      <c r="S54" s="845"/>
      <c r="T54" s="845"/>
      <c r="U54" s="1007">
        <v>1</v>
      </c>
      <c r="V54" s="1007">
        <v>0</v>
      </c>
      <c r="W54"/>
      <c r="X54" s="972">
        <f>G54</f>
        <v>1739800</v>
      </c>
      <c r="Y54" s="972"/>
      <c r="Z54" s="972"/>
      <c r="AA54"/>
      <c r="AB54" s="972">
        <v>40636.275750000001</v>
      </c>
    </row>
    <row r="55" spans="1:28" ht="15.75">
      <c r="A55" s="3"/>
      <c r="B55" s="845"/>
      <c r="C55" s="1623"/>
      <c r="D55" s="1623" t="s">
        <v>776</v>
      </c>
      <c r="E55" s="1631"/>
      <c r="F55" s="1660">
        <v>163800</v>
      </c>
      <c r="G55" s="1690"/>
      <c r="H55" s="1691"/>
      <c r="I55" s="1627">
        <f t="shared" si="0"/>
        <v>0</v>
      </c>
      <c r="J55" s="1051"/>
      <c r="K55" s="1054"/>
      <c r="L55" s="1001"/>
      <c r="M55" s="1050" t="s">
        <v>1089</v>
      </c>
      <c r="N55" s="845"/>
      <c r="O55" s="845"/>
      <c r="P55" s="936"/>
      <c r="Q55" s="845"/>
      <c r="R55" s="845"/>
      <c r="S55" s="845"/>
      <c r="T55" s="845"/>
      <c r="U55" s="1007"/>
      <c r="V55" s="1007"/>
      <c r="W55"/>
      <c r="X55" s="972"/>
      <c r="Y55" s="972"/>
      <c r="Z55" s="972"/>
      <c r="AA55"/>
      <c r="AB55" s="972"/>
    </row>
    <row r="56" spans="1:28" ht="15.75">
      <c r="A56" s="3"/>
      <c r="B56" s="845"/>
      <c r="C56" s="1623"/>
      <c r="D56" s="1623" t="s">
        <v>385</v>
      </c>
      <c r="E56" s="1669">
        <v>0.06</v>
      </c>
      <c r="F56" s="1653">
        <f>M56</f>
        <v>1576000</v>
      </c>
      <c r="G56" s="1690"/>
      <c r="H56" s="1691"/>
      <c r="I56" s="1627">
        <f>G56/$F$9</f>
        <v>0</v>
      </c>
      <c r="J56" s="1051"/>
      <c r="K56" s="1055" t="s">
        <v>984</v>
      </c>
      <c r="L56" s="1056"/>
      <c r="M56" s="1515">
        <f>SUM(M57:M58)</f>
        <v>1576000</v>
      </c>
      <c r="N56" s="935"/>
      <c r="O56" s="935"/>
      <c r="P56" s="936"/>
      <c r="Q56" s="845"/>
      <c r="R56" s="845"/>
      <c r="S56" s="845"/>
      <c r="T56" s="845"/>
      <c r="U56" s="1007"/>
      <c r="V56" s="1007"/>
      <c r="W56"/>
      <c r="X56" s="972"/>
      <c r="Y56" s="972"/>
      <c r="Z56" s="972"/>
      <c r="AA56"/>
      <c r="AB56" s="972"/>
    </row>
    <row r="57" spans="1:28" ht="15.75">
      <c r="A57" s="3"/>
      <c r="B57" s="845"/>
      <c r="C57" s="1623" t="s">
        <v>777</v>
      </c>
      <c r="D57" s="1623"/>
      <c r="E57" s="1692">
        <v>6.5000000000000002E-2</v>
      </c>
      <c r="F57" s="1653"/>
      <c r="G57" s="1693">
        <f>E57*F56</f>
        <v>102440</v>
      </c>
      <c r="H57" s="1694"/>
      <c r="I57" s="1627">
        <f t="shared" si="0"/>
        <v>673.9473684210526</v>
      </c>
      <c r="J57" s="1003"/>
      <c r="K57" s="1057"/>
      <c r="L57" s="1058"/>
      <c r="M57" s="1059">
        <f>(5000*F9)*1.6</f>
        <v>1216000</v>
      </c>
      <c r="N57" s="935"/>
      <c r="O57" s="935"/>
      <c r="P57" s="936"/>
      <c r="Q57" s="845"/>
      <c r="R57" s="845"/>
      <c r="S57" s="845"/>
      <c r="T57" s="845"/>
      <c r="U57" s="1060">
        <v>1</v>
      </c>
      <c r="V57" s="1007">
        <f>1-U57</f>
        <v>0</v>
      </c>
      <c r="W57"/>
      <c r="X57" s="972">
        <f>U57*G57</f>
        <v>102440</v>
      </c>
      <c r="Y57" s="972"/>
      <c r="Z57" s="972">
        <f>V57*G57</f>
        <v>0</v>
      </c>
      <c r="AA57"/>
      <c r="AB57" s="972">
        <v>2428.4179237500002</v>
      </c>
    </row>
    <row r="58" spans="1:28" ht="15.75">
      <c r="A58" s="3"/>
      <c r="B58" s="845"/>
      <c r="C58" s="1623" t="s">
        <v>778</v>
      </c>
      <c r="D58" s="1623"/>
      <c r="E58" s="1632"/>
      <c r="F58" s="1653"/>
      <c r="G58" s="1693">
        <v>30000</v>
      </c>
      <c r="H58" s="1694"/>
      <c r="I58" s="1627">
        <f t="shared" si="0"/>
        <v>197.36842105263159</v>
      </c>
      <c r="J58" s="1003"/>
      <c r="K58" s="1061"/>
      <c r="L58" s="1024"/>
      <c r="M58" s="1002">
        <f>24*15000</f>
        <v>360000</v>
      </c>
      <c r="N58" s="845"/>
      <c r="O58" s="845"/>
      <c r="P58" s="845"/>
      <c r="Q58" s="845"/>
      <c r="R58" s="845"/>
      <c r="S58" s="845"/>
      <c r="T58" s="845"/>
      <c r="U58" s="1007">
        <v>1</v>
      </c>
      <c r="V58" s="1007">
        <v>0</v>
      </c>
      <c r="W58"/>
      <c r="X58" s="972">
        <f>U58*G58</f>
        <v>30000</v>
      </c>
      <c r="Y58" s="972"/>
      <c r="Z58" s="972">
        <f>V58*G58</f>
        <v>0</v>
      </c>
      <c r="AA58"/>
      <c r="AB58" s="972">
        <v>600</v>
      </c>
    </row>
    <row r="59" spans="1:28">
      <c r="A59" s="939"/>
      <c r="B59" s="858"/>
      <c r="C59" s="1678" t="s">
        <v>966</v>
      </c>
      <c r="D59" s="1645"/>
      <c r="E59" s="1695"/>
      <c r="F59" s="1696"/>
      <c r="G59" s="1697">
        <f>SUM(G54:G58)-SUM(F75:F76,G78:G79,G67:G69)</f>
        <v>1528296.9781249999</v>
      </c>
      <c r="H59" s="1698"/>
      <c r="I59" s="1627">
        <f t="shared" si="0"/>
        <v>10054.585382401316</v>
      </c>
      <c r="J59" s="1048"/>
      <c r="K59" s="1062"/>
      <c r="L59" s="1063"/>
      <c r="M59" s="1064"/>
      <c r="N59" s="858"/>
      <c r="O59" s="858"/>
      <c r="P59" s="858"/>
      <c r="Q59" s="858"/>
      <c r="R59" s="858"/>
      <c r="S59" s="858"/>
      <c r="T59" s="858"/>
      <c r="U59" s="1020"/>
      <c r="V59" s="1020"/>
      <c r="W59" s="1021"/>
      <c r="X59" s="1023">
        <f>SUM(X54:X58)</f>
        <v>1872240</v>
      </c>
      <c r="Y59" s="1023"/>
      <c r="Z59" s="1023">
        <f>SUM(Z54:Z58)</f>
        <v>0</v>
      </c>
      <c r="AA59" s="1021"/>
      <c r="AB59" s="1023">
        <v>43664.693673750007</v>
      </c>
    </row>
    <row r="60" spans="1:28" ht="15.75" hidden="1">
      <c r="A60" s="3"/>
      <c r="B60" s="845"/>
      <c r="C60" s="1645" t="s">
        <v>967</v>
      </c>
      <c r="D60" s="1623"/>
      <c r="E60" s="1689"/>
      <c r="F60" s="1653"/>
      <c r="G60" s="1690"/>
      <c r="H60" s="1691"/>
      <c r="I60" s="1627">
        <f t="shared" si="0"/>
        <v>0</v>
      </c>
      <c r="J60" s="1051"/>
      <c r="K60" s="1049" t="s">
        <v>779</v>
      </c>
      <c r="L60" s="1015"/>
      <c r="M60" s="1002"/>
      <c r="N60" s="845"/>
      <c r="O60" s="845"/>
      <c r="P60" s="845"/>
      <c r="Q60" s="845"/>
      <c r="R60" s="845"/>
      <c r="S60" s="845"/>
      <c r="T60" s="845"/>
      <c r="U60" s="1007"/>
      <c r="V60" s="1007"/>
      <c r="W60"/>
      <c r="X60" s="972"/>
      <c r="Y60" s="972"/>
      <c r="Z60" s="972"/>
      <c r="AA60"/>
      <c r="AB60" s="972"/>
    </row>
    <row r="61" spans="1:28" ht="15.75" hidden="1">
      <c r="A61" s="939"/>
      <c r="B61" s="845"/>
      <c r="C61" s="1623" t="s">
        <v>385</v>
      </c>
      <c r="D61" s="1623"/>
      <c r="E61" s="1689"/>
      <c r="F61" s="1670"/>
      <c r="G61" s="1647">
        <v>0</v>
      </c>
      <c r="H61" s="1648"/>
      <c r="I61" s="1627">
        <f t="shared" si="0"/>
        <v>0</v>
      </c>
      <c r="J61" s="1003"/>
      <c r="K61" s="1054"/>
      <c r="L61" s="1001"/>
      <c r="M61" s="1002"/>
      <c r="N61" s="845"/>
      <c r="O61" s="845"/>
      <c r="P61" s="845"/>
      <c r="Q61" s="845"/>
      <c r="R61" s="845"/>
      <c r="S61" s="845"/>
      <c r="T61" s="845"/>
      <c r="U61" s="1007">
        <f>1-V61</f>
        <v>0</v>
      </c>
      <c r="V61" s="1060">
        <v>1</v>
      </c>
      <c r="W61"/>
      <c r="X61" s="972">
        <f>U61*G61</f>
        <v>0</v>
      </c>
      <c r="Y61" s="972"/>
      <c r="Z61" s="972">
        <f>V61*G61</f>
        <v>0</v>
      </c>
      <c r="AA61"/>
      <c r="AB61" s="972">
        <v>0</v>
      </c>
    </row>
    <row r="62" spans="1:28" ht="15.75" hidden="1">
      <c r="A62" s="939"/>
      <c r="B62" s="845"/>
      <c r="C62" s="1623"/>
      <c r="D62" s="1623" t="s">
        <v>776</v>
      </c>
      <c r="E62" s="1689"/>
      <c r="F62" s="1660">
        <v>0</v>
      </c>
      <c r="G62" s="1690"/>
      <c r="H62" s="1691"/>
      <c r="I62" s="1627">
        <f t="shared" si="0"/>
        <v>0</v>
      </c>
      <c r="J62" s="1051"/>
      <c r="K62" s="1054"/>
      <c r="L62" s="1001"/>
      <c r="M62" s="1002"/>
      <c r="N62" s="845"/>
      <c r="O62" s="845"/>
      <c r="P62" s="845"/>
      <c r="Q62" s="845"/>
      <c r="R62" s="845"/>
      <c r="S62" s="845"/>
      <c r="T62" s="845"/>
      <c r="U62" s="1007"/>
      <c r="V62" s="1007"/>
      <c r="W62"/>
      <c r="X62" s="972"/>
      <c r="Y62" s="972"/>
      <c r="Z62" s="972"/>
      <c r="AA62"/>
      <c r="AB62" s="972"/>
    </row>
    <row r="63" spans="1:28" ht="15.75" hidden="1">
      <c r="A63" s="939"/>
      <c r="B63" s="845"/>
      <c r="C63" s="1623"/>
      <c r="D63" s="1623" t="s">
        <v>385</v>
      </c>
      <c r="E63" s="1679">
        <v>0.06</v>
      </c>
      <c r="F63" s="1653">
        <v>0</v>
      </c>
      <c r="G63" s="1690"/>
      <c r="H63" s="1691"/>
      <c r="I63" s="1627">
        <f t="shared" si="0"/>
        <v>0</v>
      </c>
      <c r="J63" s="1051"/>
      <c r="K63" s="1054"/>
      <c r="L63" s="1001"/>
      <c r="M63" s="1002"/>
      <c r="N63" s="845"/>
      <c r="O63" s="845"/>
      <c r="P63" s="845"/>
      <c r="Q63" s="845"/>
      <c r="R63" s="845"/>
      <c r="S63" s="845"/>
      <c r="T63" s="845"/>
      <c r="U63" s="1007"/>
      <c r="V63" s="1007"/>
      <c r="W63"/>
      <c r="X63" s="972"/>
      <c r="Y63" s="972"/>
      <c r="Z63" s="972"/>
      <c r="AA63"/>
      <c r="AB63" s="972"/>
    </row>
    <row r="64" spans="1:28" ht="15.75" hidden="1">
      <c r="A64" s="939"/>
      <c r="B64" s="845"/>
      <c r="C64" s="1623" t="s">
        <v>777</v>
      </c>
      <c r="D64" s="1623"/>
      <c r="E64" s="1632">
        <v>0.15</v>
      </c>
      <c r="F64" s="1699"/>
      <c r="G64" s="1700">
        <f>+E64*F63</f>
        <v>0</v>
      </c>
      <c r="H64" s="1646"/>
      <c r="I64" s="1627">
        <f t="shared" si="0"/>
        <v>0</v>
      </c>
      <c r="J64" s="1003"/>
      <c r="K64" s="1054"/>
      <c r="L64" s="1001"/>
      <c r="M64" s="1002"/>
      <c r="N64" s="845"/>
      <c r="O64" s="845"/>
      <c r="P64" s="845"/>
      <c r="Q64" s="845"/>
      <c r="R64" s="845"/>
      <c r="S64" s="845"/>
      <c r="T64" s="845"/>
      <c r="U64" s="1007">
        <f>1-V64</f>
        <v>0</v>
      </c>
      <c r="V64" s="1060">
        <v>1</v>
      </c>
      <c r="W64"/>
      <c r="X64" s="972">
        <f>U64*G64</f>
        <v>0</v>
      </c>
      <c r="Y64" s="972"/>
      <c r="Z64" s="972">
        <f>V64*G64</f>
        <v>0</v>
      </c>
      <c r="AA64"/>
      <c r="AB64" s="972">
        <v>0</v>
      </c>
    </row>
    <row r="65" spans="1:28" hidden="1">
      <c r="A65" s="939"/>
      <c r="B65" s="858"/>
      <c r="C65" s="1678" t="s">
        <v>780</v>
      </c>
      <c r="D65" s="1645"/>
      <c r="E65" s="1695"/>
      <c r="F65" s="1701"/>
      <c r="G65" s="1686">
        <f>SUM(G61:G64)</f>
        <v>0</v>
      </c>
      <c r="H65" s="1687"/>
      <c r="I65" s="1627">
        <f t="shared" si="0"/>
        <v>0</v>
      </c>
      <c r="J65" s="1048"/>
      <c r="K65" s="1062"/>
      <c r="L65" s="1063"/>
      <c r="M65" s="1064"/>
      <c r="N65" s="858"/>
      <c r="O65" s="858"/>
      <c r="P65" s="858"/>
      <c r="Q65" s="858"/>
      <c r="R65" s="858"/>
      <c r="S65" s="858"/>
      <c r="T65" s="858"/>
      <c r="U65" s="1020"/>
      <c r="V65" s="1020"/>
      <c r="W65" s="1021"/>
      <c r="X65" s="1023">
        <f>SUM(X61:X64)</f>
        <v>0</v>
      </c>
      <c r="Y65" s="1023"/>
      <c r="Z65" s="1023">
        <f>SUM(Z61:Z64)</f>
        <v>0</v>
      </c>
      <c r="AA65" s="1021"/>
      <c r="AB65" s="1023">
        <v>0</v>
      </c>
    </row>
    <row r="66" spans="1:28" ht="15.75">
      <c r="A66" s="939"/>
      <c r="B66" s="845"/>
      <c r="C66" s="1678" t="s">
        <v>368</v>
      </c>
      <c r="D66" s="1623"/>
      <c r="E66" s="1689"/>
      <c r="F66" s="1670"/>
      <c r="G66" s="1647"/>
      <c r="H66" s="1648"/>
      <c r="I66" s="1627">
        <f t="shared" si="0"/>
        <v>0</v>
      </c>
      <c r="J66" s="1003"/>
      <c r="K66" s="1054"/>
      <c r="L66" s="1001"/>
      <c r="M66" s="1002"/>
      <c r="N66" s="845"/>
      <c r="O66" s="845"/>
      <c r="P66" s="845"/>
      <c r="Q66" s="845"/>
      <c r="R66" s="845"/>
      <c r="S66" s="845"/>
      <c r="T66" s="845"/>
      <c r="U66" s="1007"/>
      <c r="V66" s="1007"/>
      <c r="W66"/>
      <c r="X66" s="972"/>
      <c r="Y66" s="972"/>
      <c r="Z66" s="972"/>
      <c r="AA66"/>
      <c r="AB66" s="972"/>
    </row>
    <row r="67" spans="1:28" ht="15.75">
      <c r="A67" s="939"/>
      <c r="B67" s="845"/>
      <c r="C67" s="1623" t="s">
        <v>781</v>
      </c>
      <c r="D67" s="1631"/>
      <c r="E67" s="1679">
        <v>2.5000000000000001E-3</v>
      </c>
      <c r="F67" s="1680"/>
      <c r="G67" s="1647">
        <f>(E67*G46)</f>
        <v>152943.02187500003</v>
      </c>
      <c r="H67" s="1648"/>
      <c r="I67" s="1627">
        <f t="shared" si="0"/>
        <v>1006.204091282895</v>
      </c>
      <c r="J67" s="1065"/>
      <c r="K67" s="1066" t="s">
        <v>782</v>
      </c>
      <c r="L67" s="1004"/>
      <c r="M67" s="1002"/>
      <c r="N67" s="845"/>
      <c r="O67" s="845"/>
      <c r="P67" s="845"/>
      <c r="Q67" s="845"/>
      <c r="R67" s="845"/>
      <c r="S67" s="845"/>
      <c r="T67" s="845"/>
      <c r="U67" s="1007">
        <v>1</v>
      </c>
      <c r="V67" s="1007">
        <v>0</v>
      </c>
      <c r="W67"/>
      <c r="X67" s="972">
        <f>U67*G67</f>
        <v>152943.02187500003</v>
      </c>
      <c r="Y67" s="972"/>
      <c r="Z67" s="972">
        <f>V67*G67</f>
        <v>0</v>
      </c>
      <c r="AA67"/>
      <c r="AB67" s="972">
        <v>2523.7438701923074</v>
      </c>
    </row>
    <row r="68" spans="1:28" ht="15.75">
      <c r="A68" s="3"/>
      <c r="B68" s="845"/>
      <c r="C68" s="1623" t="s">
        <v>783</v>
      </c>
      <c r="D68" s="1631"/>
      <c r="E68" s="1702">
        <v>0</v>
      </c>
      <c r="F68" s="1680"/>
      <c r="G68" s="1700">
        <v>7000</v>
      </c>
      <c r="H68" s="1646"/>
      <c r="I68" s="1627">
        <f t="shared" si="0"/>
        <v>46.05263157894737</v>
      </c>
      <c r="J68" s="1065"/>
      <c r="K68" s="1055"/>
      <c r="L68" s="1056"/>
      <c r="M68" s="1002"/>
      <c r="N68" s="845"/>
      <c r="O68" s="845"/>
      <c r="P68" s="845"/>
      <c r="Q68" s="845"/>
      <c r="R68" s="845"/>
      <c r="S68" s="845"/>
      <c r="T68" s="845"/>
      <c r="U68" s="1007">
        <v>1</v>
      </c>
      <c r="V68" s="1007">
        <v>0</v>
      </c>
      <c r="W68"/>
      <c r="X68" s="972">
        <f>U68*G68</f>
        <v>7000</v>
      </c>
      <c r="Y68" s="972"/>
      <c r="Z68" s="972">
        <f>V68*G68</f>
        <v>0</v>
      </c>
      <c r="AA68"/>
      <c r="AB68" s="972">
        <v>140</v>
      </c>
    </row>
    <row r="69" spans="1:28" ht="15.75">
      <c r="A69" s="939"/>
      <c r="B69" s="845"/>
      <c r="C69" s="1623" t="s">
        <v>395</v>
      </c>
      <c r="D69" s="1631"/>
      <c r="E69" s="1702"/>
      <c r="F69" s="1680"/>
      <c r="G69" s="1700">
        <f>F70+F71+F72+F73</f>
        <v>95000</v>
      </c>
      <c r="H69" s="1646"/>
      <c r="I69" s="1627">
        <f t="shared" si="0"/>
        <v>625</v>
      </c>
      <c r="J69" s="1003"/>
      <c r="K69" s="1054"/>
      <c r="L69" s="1001"/>
      <c r="M69" s="1002"/>
      <c r="N69" s="845"/>
      <c r="O69" s="845"/>
      <c r="P69" s="845"/>
      <c r="Q69" s="845"/>
      <c r="R69" s="845"/>
      <c r="S69" s="845"/>
      <c r="T69" s="845"/>
      <c r="U69" s="1007">
        <v>1</v>
      </c>
      <c r="V69" s="1007">
        <v>0</v>
      </c>
      <c r="W69"/>
      <c r="X69" s="972">
        <f>U69*G69</f>
        <v>95000</v>
      </c>
      <c r="Y69" s="972"/>
      <c r="Z69" s="972">
        <f>V69*G69</f>
        <v>0</v>
      </c>
      <c r="AA69"/>
      <c r="AB69" s="972">
        <v>1900</v>
      </c>
    </row>
    <row r="70" spans="1:28" ht="15.75">
      <c r="A70" s="3"/>
      <c r="B70" s="845"/>
      <c r="C70" s="1623"/>
      <c r="D70" s="1623" t="s">
        <v>784</v>
      </c>
      <c r="E70" s="1702"/>
      <c r="F70" s="1646">
        <v>0</v>
      </c>
      <c r="G70" s="1703"/>
      <c r="H70" s="1658"/>
      <c r="I70" s="1627">
        <f t="shared" si="0"/>
        <v>0</v>
      </c>
      <c r="J70" s="1003"/>
      <c r="K70" s="1067" t="s">
        <v>785</v>
      </c>
      <c r="L70" s="1025"/>
      <c r="M70" s="1002"/>
      <c r="N70" s="845"/>
      <c r="O70" s="845"/>
      <c r="P70" s="845"/>
      <c r="Q70" s="845"/>
      <c r="R70" s="845"/>
      <c r="S70" s="845"/>
      <c r="T70" s="845"/>
      <c r="U70" s="1007"/>
      <c r="V70" s="1007"/>
      <c r="W70"/>
      <c r="X70" s="972"/>
      <c r="Y70" s="972"/>
      <c r="Z70" s="972"/>
      <c r="AA70"/>
      <c r="AB70" s="972"/>
    </row>
    <row r="71" spans="1:28" ht="15.75">
      <c r="A71" s="939"/>
      <c r="B71" s="845"/>
      <c r="C71" s="1658"/>
      <c r="D71" s="1623" t="s">
        <v>786</v>
      </c>
      <c r="E71" s="1702"/>
      <c r="F71" s="1646">
        <v>8000</v>
      </c>
      <c r="G71" s="1703"/>
      <c r="H71" s="1658"/>
      <c r="I71" s="1627">
        <f t="shared" si="0"/>
        <v>0</v>
      </c>
      <c r="J71" s="1003"/>
      <c r="K71" s="1068"/>
      <c r="L71" s="1025"/>
      <c r="M71" s="1002"/>
      <c r="N71" s="845"/>
      <c r="O71" s="845"/>
      <c r="P71" s="845"/>
      <c r="Q71" s="845"/>
      <c r="R71" s="845"/>
      <c r="S71" s="845"/>
      <c r="T71" s="845"/>
      <c r="U71" s="1007"/>
      <c r="V71" s="1007"/>
      <c r="W71"/>
      <c r="X71" s="972"/>
      <c r="Y71" s="972"/>
      <c r="Z71" s="972"/>
      <c r="AA71"/>
      <c r="AB71" s="972"/>
    </row>
    <row r="72" spans="1:28" ht="15.75">
      <c r="A72" s="939"/>
      <c r="B72" s="845"/>
      <c r="C72" s="1658"/>
      <c r="D72" s="1623" t="s">
        <v>787</v>
      </c>
      <c r="E72" s="1702"/>
      <c r="F72" s="1646">
        <v>42000</v>
      </c>
      <c r="G72" s="1703"/>
      <c r="H72" s="1658"/>
      <c r="I72" s="1627">
        <f t="shared" si="0"/>
        <v>0</v>
      </c>
      <c r="J72" s="1003"/>
      <c r="K72" s="1068"/>
      <c r="L72" s="1025"/>
      <c r="M72" s="1002"/>
      <c r="N72" s="845"/>
      <c r="O72" s="845"/>
      <c r="P72" s="845"/>
      <c r="Q72" s="845"/>
      <c r="R72" s="845"/>
      <c r="S72" s="845"/>
      <c r="T72" s="845"/>
      <c r="U72" s="1007"/>
      <c r="V72" s="1007"/>
      <c r="W72"/>
      <c r="X72" s="972"/>
      <c r="Y72" s="972"/>
      <c r="Z72" s="972"/>
      <c r="AA72"/>
      <c r="AB72" s="972"/>
    </row>
    <row r="73" spans="1:28" ht="15.75">
      <c r="A73" s="939"/>
      <c r="B73" s="845"/>
      <c r="C73" s="1658"/>
      <c r="D73" s="1623" t="s">
        <v>773</v>
      </c>
      <c r="E73" s="1702"/>
      <c r="F73" s="1646">
        <v>45000</v>
      </c>
      <c r="G73" s="1703"/>
      <c r="H73" s="1658"/>
      <c r="I73" s="1627">
        <f t="shared" si="0"/>
        <v>0</v>
      </c>
      <c r="J73" s="1003"/>
      <c r="K73" s="1061"/>
      <c r="L73" s="1025"/>
      <c r="M73" s="1002"/>
      <c r="N73" s="845"/>
      <c r="O73" s="845"/>
      <c r="P73" s="845"/>
      <c r="Q73" s="845"/>
      <c r="R73" s="845"/>
      <c r="S73" s="845"/>
      <c r="T73" s="845"/>
      <c r="U73" s="1007"/>
      <c r="V73" s="1007"/>
      <c r="W73"/>
      <c r="X73" s="972"/>
      <c r="Y73" s="972"/>
      <c r="Z73" s="972"/>
      <c r="AA73"/>
      <c r="AB73" s="972"/>
    </row>
    <row r="74" spans="1:28" ht="15.75">
      <c r="A74" s="3"/>
      <c r="B74" s="845"/>
      <c r="C74" s="1623" t="s">
        <v>104</v>
      </c>
      <c r="D74" s="1631"/>
      <c r="E74" s="1704"/>
      <c r="F74" s="1680"/>
      <c r="G74" s="1647">
        <f>SUM(F75:F76)</f>
        <v>25000</v>
      </c>
      <c r="H74" s="1648"/>
      <c r="I74" s="1627">
        <f t="shared" si="0"/>
        <v>164.47368421052633</v>
      </c>
      <c r="J74" s="1003"/>
      <c r="K74" s="1049"/>
      <c r="L74" s="1001"/>
      <c r="M74" s="1002"/>
      <c r="N74" s="845"/>
      <c r="O74" s="845"/>
      <c r="P74" s="845"/>
      <c r="Q74" s="845"/>
      <c r="R74" s="845"/>
      <c r="S74" s="845"/>
      <c r="T74" s="845"/>
      <c r="U74" s="1007">
        <v>1</v>
      </c>
      <c r="V74" s="1007">
        <v>0</v>
      </c>
      <c r="W74"/>
      <c r="X74" s="972">
        <f>U74*G74</f>
        <v>25000</v>
      </c>
      <c r="Y74" s="972"/>
      <c r="Z74" s="972">
        <f>V74*G74</f>
        <v>0</v>
      </c>
      <c r="AA74"/>
      <c r="AB74" s="972">
        <v>500</v>
      </c>
    </row>
    <row r="75" spans="1:28" ht="15.75">
      <c r="A75" s="939"/>
      <c r="B75" s="845"/>
      <c r="C75" s="1631"/>
      <c r="D75" s="1623" t="s">
        <v>788</v>
      </c>
      <c r="E75" s="1704"/>
      <c r="F75" s="1680">
        <v>20000</v>
      </c>
      <c r="G75" s="1647"/>
      <c r="H75" s="1648"/>
      <c r="I75" s="1627">
        <f t="shared" si="0"/>
        <v>0</v>
      </c>
      <c r="J75" s="1003"/>
      <c r="K75" s="1069"/>
      <c r="L75" s="1036"/>
      <c r="M75" s="1002"/>
      <c r="N75" s="845"/>
      <c r="O75" s="845"/>
      <c r="P75" s="845"/>
      <c r="Q75" s="845"/>
      <c r="R75" s="845"/>
      <c r="S75" s="845"/>
      <c r="T75" s="845"/>
      <c r="U75" s="1007"/>
      <c r="V75" s="1007"/>
      <c r="W75"/>
      <c r="X75" s="972"/>
      <c r="Y75" s="972"/>
      <c r="Z75" s="972"/>
      <c r="AA75"/>
      <c r="AB75" s="972"/>
    </row>
    <row r="76" spans="1:28" ht="15.75">
      <c r="A76" s="3"/>
      <c r="B76" s="845"/>
      <c r="C76" s="1631"/>
      <c r="D76" s="1623" t="s">
        <v>789</v>
      </c>
      <c r="E76" s="1704"/>
      <c r="F76" s="1680">
        <v>5000</v>
      </c>
      <c r="G76" s="1647"/>
      <c r="H76" s="1648"/>
      <c r="I76" s="1627">
        <f t="shared" si="0"/>
        <v>0</v>
      </c>
      <c r="J76" s="1003"/>
      <c r="K76" s="1069"/>
      <c r="L76" s="1036"/>
      <c r="M76" s="1002"/>
      <c r="N76" s="845"/>
      <c r="O76" s="845"/>
      <c r="P76" s="845"/>
      <c r="Q76" s="845"/>
      <c r="R76" s="845"/>
      <c r="S76" s="845"/>
      <c r="T76" s="845"/>
      <c r="U76" s="1007"/>
      <c r="V76" s="1007"/>
      <c r="W76"/>
      <c r="X76" s="972"/>
      <c r="Y76" s="972"/>
      <c r="Z76" s="972"/>
      <c r="AA76"/>
      <c r="AB76" s="972"/>
    </row>
    <row r="77" spans="1:28" ht="15.75">
      <c r="A77" s="939"/>
      <c r="B77" s="845"/>
      <c r="C77" s="1631"/>
      <c r="D77" s="1623" t="s">
        <v>790</v>
      </c>
      <c r="E77" s="1704"/>
      <c r="F77" s="1680">
        <v>0</v>
      </c>
      <c r="G77" s="1647"/>
      <c r="H77" s="1648"/>
      <c r="I77" s="1627">
        <f t="shared" si="0"/>
        <v>0</v>
      </c>
      <c r="J77" s="1003"/>
      <c r="K77" s="1054"/>
      <c r="L77" s="1001"/>
      <c r="M77" s="1002"/>
      <c r="N77" s="845"/>
      <c r="O77" s="845"/>
      <c r="P77" s="845"/>
      <c r="Q77" s="845"/>
      <c r="R77" s="845"/>
      <c r="S77" s="845"/>
      <c r="T77" s="845"/>
      <c r="U77" s="1007"/>
      <c r="V77" s="1007"/>
      <c r="W77"/>
      <c r="X77" s="972"/>
      <c r="Y77" s="972"/>
      <c r="Z77" s="972"/>
      <c r="AA77"/>
      <c r="AB77" s="972"/>
    </row>
    <row r="78" spans="1:28" ht="15.75">
      <c r="A78" s="939"/>
      <c r="B78" s="845"/>
      <c r="C78" s="1623" t="s">
        <v>791</v>
      </c>
      <c r="D78" s="1631"/>
      <c r="E78" s="1689"/>
      <c r="F78" s="1653"/>
      <c r="G78" s="1630">
        <v>30000</v>
      </c>
      <c r="H78" s="1627"/>
      <c r="I78" s="1627">
        <f t="shared" si="0"/>
        <v>197.36842105263159</v>
      </c>
      <c r="J78" s="1065"/>
      <c r="K78" s="1069"/>
      <c r="L78" s="1004"/>
      <c r="M78" s="1002"/>
      <c r="N78" s="845"/>
      <c r="O78" s="845"/>
      <c r="P78" s="845"/>
      <c r="Q78" s="845"/>
      <c r="R78" s="845"/>
      <c r="S78" s="845"/>
      <c r="T78" s="845"/>
      <c r="U78" s="1007">
        <v>1</v>
      </c>
      <c r="V78" s="1007">
        <v>0</v>
      </c>
      <c r="W78"/>
      <c r="X78" s="972">
        <f>U78*G78</f>
        <v>30000</v>
      </c>
      <c r="Y78" s="972"/>
      <c r="Z78" s="972">
        <f>V78*G78</f>
        <v>0</v>
      </c>
      <c r="AA78"/>
      <c r="AB78" s="972">
        <v>600</v>
      </c>
    </row>
    <row r="79" spans="1:28" ht="15.75">
      <c r="A79" s="939"/>
      <c r="B79" s="845"/>
      <c r="C79" s="1623" t="s">
        <v>792</v>
      </c>
      <c r="D79" s="1631"/>
      <c r="E79" s="1689"/>
      <c r="F79" s="1653"/>
      <c r="G79" s="1630">
        <v>34000</v>
      </c>
      <c r="H79" s="1627"/>
      <c r="I79" s="1627">
        <f t="shared" si="0"/>
        <v>223.68421052631578</v>
      </c>
      <c r="J79" s="1003"/>
      <c r="K79" s="1070" t="s">
        <v>793</v>
      </c>
      <c r="L79" s="1036"/>
      <c r="M79" s="1002"/>
      <c r="N79" s="845"/>
      <c r="O79" s="845"/>
      <c r="P79" s="845" t="s">
        <v>794</v>
      </c>
      <c r="Q79" s="845"/>
      <c r="R79" s="845"/>
      <c r="S79" s="845"/>
      <c r="T79" s="845"/>
      <c r="U79" s="1007">
        <v>1</v>
      </c>
      <c r="V79" s="1007">
        <v>0</v>
      </c>
      <c r="W79"/>
      <c r="X79" s="972">
        <f>U79*G79</f>
        <v>34000</v>
      </c>
      <c r="Y79" s="972"/>
      <c r="Z79" s="972">
        <f>V79*G79</f>
        <v>0</v>
      </c>
      <c r="AA79"/>
      <c r="AB79" s="972">
        <v>680</v>
      </c>
    </row>
    <row r="80" spans="1:28">
      <c r="A80" s="939"/>
      <c r="B80" s="858"/>
      <c r="C80" s="1678" t="s">
        <v>795</v>
      </c>
      <c r="D80" s="1645"/>
      <c r="E80" s="1684"/>
      <c r="F80" s="1685"/>
      <c r="G80" s="1686">
        <f>SUM(G67:G79)</f>
        <v>343943.02187500003</v>
      </c>
      <c r="H80" s="1687"/>
      <c r="I80" s="1627">
        <f t="shared" si="0"/>
        <v>2262.783038651316</v>
      </c>
      <c r="J80" s="1048"/>
      <c r="K80" s="1062"/>
      <c r="L80" s="1063"/>
      <c r="M80" s="1064"/>
      <c r="N80" s="858"/>
      <c r="O80" s="858"/>
      <c r="P80" s="858"/>
      <c r="Q80" s="858"/>
      <c r="R80" s="858"/>
      <c r="S80" s="858"/>
      <c r="T80" s="858"/>
      <c r="U80" s="1020"/>
      <c r="V80" s="1020"/>
      <c r="W80" s="1021"/>
      <c r="X80" s="1023">
        <f>SUM(X67:X79)</f>
        <v>343943.02187500003</v>
      </c>
      <c r="Y80" s="1023"/>
      <c r="Z80" s="1023">
        <f>SUM(Z67:Z79)</f>
        <v>0</v>
      </c>
      <c r="AA80" s="1021"/>
      <c r="AB80" s="1023">
        <v>6343.7438701923074</v>
      </c>
    </row>
    <row r="81" spans="1:28" ht="15.75">
      <c r="A81" s="3"/>
      <c r="B81" s="845"/>
      <c r="C81" s="1678" t="s">
        <v>796</v>
      </c>
      <c r="D81" s="1623"/>
      <c r="E81" s="1679"/>
      <c r="F81" s="1680"/>
      <c r="G81" s="1647"/>
      <c r="H81" s="1648"/>
      <c r="I81" s="1627">
        <f t="shared" si="0"/>
        <v>0</v>
      </c>
      <c r="J81" s="1003"/>
      <c r="K81" s="1071"/>
      <c r="L81" s="1072"/>
      <c r="M81" s="1065"/>
      <c r="N81" s="845"/>
      <c r="O81" s="845"/>
      <c r="P81" s="845"/>
      <c r="Q81" s="870"/>
      <c r="R81" s="845"/>
      <c r="S81" s="845"/>
      <c r="T81" s="845"/>
      <c r="U81" s="1007"/>
      <c r="V81" s="1007"/>
      <c r="W81"/>
      <c r="X81" s="972"/>
      <c r="Y81" s="972"/>
      <c r="Z81" s="972"/>
      <c r="AA81"/>
      <c r="AB81" s="972"/>
    </row>
    <row r="82" spans="1:28" ht="15.75">
      <c r="A82" s="939"/>
      <c r="B82" s="845"/>
      <c r="C82" s="1623" t="s">
        <v>797</v>
      </c>
      <c r="D82" s="1623"/>
      <c r="E82" s="1679"/>
      <c r="F82" s="1680"/>
      <c r="G82" s="1690">
        <v>0</v>
      </c>
      <c r="H82" s="1691"/>
      <c r="I82" s="1627">
        <f t="shared" si="0"/>
        <v>0</v>
      </c>
      <c r="J82" s="1046"/>
      <c r="K82" s="1054"/>
      <c r="L82" s="1001"/>
      <c r="M82" s="1002"/>
      <c r="N82" s="845"/>
      <c r="O82" s="845"/>
      <c r="P82" s="845"/>
      <c r="Q82" s="870"/>
      <c r="R82" s="845"/>
      <c r="S82" s="845"/>
      <c r="T82" s="845"/>
      <c r="U82" s="1007">
        <v>1</v>
      </c>
      <c r="V82" s="1007">
        <v>0</v>
      </c>
      <c r="W82"/>
      <c r="X82" s="972">
        <f>U82*G82</f>
        <v>0</v>
      </c>
      <c r="Y82" s="972"/>
      <c r="Z82" s="972">
        <f>V82*G82</f>
        <v>0</v>
      </c>
      <c r="AA82"/>
      <c r="AB82" s="972">
        <v>0</v>
      </c>
    </row>
    <row r="83" spans="1:28" ht="15.75">
      <c r="A83" s="3"/>
      <c r="B83" s="845"/>
      <c r="C83" s="1631"/>
      <c r="D83" s="1623" t="s">
        <v>968</v>
      </c>
      <c r="E83" s="1705">
        <v>4.08</v>
      </c>
      <c r="F83" s="1653">
        <v>0</v>
      </c>
      <c r="G83" s="1690"/>
      <c r="H83" s="1691"/>
      <c r="I83" s="1627">
        <f t="shared" ref="I83:I146" si="3">G83/$F$9</f>
        <v>0</v>
      </c>
      <c r="J83" s="1046"/>
      <c r="K83" s="1073"/>
      <c r="L83" s="1074"/>
      <c r="M83" s="1002"/>
      <c r="N83" s="845"/>
      <c r="O83" s="845"/>
      <c r="P83" s="845"/>
      <c r="Q83" s="870"/>
      <c r="R83" s="845"/>
      <c r="S83" s="845"/>
      <c r="T83" s="845"/>
      <c r="U83" s="1007"/>
      <c r="V83" s="1007"/>
      <c r="W83"/>
      <c r="X83" s="972"/>
      <c r="Y83" s="972"/>
      <c r="Z83" s="972"/>
      <c r="AA83"/>
      <c r="AB83" s="972"/>
    </row>
    <row r="84" spans="1:28" ht="15.75">
      <c r="A84" s="939"/>
      <c r="B84" s="845"/>
      <c r="C84" s="1631"/>
      <c r="D84" s="1623"/>
      <c r="E84" s="1705"/>
      <c r="F84" s="1653"/>
      <c r="G84" s="1690"/>
      <c r="H84" s="1691"/>
      <c r="I84" s="1627">
        <f t="shared" si="3"/>
        <v>0</v>
      </c>
      <c r="J84" s="1046"/>
      <c r="K84" s="1073"/>
      <c r="L84" s="1074"/>
      <c r="M84" s="1002"/>
      <c r="N84" s="845"/>
      <c r="O84" s="845"/>
      <c r="P84" s="845"/>
      <c r="Q84" s="870"/>
      <c r="R84" s="845"/>
      <c r="S84" s="845"/>
      <c r="T84" s="845"/>
      <c r="U84" s="1007"/>
      <c r="V84" s="1007"/>
      <c r="W84"/>
      <c r="X84" s="972"/>
      <c r="Y84" s="972"/>
      <c r="Z84" s="972"/>
      <c r="AA84"/>
      <c r="AB84" s="972"/>
    </row>
    <row r="85" spans="1:28" ht="15.75">
      <c r="A85" s="939"/>
      <c r="B85" s="845"/>
      <c r="C85" s="1631"/>
      <c r="D85" s="1623"/>
      <c r="E85" s="1705"/>
      <c r="F85" s="1653"/>
      <c r="G85" s="1690"/>
      <c r="H85" s="1691"/>
      <c r="I85" s="1627">
        <f t="shared" si="3"/>
        <v>0</v>
      </c>
      <c r="J85" s="1046"/>
      <c r="K85" s="1073"/>
      <c r="L85" s="1074"/>
      <c r="M85" s="1002"/>
      <c r="N85" s="845"/>
      <c r="O85" s="845"/>
      <c r="P85" s="845"/>
      <c r="Q85" s="870"/>
      <c r="R85" s="845"/>
      <c r="S85" s="845"/>
      <c r="T85" s="845"/>
      <c r="U85" s="1007"/>
      <c r="V85" s="1007"/>
      <c r="W85"/>
      <c r="X85" s="972"/>
      <c r="Y85" s="972"/>
      <c r="Z85" s="972"/>
      <c r="AA85"/>
      <c r="AB85" s="972"/>
    </row>
    <row r="86" spans="1:28" ht="15.75">
      <c r="A86" s="3"/>
      <c r="B86" s="845"/>
      <c r="C86" s="1631"/>
      <c r="D86" s="1623"/>
      <c r="E86" s="1705"/>
      <c r="F86" s="1653"/>
      <c r="G86" s="1690"/>
      <c r="H86" s="1691"/>
      <c r="I86" s="1627">
        <f t="shared" si="3"/>
        <v>0</v>
      </c>
      <c r="J86" s="1046"/>
      <c r="K86" s="1073"/>
      <c r="L86" s="1074"/>
      <c r="M86" s="1002"/>
      <c r="N86" s="845"/>
      <c r="O86" s="845"/>
      <c r="P86" s="845"/>
      <c r="Q86" s="870"/>
      <c r="R86" s="845"/>
      <c r="S86" s="845"/>
      <c r="T86" s="845"/>
      <c r="U86" s="1007"/>
      <c r="V86" s="1007"/>
      <c r="W86"/>
      <c r="X86" s="972"/>
      <c r="Y86" s="972"/>
      <c r="Z86" s="972"/>
      <c r="AA86"/>
      <c r="AB86" s="972"/>
    </row>
    <row r="87" spans="1:28" ht="15.75">
      <c r="A87" s="939"/>
      <c r="B87" s="845"/>
      <c r="C87" s="1631"/>
      <c r="D87" s="1623"/>
      <c r="E87" s="1705"/>
      <c r="F87" s="1653"/>
      <c r="G87" s="1690"/>
      <c r="H87" s="1691"/>
      <c r="I87" s="1627">
        <f t="shared" si="3"/>
        <v>0</v>
      </c>
      <c r="J87" s="1046"/>
      <c r="K87" s="1073"/>
      <c r="L87" s="1074"/>
      <c r="M87" s="1002"/>
      <c r="N87" s="845"/>
      <c r="O87" s="845"/>
      <c r="P87" s="845"/>
      <c r="Q87" s="870"/>
      <c r="R87" s="845"/>
      <c r="S87" s="845"/>
      <c r="T87" s="845"/>
      <c r="U87" s="1007"/>
      <c r="V87" s="1007"/>
      <c r="W87"/>
      <c r="X87" s="972"/>
      <c r="Y87" s="972"/>
      <c r="Z87" s="972"/>
      <c r="AA87"/>
      <c r="AB87" s="972"/>
    </row>
    <row r="88" spans="1:28" ht="15.75">
      <c r="A88" s="3"/>
      <c r="B88" s="845"/>
      <c r="C88" s="1631"/>
      <c r="D88" s="1623"/>
      <c r="E88" s="1706"/>
      <c r="F88" s="1653">
        <v>0</v>
      </c>
      <c r="G88" s="1690"/>
      <c r="H88" s="1691"/>
      <c r="I88" s="1627">
        <f t="shared" si="3"/>
        <v>0</v>
      </c>
      <c r="J88" s="1046"/>
      <c r="K88" s="1075"/>
      <c r="L88" s="1012"/>
      <c r="M88" s="1002"/>
      <c r="N88" s="845"/>
      <c r="O88" s="845"/>
      <c r="P88" s="845"/>
      <c r="Q88" s="870"/>
      <c r="R88" s="845"/>
      <c r="S88" s="845"/>
      <c r="T88" s="845"/>
      <c r="U88" s="1007"/>
      <c r="V88" s="1007"/>
      <c r="W88"/>
      <c r="X88" s="972"/>
      <c r="Y88" s="972"/>
      <c r="Z88" s="972"/>
      <c r="AA88"/>
      <c r="AB88" s="972"/>
    </row>
    <row r="89" spans="1:28" ht="15.75">
      <c r="A89" s="939"/>
      <c r="B89" s="845"/>
      <c r="C89" s="1631"/>
      <c r="D89" s="1623"/>
      <c r="E89" s="1707">
        <v>0</v>
      </c>
      <c r="F89" s="1653">
        <v>0</v>
      </c>
      <c r="G89" s="1690"/>
      <c r="H89" s="1691"/>
      <c r="I89" s="1627">
        <f t="shared" si="3"/>
        <v>0</v>
      </c>
      <c r="J89" s="1046"/>
      <c r="K89" s="1054"/>
      <c r="L89" s="1001"/>
      <c r="M89" s="1002"/>
      <c r="N89" s="845"/>
      <c r="O89" s="845"/>
      <c r="P89" s="845"/>
      <c r="Q89" s="870"/>
      <c r="R89" s="845"/>
      <c r="S89" s="845"/>
      <c r="T89" s="845"/>
      <c r="U89" s="1007"/>
      <c r="V89" s="1007"/>
      <c r="W89"/>
      <c r="X89" s="972"/>
      <c r="Y89" s="972"/>
      <c r="Z89" s="972"/>
      <c r="AA89"/>
      <c r="AB89" s="972"/>
    </row>
    <row r="90" spans="1:28" ht="15.75">
      <c r="A90" s="939"/>
      <c r="B90" s="845"/>
      <c r="C90" s="1631" t="s">
        <v>413</v>
      </c>
      <c r="D90" s="1623"/>
      <c r="E90" s="1631"/>
      <c r="F90" s="1653"/>
      <c r="G90" s="1690">
        <f>SUM(F91:F96)</f>
        <v>2537086</v>
      </c>
      <c r="H90" s="1691"/>
      <c r="I90" s="1627">
        <f t="shared" si="3"/>
        <v>16691.355263157893</v>
      </c>
      <c r="J90" s="1046"/>
      <c r="K90" s="1061">
        <v>0</v>
      </c>
      <c r="L90" s="1024"/>
      <c r="M90" s="1002"/>
      <c r="N90" s="845"/>
      <c r="O90" s="845"/>
      <c r="P90" s="858" t="s">
        <v>798</v>
      </c>
      <c r="Q90" s="870"/>
      <c r="R90" s="845"/>
      <c r="S90" s="845"/>
      <c r="T90" s="845"/>
      <c r="U90" s="1007">
        <v>1</v>
      </c>
      <c r="V90" s="1007">
        <v>0</v>
      </c>
      <c r="W90"/>
      <c r="X90" s="972">
        <f>U90*G90</f>
        <v>2537086</v>
      </c>
      <c r="Y90" s="972"/>
      <c r="Z90" s="972">
        <f>V90*G90</f>
        <v>0</v>
      </c>
      <c r="AA90"/>
      <c r="AB90" s="972">
        <v>50624</v>
      </c>
    </row>
    <row r="91" spans="1:28" ht="15.75">
      <c r="A91" s="3"/>
      <c r="B91" s="845"/>
      <c r="C91" s="1631"/>
      <c r="D91" s="1623" t="s">
        <v>799</v>
      </c>
      <c r="E91" s="1679"/>
      <c r="F91" s="1708">
        <v>51432</v>
      </c>
      <c r="G91" s="1690">
        <v>100000</v>
      </c>
      <c r="H91" s="1691"/>
      <c r="I91" s="1627">
        <f t="shared" si="3"/>
        <v>657.89473684210532</v>
      </c>
      <c r="J91" s="1046"/>
      <c r="K91" s="1068" t="s">
        <v>800</v>
      </c>
      <c r="L91" s="1025"/>
      <c r="M91" s="1516">
        <f>'Permit Fee Breakdown'!F17</f>
        <v>7491</v>
      </c>
      <c r="N91" s="845"/>
      <c r="O91" s="845"/>
      <c r="P91" t="s">
        <v>801</v>
      </c>
      <c r="Q91" s="870"/>
      <c r="R91" s="845"/>
      <c r="S91" s="845"/>
      <c r="T91" s="845"/>
      <c r="U91" s="1007"/>
      <c r="V91" s="1007"/>
      <c r="W91"/>
      <c r="X91" s="972">
        <f>G91</f>
        <v>100000</v>
      </c>
      <c r="Y91" s="972"/>
      <c r="Z91" s="972"/>
      <c r="AA91"/>
      <c r="AB91" s="972"/>
    </row>
    <row r="92" spans="1:28" ht="15.75">
      <c r="A92" s="939"/>
      <c r="B92" s="845"/>
      <c r="C92" s="1631"/>
      <c r="D92" s="1623" t="s">
        <v>802</v>
      </c>
      <c r="E92" s="1679"/>
      <c r="F92" s="1709">
        <v>11500</v>
      </c>
      <c r="G92" s="1690"/>
      <c r="H92" s="1691"/>
      <c r="I92" s="1627">
        <f t="shared" si="3"/>
        <v>0</v>
      </c>
      <c r="J92" s="1046"/>
      <c r="K92" s="1068"/>
      <c r="L92" s="1025"/>
      <c r="M92" s="1002"/>
      <c r="N92" s="845"/>
      <c r="O92" s="845"/>
      <c r="P92" s="845"/>
      <c r="Q92" s="870"/>
      <c r="R92" s="845"/>
      <c r="S92" s="845"/>
      <c r="T92" s="845"/>
      <c r="U92" s="1007"/>
      <c r="V92" s="1007"/>
      <c r="W92"/>
      <c r="X92" s="972"/>
      <c r="Y92" s="972"/>
      <c r="Z92" s="972"/>
      <c r="AA92"/>
      <c r="AB92" s="972"/>
    </row>
    <row r="93" spans="1:28" ht="15.75">
      <c r="A93" s="3"/>
      <c r="B93" s="845"/>
      <c r="C93" s="1631"/>
      <c r="D93" s="1623" t="s">
        <v>803</v>
      </c>
      <c r="E93" s="1710"/>
      <c r="F93" s="1711">
        <v>285455</v>
      </c>
      <c r="G93" s="1690"/>
      <c r="H93" s="1691"/>
      <c r="I93" s="1627">
        <f t="shared" si="3"/>
        <v>0</v>
      </c>
      <c r="J93" s="1046"/>
      <c r="K93" s="1068"/>
      <c r="L93" s="1025"/>
      <c r="M93" s="1002"/>
      <c r="N93" s="845"/>
      <c r="O93" s="845"/>
      <c r="P93" s="845"/>
      <c r="Q93" s="845"/>
      <c r="R93" s="845"/>
      <c r="S93" s="845"/>
      <c r="T93" s="845"/>
      <c r="U93" s="1007"/>
      <c r="V93" s="1007"/>
      <c r="W93"/>
      <c r="X93" s="972"/>
      <c r="Y93" s="972"/>
      <c r="Z93" s="972"/>
      <c r="AA93"/>
      <c r="AB93" s="972"/>
    </row>
    <row r="94" spans="1:28" ht="15.75">
      <c r="A94" s="939"/>
      <c r="B94" s="845"/>
      <c r="C94" s="1631"/>
      <c r="D94" s="1623" t="s">
        <v>535</v>
      </c>
      <c r="E94" s="1631"/>
      <c r="F94" s="1709">
        <f>M94</f>
        <v>1791624</v>
      </c>
      <c r="G94" s="1690"/>
      <c r="H94" s="1691"/>
      <c r="I94" s="1627">
        <f t="shared" si="3"/>
        <v>0</v>
      </c>
      <c r="J94" s="1046"/>
      <c r="K94" s="1068" t="s">
        <v>800</v>
      </c>
      <c r="L94" s="1025"/>
      <c r="M94" s="1516">
        <f>11787*F9</f>
        <v>1791624</v>
      </c>
      <c r="N94" s="845"/>
      <c r="O94" s="845"/>
      <c r="P94" s="1076" t="s">
        <v>801</v>
      </c>
      <c r="Q94" s="845"/>
      <c r="R94" s="845"/>
      <c r="S94" s="845"/>
      <c r="T94" s="845"/>
      <c r="U94" s="1007"/>
      <c r="V94" s="1007"/>
      <c r="W94"/>
      <c r="X94" s="972"/>
      <c r="Y94" s="972"/>
      <c r="Z94" s="972"/>
      <c r="AA94"/>
      <c r="AB94" s="972"/>
    </row>
    <row r="95" spans="1:28" ht="15.75">
      <c r="A95" s="939"/>
      <c r="B95" s="845"/>
      <c r="C95" s="1631"/>
      <c r="D95" s="1623" t="s">
        <v>804</v>
      </c>
      <c r="E95" s="1706">
        <v>2600</v>
      </c>
      <c r="F95" s="1711">
        <f>E95*F9</f>
        <v>395200</v>
      </c>
      <c r="G95" s="1690"/>
      <c r="H95" s="1691"/>
      <c r="I95" s="1627">
        <f t="shared" si="3"/>
        <v>0</v>
      </c>
      <c r="J95" s="1046"/>
      <c r="K95" s="1068"/>
      <c r="L95" s="1025"/>
      <c r="M95" s="1002"/>
      <c r="N95" s="845"/>
      <c r="O95" s="845"/>
      <c r="P95" s="845"/>
      <c r="Q95" s="1077"/>
      <c r="R95" s="845"/>
      <c r="S95" s="845"/>
      <c r="T95" s="845"/>
      <c r="U95" s="1007"/>
      <c r="V95" s="1007"/>
      <c r="W95"/>
      <c r="X95" s="972"/>
      <c r="Y95" s="972"/>
      <c r="Z95" s="972"/>
      <c r="AA95"/>
      <c r="AB95" s="972"/>
    </row>
    <row r="96" spans="1:28" ht="15.75">
      <c r="A96" s="939"/>
      <c r="B96" s="845"/>
      <c r="C96" s="1631"/>
      <c r="D96" s="1623" t="s">
        <v>805</v>
      </c>
      <c r="E96" s="1669">
        <v>0</v>
      </c>
      <c r="F96" s="1711">
        <v>1875</v>
      </c>
      <c r="G96" s="1690"/>
      <c r="H96" s="1691"/>
      <c r="I96" s="1627">
        <f t="shared" si="3"/>
        <v>0</v>
      </c>
      <c r="J96" s="1046"/>
      <c r="K96" s="1078"/>
      <c r="L96" s="1079"/>
      <c r="M96" s="1002"/>
      <c r="N96" s="845"/>
      <c r="O96" s="845"/>
      <c r="P96" s="845"/>
      <c r="Q96" s="1077"/>
      <c r="R96" s="845"/>
      <c r="S96" s="845"/>
      <c r="T96" s="845"/>
      <c r="U96" s="1007"/>
      <c r="V96" s="1007"/>
      <c r="W96"/>
      <c r="X96" s="972"/>
      <c r="Y96" s="972"/>
      <c r="Z96" s="972"/>
      <c r="AA96"/>
      <c r="AB96" s="972"/>
    </row>
    <row r="97" spans="1:28">
      <c r="A97" s="939"/>
      <c r="B97" s="858"/>
      <c r="C97" s="1678" t="s">
        <v>806</v>
      </c>
      <c r="D97" s="1645"/>
      <c r="E97" s="1684"/>
      <c r="F97" s="1685"/>
      <c r="G97" s="1686">
        <f>SUM(G82:G96)</f>
        <v>2637086</v>
      </c>
      <c r="H97" s="1687"/>
      <c r="I97" s="1627">
        <f t="shared" si="3"/>
        <v>17349.25</v>
      </c>
      <c r="J97" s="1048"/>
      <c r="K97" s="1080">
        <f>I97/I250</f>
        <v>3.2734433962264151E-2</v>
      </c>
      <c r="L97" s="1063"/>
      <c r="M97" s="1050"/>
      <c r="N97" s="858"/>
      <c r="O97" s="858"/>
      <c r="P97" s="858"/>
      <c r="Q97" s="1081"/>
      <c r="R97" s="858"/>
      <c r="S97" s="858"/>
      <c r="T97" s="858"/>
      <c r="U97" s="1020"/>
      <c r="V97" s="1020"/>
      <c r="W97" s="1021"/>
      <c r="X97" s="1023">
        <f>SUM(X82:X96)</f>
        <v>2637086</v>
      </c>
      <c r="Y97" s="1023"/>
      <c r="Z97" s="1023">
        <f>SUM(Z82:Z96)</f>
        <v>0</v>
      </c>
      <c r="AA97" s="1021"/>
      <c r="AB97" s="1023">
        <v>52624</v>
      </c>
    </row>
    <row r="98" spans="1:28" ht="15.75">
      <c r="A98" s="939"/>
      <c r="B98" s="845"/>
      <c r="C98" s="1678" t="s">
        <v>807</v>
      </c>
      <c r="D98" s="1623"/>
      <c r="E98" s="1679"/>
      <c r="F98" s="1680"/>
      <c r="G98" s="1690"/>
      <c r="H98" s="1691"/>
      <c r="I98" s="1627">
        <f t="shared" si="3"/>
        <v>0</v>
      </c>
      <c r="J98" s="1046"/>
      <c r="K98" s="1054"/>
      <c r="L98" s="1001"/>
      <c r="M98" s="1002"/>
      <c r="N98" s="845"/>
      <c r="O98" s="845"/>
      <c r="P98" s="845"/>
      <c r="Q98" s="845"/>
      <c r="R98" s="845"/>
      <c r="S98" s="845"/>
      <c r="T98" s="845"/>
      <c r="U98" s="1007"/>
      <c r="V98" s="1007"/>
      <c r="W98"/>
      <c r="X98" s="972"/>
      <c r="Y98" s="972"/>
      <c r="Z98" s="972"/>
      <c r="AA98"/>
      <c r="AB98" s="972"/>
    </row>
    <row r="99" spans="1:28" ht="15.75">
      <c r="A99" s="939"/>
      <c r="B99" s="845"/>
      <c r="C99" s="1623" t="s">
        <v>808</v>
      </c>
      <c r="D99" s="1623"/>
      <c r="E99" s="1679"/>
      <c r="F99" s="1680"/>
      <c r="G99" s="1690">
        <f>SUM(F100:F101)</f>
        <v>0</v>
      </c>
      <c r="H99" s="1691"/>
      <c r="I99" s="1627">
        <f t="shared" si="3"/>
        <v>0</v>
      </c>
      <c r="J99" s="1046"/>
      <c r="K99" s="1054"/>
      <c r="L99" s="1001"/>
      <c r="M99" s="1002"/>
      <c r="N99" s="845"/>
      <c r="O99" s="845"/>
      <c r="P99" s="845"/>
      <c r="Q99" s="845"/>
      <c r="R99" s="845"/>
      <c r="S99" s="845"/>
      <c r="T99" s="845"/>
      <c r="U99" s="1007">
        <v>1</v>
      </c>
      <c r="V99" s="1007">
        <v>0</v>
      </c>
      <c r="W99"/>
      <c r="X99" s="972">
        <f>U99*G99</f>
        <v>0</v>
      </c>
      <c r="Y99" s="972"/>
      <c r="Z99" s="972">
        <f>V99*G99</f>
        <v>0</v>
      </c>
      <c r="AA99"/>
      <c r="AB99" s="972">
        <v>0</v>
      </c>
    </row>
    <row r="100" spans="1:28" ht="15.75">
      <c r="A100" s="939"/>
      <c r="B100" s="845"/>
      <c r="C100" s="1631"/>
      <c r="D100" s="1623" t="s">
        <v>809</v>
      </c>
      <c r="E100" s="1694"/>
      <c r="F100" s="1655">
        <v>0</v>
      </c>
      <c r="G100" s="1690"/>
      <c r="H100" s="1691"/>
      <c r="I100" s="1627">
        <f t="shared" si="3"/>
        <v>0</v>
      </c>
      <c r="J100" s="1046"/>
      <c r="K100" s="1061"/>
      <c r="L100" s="1024"/>
      <c r="M100" s="1002"/>
      <c r="N100" s="845"/>
      <c r="O100" s="845"/>
      <c r="P100" s="845"/>
      <c r="Q100" s="1077"/>
      <c r="R100" s="845"/>
      <c r="S100" s="845"/>
      <c r="T100" s="845"/>
      <c r="U100" s="1007"/>
      <c r="V100" s="1007"/>
      <c r="W100"/>
      <c r="X100" s="972"/>
      <c r="Y100" s="972"/>
      <c r="Z100" s="972"/>
      <c r="AA100"/>
      <c r="AB100" s="972"/>
    </row>
    <row r="101" spans="1:28" ht="15.75">
      <c r="A101" s="939"/>
      <c r="B101" s="845"/>
      <c r="C101" s="1631"/>
      <c r="D101" s="1623" t="s">
        <v>810</v>
      </c>
      <c r="E101" s="1631"/>
      <c r="F101" s="1655">
        <v>0</v>
      </c>
      <c r="G101" s="1690"/>
      <c r="H101" s="1691"/>
      <c r="I101" s="1627">
        <f t="shared" si="3"/>
        <v>0</v>
      </c>
      <c r="J101" s="1046"/>
      <c r="K101" s="1061" t="s">
        <v>811</v>
      </c>
      <c r="L101" s="1024"/>
      <c r="M101" s="1002" t="s">
        <v>581</v>
      </c>
      <c r="N101" s="845"/>
      <c r="O101" s="845"/>
      <c r="P101" s="845"/>
      <c r="Q101" s="845"/>
      <c r="R101" s="845"/>
      <c r="S101" s="845"/>
      <c r="T101" s="845"/>
      <c r="U101" s="1007"/>
      <c r="V101" s="1007"/>
      <c r="W101"/>
      <c r="X101" s="972"/>
      <c r="Y101" s="972"/>
      <c r="Z101" s="972"/>
      <c r="AA101"/>
      <c r="AB101" s="972"/>
    </row>
    <row r="102" spans="1:28" s="518" customFormat="1" ht="15.75">
      <c r="B102" s="845"/>
      <c r="C102" s="1631" t="s">
        <v>812</v>
      </c>
      <c r="D102" s="1623"/>
      <c r="E102" s="1631"/>
      <c r="F102" s="1653"/>
      <c r="G102" s="1690">
        <f>SUM(F103:F105)</f>
        <v>249165.84752440249</v>
      </c>
      <c r="H102" s="1691"/>
      <c r="I102" s="1627">
        <f t="shared" si="3"/>
        <v>1639.248996871069</v>
      </c>
      <c r="J102" s="1046"/>
      <c r="K102" s="1054"/>
      <c r="L102" s="1001"/>
      <c r="M102" s="1082" t="s">
        <v>813</v>
      </c>
      <c r="N102" s="1083" t="s">
        <v>814</v>
      </c>
      <c r="O102" s="1083"/>
      <c r="P102" s="845"/>
      <c r="Q102" s="845"/>
      <c r="R102" s="845"/>
      <c r="S102" s="845"/>
      <c r="T102" s="845"/>
      <c r="U102" s="1007">
        <v>1</v>
      </c>
      <c r="V102" s="1007">
        <v>0</v>
      </c>
      <c r="W102"/>
      <c r="X102" s="972">
        <f>U102*G102</f>
        <v>249165.84752440249</v>
      </c>
      <c r="Y102" s="972"/>
      <c r="Z102" s="972">
        <f>V102*G102</f>
        <v>0</v>
      </c>
      <c r="AA102"/>
      <c r="AB102" s="972">
        <v>300</v>
      </c>
    </row>
    <row r="103" spans="1:28" ht="15.75">
      <c r="A103" s="939"/>
      <c r="B103" s="845"/>
      <c r="C103" s="1631"/>
      <c r="D103" s="1623" t="s">
        <v>809</v>
      </c>
      <c r="E103" s="1712">
        <v>0.05</v>
      </c>
      <c r="F103" s="1653">
        <f>E103*N103</f>
        <v>234165.84752440249</v>
      </c>
      <c r="G103" s="1690"/>
      <c r="H103" s="1691"/>
      <c r="I103" s="1627">
        <f t="shared" si="3"/>
        <v>0</v>
      </c>
      <c r="J103" s="1046"/>
      <c r="K103" s="1054" t="s">
        <v>815</v>
      </c>
      <c r="L103" s="1001"/>
      <c r="M103" s="1084">
        <f>(0.7*G234)+(0.9*(SUM(G97,G59,)+(0.5*G120)))</f>
        <v>4767883.4808794362</v>
      </c>
      <c r="N103" s="1085">
        <v>4683316.9504880495</v>
      </c>
      <c r="O103" s="1086"/>
      <c r="P103" s="845"/>
      <c r="Q103" s="845"/>
      <c r="R103" s="845"/>
      <c r="S103" s="845"/>
      <c r="T103" s="845"/>
      <c r="U103" s="1007"/>
      <c r="V103" s="1007"/>
      <c r="W103"/>
      <c r="X103" s="972"/>
      <c r="Y103" s="972"/>
      <c r="Z103" s="972"/>
      <c r="AA103"/>
      <c r="AB103" s="972"/>
    </row>
    <row r="104" spans="1:28" s="517" customFormat="1" ht="15.75">
      <c r="A104" s="939"/>
      <c r="B104" s="845"/>
      <c r="C104" s="1631"/>
      <c r="D104" s="1623" t="s">
        <v>816</v>
      </c>
      <c r="E104" s="1631"/>
      <c r="F104" s="1653"/>
      <c r="G104" s="1690"/>
      <c r="H104" s="1691"/>
      <c r="I104" s="1627">
        <f t="shared" si="3"/>
        <v>0</v>
      </c>
      <c r="J104" s="1046"/>
      <c r="K104" s="1054"/>
      <c r="L104" s="1001"/>
      <c r="M104" s="1084">
        <v>0</v>
      </c>
      <c r="N104" s="1085">
        <v>0</v>
      </c>
      <c r="O104" s="1086"/>
      <c r="P104" s="845"/>
      <c r="Q104" s="845"/>
      <c r="R104" s="845"/>
      <c r="S104" s="845"/>
      <c r="T104" s="845"/>
      <c r="U104" s="1007"/>
      <c r="V104" s="1007"/>
      <c r="W104"/>
      <c r="X104" s="972"/>
      <c r="Y104" s="972"/>
      <c r="Z104" s="972"/>
      <c r="AA104"/>
      <c r="AB104" s="972"/>
    </row>
    <row r="105" spans="1:28" ht="15.75">
      <c r="A105" s="939"/>
      <c r="B105" s="845"/>
      <c r="C105" s="1631"/>
      <c r="D105" s="1623" t="s">
        <v>817</v>
      </c>
      <c r="E105" s="1631"/>
      <c r="F105" s="1653">
        <v>15000</v>
      </c>
      <c r="G105" s="1690"/>
      <c r="H105" s="1691"/>
      <c r="I105" s="1627">
        <f t="shared" si="3"/>
        <v>0</v>
      </c>
      <c r="J105" s="1046"/>
      <c r="K105" s="1049"/>
      <c r="L105" s="1015"/>
      <c r="M105" s="1002"/>
      <c r="N105" s="845"/>
      <c r="O105" s="845"/>
      <c r="P105" s="845"/>
      <c r="Q105" s="845"/>
      <c r="R105" s="845"/>
      <c r="S105" s="845"/>
      <c r="T105" s="845"/>
      <c r="U105" s="1007"/>
      <c r="V105" s="1007"/>
      <c r="W105"/>
      <c r="X105" s="972"/>
      <c r="Y105" s="972"/>
      <c r="Z105" s="972"/>
      <c r="AA105"/>
      <c r="AB105" s="972"/>
    </row>
    <row r="106" spans="1:28" ht="15.75">
      <c r="A106" s="939"/>
      <c r="B106" s="845"/>
      <c r="C106" s="1631" t="s">
        <v>818</v>
      </c>
      <c r="D106" s="1623"/>
      <c r="E106" s="1631"/>
      <c r="F106" s="1653"/>
      <c r="G106" s="1690">
        <f>SUM(F107:F109)</f>
        <v>0</v>
      </c>
      <c r="H106" s="1691"/>
      <c r="I106" s="1627">
        <f t="shared" si="3"/>
        <v>0</v>
      </c>
      <c r="J106" s="1046"/>
      <c r="K106" s="1054"/>
      <c r="L106" s="1001"/>
      <c r="M106" s="1002"/>
      <c r="N106" s="845"/>
      <c r="O106" s="845"/>
      <c r="P106" s="845"/>
      <c r="Q106" s="845"/>
      <c r="R106" s="845"/>
      <c r="S106" s="845"/>
      <c r="T106" s="845"/>
      <c r="U106" s="1007">
        <v>1</v>
      </c>
      <c r="V106" s="1007">
        <v>0</v>
      </c>
      <c r="W106"/>
      <c r="X106" s="972">
        <f>U106*G106</f>
        <v>0</v>
      </c>
      <c r="Y106" s="972"/>
      <c r="Z106" s="972">
        <f>V106*G106</f>
        <v>0</v>
      </c>
      <c r="AA106"/>
      <c r="AB106" s="972">
        <v>0</v>
      </c>
    </row>
    <row r="107" spans="1:28" ht="15.75">
      <c r="A107" s="939"/>
      <c r="B107" s="845"/>
      <c r="C107" s="1631"/>
      <c r="D107" s="1623" t="s">
        <v>809</v>
      </c>
      <c r="E107" s="1631"/>
      <c r="F107" s="1653">
        <f>N107</f>
        <v>0</v>
      </c>
      <c r="G107" s="1690"/>
      <c r="H107" s="1691"/>
      <c r="I107" s="1627">
        <f t="shared" si="3"/>
        <v>0</v>
      </c>
      <c r="J107" s="1046"/>
      <c r="K107" s="1054" t="s">
        <v>815</v>
      </c>
      <c r="L107" s="1001"/>
      <c r="M107" s="1084"/>
      <c r="N107" s="1085"/>
      <c r="O107" s="1086"/>
      <c r="P107" s="845"/>
      <c r="Q107" s="845"/>
      <c r="R107" s="845"/>
      <c r="S107" s="845"/>
      <c r="T107" s="845"/>
      <c r="U107" s="1007"/>
      <c r="V107" s="1007"/>
      <c r="W107"/>
      <c r="X107" s="972"/>
      <c r="Y107" s="972"/>
      <c r="Z107" s="972"/>
      <c r="AA107"/>
      <c r="AB107" s="972"/>
    </row>
    <row r="108" spans="1:28" ht="15.75">
      <c r="A108" s="939"/>
      <c r="B108" s="845"/>
      <c r="C108" s="1631"/>
      <c r="D108" s="1623" t="s">
        <v>816</v>
      </c>
      <c r="E108" s="1631"/>
      <c r="F108" s="1653">
        <f>N108</f>
        <v>0</v>
      </c>
      <c r="G108" s="1690"/>
      <c r="H108" s="1691"/>
      <c r="I108" s="1627">
        <f t="shared" si="3"/>
        <v>0</v>
      </c>
      <c r="J108" s="1046"/>
      <c r="K108" s="1054"/>
      <c r="L108" s="1001"/>
      <c r="M108" s="1084"/>
      <c r="N108" s="1085">
        <v>0</v>
      </c>
      <c r="O108" s="1086"/>
      <c r="P108" s="845"/>
      <c r="Q108" s="845"/>
      <c r="R108" s="845"/>
      <c r="S108" s="845"/>
      <c r="T108" s="845"/>
      <c r="U108" s="1007"/>
      <c r="V108" s="1007"/>
      <c r="W108"/>
      <c r="X108" s="972"/>
      <c r="Y108" s="972"/>
      <c r="Z108" s="972"/>
      <c r="AA108"/>
      <c r="AB108" s="972"/>
    </row>
    <row r="109" spans="1:28" ht="15.75">
      <c r="A109" s="939"/>
      <c r="B109" s="845"/>
      <c r="C109" s="1631"/>
      <c r="D109" s="1623" t="s">
        <v>817</v>
      </c>
      <c r="E109" s="1631"/>
      <c r="F109" s="1653"/>
      <c r="G109" s="1690"/>
      <c r="H109" s="1691"/>
      <c r="I109" s="1627">
        <f t="shared" si="3"/>
        <v>0</v>
      </c>
      <c r="J109" s="1046"/>
      <c r="K109" s="1049"/>
      <c r="L109" s="1015"/>
      <c r="M109" s="1002"/>
      <c r="N109" s="845"/>
      <c r="O109" s="845"/>
      <c r="P109" s="845"/>
      <c r="Q109" s="845"/>
      <c r="R109" s="845"/>
      <c r="S109" s="845"/>
      <c r="T109" s="845"/>
      <c r="U109" s="1007"/>
      <c r="V109" s="1007"/>
      <c r="W109"/>
      <c r="X109" s="972"/>
      <c r="Y109" s="972"/>
      <c r="Z109" s="972"/>
      <c r="AA109"/>
      <c r="AB109" s="972"/>
    </row>
    <row r="110" spans="1:28" ht="15.75">
      <c r="A110" s="939"/>
      <c r="B110" s="845"/>
      <c r="C110" s="1631" t="s">
        <v>819</v>
      </c>
      <c r="D110" s="1623"/>
      <c r="E110" s="1631"/>
      <c r="F110" s="1653"/>
      <c r="G110" s="1690">
        <f>SUM(F111:F113)</f>
        <v>0</v>
      </c>
      <c r="H110" s="1691"/>
      <c r="I110" s="1627">
        <f t="shared" si="3"/>
        <v>0</v>
      </c>
      <c r="J110" s="1046"/>
      <c r="K110" s="1049"/>
      <c r="L110" s="1015"/>
      <c r="M110" s="1002"/>
      <c r="N110" s="845"/>
      <c r="O110" s="845"/>
      <c r="P110" s="845"/>
      <c r="Q110" s="845"/>
      <c r="R110" s="845"/>
      <c r="S110" s="845"/>
      <c r="T110" s="845"/>
      <c r="U110" s="1007">
        <v>1</v>
      </c>
      <c r="V110" s="1007">
        <v>0</v>
      </c>
      <c r="W110"/>
      <c r="X110" s="972">
        <f>U110*G110</f>
        <v>0</v>
      </c>
      <c r="Y110" s="972"/>
      <c r="Z110" s="972">
        <f>V110*G110</f>
        <v>0</v>
      </c>
      <c r="AA110"/>
      <c r="AB110" s="972">
        <v>0</v>
      </c>
    </row>
    <row r="111" spans="1:28" ht="15.75">
      <c r="A111" s="939"/>
      <c r="B111" s="845"/>
      <c r="C111" s="1631"/>
      <c r="D111" s="1623" t="s">
        <v>809</v>
      </c>
      <c r="E111" s="1631"/>
      <c r="F111" s="1653">
        <f>N111</f>
        <v>0</v>
      </c>
      <c r="G111" s="1690"/>
      <c r="H111" s="1691"/>
      <c r="I111" s="1627">
        <f t="shared" si="3"/>
        <v>0</v>
      </c>
      <c r="J111" s="1046"/>
      <c r="K111" s="1049"/>
      <c r="L111" s="1015"/>
      <c r="M111" s="1084"/>
      <c r="N111" s="1085"/>
      <c r="O111" s="1086"/>
      <c r="P111" s="845"/>
      <c r="Q111" s="845"/>
      <c r="R111" s="845"/>
      <c r="S111" s="845"/>
      <c r="T111" s="845"/>
      <c r="U111" s="1007"/>
      <c r="V111" s="1007"/>
      <c r="W111"/>
      <c r="X111" s="972"/>
      <c r="Y111" s="972"/>
      <c r="Z111" s="972"/>
      <c r="AA111"/>
      <c r="AB111" s="972"/>
    </row>
    <row r="112" spans="1:28" ht="15.75">
      <c r="A112" s="939"/>
      <c r="B112" s="845"/>
      <c r="C112" s="1631"/>
      <c r="D112" s="1623" t="s">
        <v>816</v>
      </c>
      <c r="E112" s="1631"/>
      <c r="F112" s="1653">
        <f>N112</f>
        <v>0</v>
      </c>
      <c r="G112" s="1690"/>
      <c r="H112" s="1691"/>
      <c r="I112" s="1627">
        <f t="shared" si="3"/>
        <v>0</v>
      </c>
      <c r="J112" s="1046"/>
      <c r="K112" s="1049"/>
      <c r="L112" s="1015"/>
      <c r="M112" s="1084"/>
      <c r="N112" s="1085"/>
      <c r="O112" s="1086"/>
      <c r="P112" s="845"/>
      <c r="Q112" s="845"/>
      <c r="R112" s="845"/>
      <c r="S112" s="845"/>
      <c r="T112" s="845"/>
      <c r="U112" s="1007"/>
      <c r="V112" s="1007"/>
      <c r="W112"/>
      <c r="X112" s="972"/>
      <c r="Y112" s="972"/>
      <c r="Z112" s="972"/>
      <c r="AA112"/>
      <c r="AB112" s="972"/>
    </row>
    <row r="113" spans="1:28" ht="15.75">
      <c r="A113" s="939"/>
      <c r="B113" s="845"/>
      <c r="C113" s="1631"/>
      <c r="D113" s="1623" t="s">
        <v>817</v>
      </c>
      <c r="E113" s="1631"/>
      <c r="F113" s="1653"/>
      <c r="G113" s="1690"/>
      <c r="H113" s="1691"/>
      <c r="I113" s="1627">
        <f t="shared" si="3"/>
        <v>0</v>
      </c>
      <c r="J113" s="1046"/>
      <c r="K113" s="1052"/>
      <c r="L113" s="1030"/>
      <c r="M113" s="1002"/>
      <c r="N113" s="845"/>
      <c r="O113" s="845"/>
      <c r="P113" s="845"/>
      <c r="Q113" s="845"/>
      <c r="R113" s="845"/>
      <c r="S113" s="845"/>
      <c r="T113" s="845"/>
      <c r="U113" s="1007"/>
      <c r="V113" s="1007"/>
      <c r="W113"/>
      <c r="X113" s="972"/>
      <c r="Y113" s="972"/>
      <c r="Z113" s="972"/>
      <c r="AA113"/>
      <c r="AB113" s="972"/>
    </row>
    <row r="114" spans="1:28">
      <c r="A114" s="939"/>
      <c r="B114" s="858"/>
      <c r="C114" s="1678" t="s">
        <v>820</v>
      </c>
      <c r="D114" s="1645"/>
      <c r="E114" s="1695"/>
      <c r="F114" s="1701"/>
      <c r="G114" s="1686">
        <f>SUM(G99:G110)</f>
        <v>249165.84752440249</v>
      </c>
      <c r="H114" s="1687"/>
      <c r="I114" s="1627">
        <f t="shared" si="3"/>
        <v>1639.248996871069</v>
      </c>
      <c r="J114" s="1048"/>
      <c r="K114" s="1062"/>
      <c r="L114" s="1063"/>
      <c r="M114" s="1050"/>
      <c r="N114" s="858"/>
      <c r="O114" s="858"/>
      <c r="P114" s="858"/>
      <c r="Q114" s="858"/>
      <c r="R114" s="858"/>
      <c r="S114" s="858"/>
      <c r="T114" s="858"/>
      <c r="U114" s="1020"/>
      <c r="V114" s="1020"/>
      <c r="W114" s="1021"/>
      <c r="X114" s="1023">
        <f>SUM(X99:X113)</f>
        <v>249165.84752440249</v>
      </c>
      <c r="Y114" s="1023"/>
      <c r="Z114" s="1023">
        <f>SUM(Z99:Z113)</f>
        <v>0</v>
      </c>
      <c r="AA114" s="1021"/>
      <c r="AB114" s="1023">
        <v>300</v>
      </c>
    </row>
    <row r="115" spans="1:28" ht="15.75">
      <c r="A115" s="939"/>
      <c r="B115" s="845"/>
      <c r="C115" s="1645" t="s">
        <v>821</v>
      </c>
      <c r="D115" s="1623"/>
      <c r="E115" s="1689"/>
      <c r="F115" s="1653"/>
      <c r="G115" s="1647"/>
      <c r="H115" s="1648"/>
      <c r="I115" s="1627">
        <f>G115/$F$9</f>
        <v>0</v>
      </c>
      <c r="J115" s="1051"/>
      <c r="K115" s="1054"/>
      <c r="L115" s="1001"/>
      <c r="M115" s="1082" t="s">
        <v>813</v>
      </c>
      <c r="N115" s="1083" t="s">
        <v>814</v>
      </c>
      <c r="O115" s="1083"/>
      <c r="P115" s="845"/>
      <c r="Q115" s="845"/>
      <c r="R115" s="845"/>
      <c r="S115" s="845"/>
      <c r="T115" s="845"/>
      <c r="U115" s="1007"/>
      <c r="V115" s="1007"/>
      <c r="W115"/>
      <c r="X115" s="972"/>
      <c r="Y115" s="972"/>
      <c r="Z115" s="972"/>
      <c r="AA115"/>
      <c r="AB115" s="972"/>
    </row>
    <row r="116" spans="1:28" ht="23.25">
      <c r="A116" s="3"/>
      <c r="B116" s="845"/>
      <c r="C116" s="1713" t="s">
        <v>108</v>
      </c>
      <c r="D116" s="1713"/>
      <c r="E116" s="1714"/>
      <c r="F116" s="1715"/>
      <c r="G116" s="1716">
        <f>N116</f>
        <v>4497719.2800543327</v>
      </c>
      <c r="H116" s="1717"/>
      <c r="I116" s="1627">
        <f t="shared" si="3"/>
        <v>29590.258421410083</v>
      </c>
      <c r="J116" s="1088"/>
      <c r="K116" s="1089" t="s">
        <v>822</v>
      </c>
      <c r="L116" s="1039"/>
      <c r="M116" s="1090">
        <f>0.5*Data!C20*Data!C17/12*Data!C19</f>
        <v>3691662.0000000009</v>
      </c>
      <c r="N116" s="1091">
        <v>4497719.2800543327</v>
      </c>
      <c r="O116" s="1092"/>
      <c r="P116" s="845"/>
      <c r="Q116" s="845"/>
      <c r="R116" s="845"/>
      <c r="S116" s="845"/>
      <c r="T116" s="845"/>
      <c r="U116" s="1007">
        <v>1</v>
      </c>
      <c r="V116" s="1007">
        <v>0</v>
      </c>
      <c r="W116"/>
      <c r="X116" s="972">
        <f t="shared" ref="X116:X121" si="4">U116*G116</f>
        <v>4497719.2800543327</v>
      </c>
      <c r="Y116" s="972"/>
      <c r="Z116" s="972">
        <f t="shared" ref="Z116:Z121" si="5">V116*G116</f>
        <v>0</v>
      </c>
      <c r="AA116"/>
      <c r="AB116" s="972">
        <v>89376.706491925477</v>
      </c>
    </row>
    <row r="117" spans="1:28" ht="15.75">
      <c r="A117" s="939"/>
      <c r="B117" s="845"/>
      <c r="C117" s="1623" t="s">
        <v>823</v>
      </c>
      <c r="D117" s="1623"/>
      <c r="E117" s="1689"/>
      <c r="F117" s="1653"/>
      <c r="G117" s="1718">
        <f>N117</f>
        <v>637974.36596515356</v>
      </c>
      <c r="H117" s="1719"/>
      <c r="I117" s="1627">
        <f t="shared" si="3"/>
        <v>4197.199776086537</v>
      </c>
      <c r="J117" s="1003"/>
      <c r="K117" s="1093" t="s">
        <v>824</v>
      </c>
      <c r="L117" s="1094"/>
      <c r="M117" s="1095">
        <f>0.01*Data!C20</f>
        <v>523640</v>
      </c>
      <c r="N117" s="1085">
        <v>637974.36596515356</v>
      </c>
      <c r="O117" s="1086"/>
      <c r="P117" s="845"/>
      <c r="Q117" s="845"/>
      <c r="R117" s="845"/>
      <c r="S117" s="845"/>
      <c r="T117" s="845"/>
      <c r="U117" s="1007">
        <v>1</v>
      </c>
      <c r="V117" s="1007">
        <v>0</v>
      </c>
      <c r="W117"/>
      <c r="X117" s="972">
        <f t="shared" si="4"/>
        <v>637974.36596515356</v>
      </c>
      <c r="Y117" s="972"/>
      <c r="Z117" s="972">
        <f t="shared" si="5"/>
        <v>0</v>
      </c>
      <c r="AA117"/>
      <c r="AB117" s="972">
        <v>10621.546977765647</v>
      </c>
    </row>
    <row r="118" spans="1:28" ht="15.75">
      <c r="A118" s="3"/>
      <c r="B118" s="845"/>
      <c r="C118" s="1623" t="s">
        <v>825</v>
      </c>
      <c r="D118" s="1623"/>
      <c r="E118" s="1689"/>
      <c r="F118" s="1653"/>
      <c r="G118" s="1718"/>
      <c r="H118" s="1719"/>
      <c r="I118" s="1627">
        <f t="shared" si="3"/>
        <v>0</v>
      </c>
      <c r="J118" s="1003"/>
      <c r="K118" s="1054" t="s">
        <v>826</v>
      </c>
      <c r="L118" s="1001"/>
      <c r="M118" s="1095">
        <v>0</v>
      </c>
      <c r="N118" s="1085">
        <v>0</v>
      </c>
      <c r="O118" s="1086"/>
      <c r="P118" s="1096" t="s">
        <v>827</v>
      </c>
      <c r="Q118" s="1097">
        <v>5000</v>
      </c>
      <c r="R118" s="845"/>
      <c r="S118" s="845"/>
      <c r="T118" s="845"/>
      <c r="U118" s="1060">
        <v>1</v>
      </c>
      <c r="V118" s="1007">
        <f>1-U118</f>
        <v>0</v>
      </c>
      <c r="W118"/>
      <c r="X118" s="972">
        <f t="shared" si="4"/>
        <v>0</v>
      </c>
      <c r="Y118" s="972"/>
      <c r="Z118" s="972">
        <f t="shared" si="5"/>
        <v>0</v>
      </c>
      <c r="AA118"/>
      <c r="AB118" s="972">
        <v>0</v>
      </c>
    </row>
    <row r="119" spans="1:28" ht="15.75">
      <c r="A119" s="939"/>
      <c r="B119" s="845"/>
      <c r="C119" s="1623" t="s">
        <v>828</v>
      </c>
      <c r="D119" s="1623"/>
      <c r="E119" s="1689"/>
      <c r="F119" s="1653"/>
      <c r="G119" s="1718"/>
      <c r="H119" s="1719"/>
      <c r="I119" s="1627">
        <f t="shared" si="3"/>
        <v>0</v>
      </c>
      <c r="J119" s="1003"/>
      <c r="K119" s="1054"/>
      <c r="L119" s="1001"/>
      <c r="M119" s="1098"/>
      <c r="N119" s="1086"/>
      <c r="O119" s="1086"/>
      <c r="P119" s="845"/>
      <c r="Q119" s="845"/>
      <c r="R119" s="845"/>
      <c r="S119" s="845"/>
      <c r="T119" s="845"/>
      <c r="U119" s="1060">
        <v>1</v>
      </c>
      <c r="V119" s="1007">
        <f>1-U119</f>
        <v>0</v>
      </c>
      <c r="W119"/>
      <c r="X119" s="972">
        <f t="shared" si="4"/>
        <v>0</v>
      </c>
      <c r="Y119" s="972"/>
      <c r="Z119" s="972">
        <f t="shared" si="5"/>
        <v>0</v>
      </c>
      <c r="AA119"/>
      <c r="AB119" s="972">
        <v>0</v>
      </c>
    </row>
    <row r="120" spans="1:28" ht="15.75">
      <c r="A120" s="3"/>
      <c r="B120" s="845"/>
      <c r="C120" s="1623" t="s">
        <v>829</v>
      </c>
      <c r="D120" s="1623"/>
      <c r="E120" s="1720">
        <f>'Tax Calc'!E3</f>
        <v>1.199398E-2</v>
      </c>
      <c r="F120" s="1658"/>
      <c r="G120" s="1647">
        <f>'Tax Calc'!C15</f>
        <v>296251.30599999998</v>
      </c>
      <c r="H120" s="1648"/>
      <c r="I120" s="1627">
        <f t="shared" si="3"/>
        <v>1949.0217499999999</v>
      </c>
      <c r="J120" s="1003"/>
      <c r="K120" s="1054" t="s">
        <v>987</v>
      </c>
      <c r="L120" s="1001"/>
      <c r="M120" s="1099"/>
      <c r="N120" s="1100"/>
      <c r="O120" s="1086"/>
      <c r="P120" s="845"/>
      <c r="Q120" s="845"/>
      <c r="R120" s="845"/>
      <c r="S120" s="845"/>
      <c r="T120" s="845"/>
      <c r="U120" s="1007">
        <v>1</v>
      </c>
      <c r="V120" s="1007">
        <v>0</v>
      </c>
      <c r="W120"/>
      <c r="X120" s="972">
        <f t="shared" si="4"/>
        <v>296251.30599999998</v>
      </c>
      <c r="Y120" s="972"/>
      <c r="Z120" s="972">
        <f t="shared" si="5"/>
        <v>0</v>
      </c>
      <c r="AA120"/>
      <c r="AB120" s="972">
        <v>4336.4786413080001</v>
      </c>
    </row>
    <row r="121" spans="1:28" ht="15.75">
      <c r="A121" s="939"/>
      <c r="B121" s="845"/>
      <c r="C121" s="1623" t="s">
        <v>407</v>
      </c>
      <c r="D121" s="1623"/>
      <c r="E121" s="1721"/>
      <c r="F121" s="1653"/>
      <c r="G121" s="1693">
        <f>SUM(F122:F124)</f>
        <v>849267.01356131269</v>
      </c>
      <c r="H121" s="1694"/>
      <c r="I121" s="1627">
        <f t="shared" si="3"/>
        <v>5587.2829839560045</v>
      </c>
      <c r="J121" s="1046"/>
      <c r="K121" s="1061"/>
      <c r="L121" s="1024"/>
      <c r="M121" s="1099"/>
      <c r="N121" s="1100"/>
      <c r="O121" s="1086"/>
      <c r="P121" s="845"/>
      <c r="Q121" s="845"/>
      <c r="R121" s="845"/>
      <c r="S121" s="845"/>
      <c r="T121" s="845"/>
      <c r="U121" s="1007">
        <v>1</v>
      </c>
      <c r="V121" s="1007">
        <v>0</v>
      </c>
      <c r="W121"/>
      <c r="X121" s="972">
        <f t="shared" si="4"/>
        <v>849267.01356131269</v>
      </c>
      <c r="Y121" s="972"/>
      <c r="Z121" s="972">
        <f t="shared" si="5"/>
        <v>0</v>
      </c>
      <c r="AA121"/>
      <c r="AB121" s="972">
        <v>14170.166926939903</v>
      </c>
    </row>
    <row r="122" spans="1:28" ht="15.75">
      <c r="A122" s="3"/>
      <c r="B122" s="845"/>
      <c r="C122" s="1623"/>
      <c r="D122" s="1623" t="s">
        <v>830</v>
      </c>
      <c r="E122" s="1631"/>
      <c r="F122" s="1653">
        <v>0</v>
      </c>
      <c r="G122" s="1690"/>
      <c r="H122" s="1691"/>
      <c r="I122" s="1627">
        <f t="shared" si="3"/>
        <v>0</v>
      </c>
      <c r="J122" s="1046"/>
      <c r="K122" s="1061"/>
      <c r="L122" s="1024"/>
      <c r="M122" s="1099"/>
      <c r="N122" s="1100"/>
      <c r="O122" s="1086"/>
      <c r="P122" s="845"/>
      <c r="Q122" s="845"/>
      <c r="R122" s="845"/>
      <c r="S122" s="845"/>
      <c r="T122" s="845"/>
      <c r="U122" s="1007"/>
      <c r="V122" s="1007"/>
      <c r="W122"/>
      <c r="X122" s="972"/>
      <c r="Y122" s="972"/>
      <c r="Z122" s="972"/>
      <c r="AA122"/>
      <c r="AB122" s="972"/>
    </row>
    <row r="123" spans="1:28" ht="15.75">
      <c r="A123" s="3"/>
      <c r="B123" s="845"/>
      <c r="C123" s="1623"/>
      <c r="D123" s="1623" t="s">
        <v>831</v>
      </c>
      <c r="E123" s="1722"/>
      <c r="F123" s="1723">
        <f>'Insurance Estimator'!E19*1.35</f>
        <v>849267.01356131269</v>
      </c>
      <c r="G123" s="1690"/>
      <c r="H123" s="1691"/>
      <c r="I123" s="1627">
        <f t="shared" si="3"/>
        <v>0</v>
      </c>
      <c r="J123" s="1046"/>
      <c r="K123" s="1101" t="s">
        <v>832</v>
      </c>
      <c r="L123" s="1074"/>
      <c r="M123" s="1099"/>
      <c r="N123" s="1100"/>
      <c r="O123" s="1086"/>
      <c r="P123" s="845"/>
      <c r="Q123" s="845"/>
      <c r="R123" s="845"/>
      <c r="S123" s="845"/>
      <c r="T123" s="845"/>
      <c r="U123" s="1007"/>
      <c r="V123" s="1007"/>
      <c r="W123"/>
      <c r="X123" s="972"/>
      <c r="Y123" s="972"/>
      <c r="Z123" s="972"/>
      <c r="AA123"/>
      <c r="AB123" s="972"/>
    </row>
    <row r="124" spans="1:28" ht="15.75">
      <c r="A124" s="3"/>
      <c r="B124" s="845"/>
      <c r="C124" s="1623"/>
      <c r="D124" s="1623" t="s">
        <v>833</v>
      </c>
      <c r="E124" s="1689"/>
      <c r="F124" s="1653">
        <v>0</v>
      </c>
      <c r="G124" s="1690"/>
      <c r="H124" s="1691"/>
      <c r="I124" s="1627">
        <f t="shared" si="3"/>
        <v>0</v>
      </c>
      <c r="J124" s="1046"/>
      <c r="K124" s="1061" t="s">
        <v>832</v>
      </c>
      <c r="L124" s="1024"/>
      <c r="M124" s="1099"/>
      <c r="N124" s="1100"/>
      <c r="O124" s="1086"/>
      <c r="P124" s="845"/>
      <c r="Q124" s="845"/>
      <c r="R124" s="845"/>
      <c r="S124" s="845"/>
      <c r="T124" s="845"/>
      <c r="U124" s="1007"/>
      <c r="V124" s="1007"/>
      <c r="W124"/>
      <c r="X124" s="972"/>
      <c r="Y124" s="972"/>
      <c r="Z124" s="972"/>
      <c r="AA124"/>
      <c r="AB124" s="972"/>
    </row>
    <row r="125" spans="1:28" ht="15.75">
      <c r="A125" s="939"/>
      <c r="B125" s="845"/>
      <c r="C125" s="1623" t="s">
        <v>834</v>
      </c>
      <c r="D125" s="1623"/>
      <c r="E125" s="1689"/>
      <c r="F125" s="1653"/>
      <c r="G125" s="1690">
        <f>SUM(F126:F127)</f>
        <v>105696.15489477303</v>
      </c>
      <c r="H125" s="1691"/>
      <c r="I125" s="1627">
        <f t="shared" si="3"/>
        <v>695.36944009719105</v>
      </c>
      <c r="J125" s="1046"/>
      <c r="K125" s="1054"/>
      <c r="L125" s="1001"/>
      <c r="M125" s="1082" t="s">
        <v>813</v>
      </c>
      <c r="N125" s="1083" t="s">
        <v>814</v>
      </c>
      <c r="O125" s="1083"/>
      <c r="P125" s="845"/>
      <c r="Q125" s="845"/>
      <c r="R125" s="845"/>
      <c r="S125" s="845"/>
      <c r="T125" s="845"/>
      <c r="U125" s="1007">
        <v>1</v>
      </c>
      <c r="V125" s="1007">
        <v>0</v>
      </c>
      <c r="W125"/>
      <c r="X125" s="972">
        <f>U125*G125</f>
        <v>105696.15489477303</v>
      </c>
      <c r="Y125" s="972"/>
      <c r="Z125" s="972">
        <f>V125*G125</f>
        <v>0</v>
      </c>
      <c r="AA125"/>
      <c r="AB125" s="972">
        <v>1793.2320466648466</v>
      </c>
    </row>
    <row r="126" spans="1:28" ht="15.75">
      <c r="A126" s="939"/>
      <c r="B126" s="845"/>
      <c r="C126" s="1623"/>
      <c r="D126" s="1623" t="s">
        <v>835</v>
      </c>
      <c r="E126" s="1722">
        <v>1.5E-3</v>
      </c>
      <c r="F126" s="1653">
        <f>N126</f>
        <v>95696.154894773033</v>
      </c>
      <c r="G126" s="1690"/>
      <c r="H126" s="1691"/>
      <c r="I126" s="1627">
        <f t="shared" si="3"/>
        <v>0</v>
      </c>
      <c r="J126" s="1046"/>
      <c r="K126" s="1049"/>
      <c r="L126" s="1015"/>
      <c r="M126" s="1095">
        <f>+E126*Data!C20</f>
        <v>78546</v>
      </c>
      <c r="N126" s="1085">
        <v>95696.154894773033</v>
      </c>
      <c r="O126" s="1086"/>
      <c r="P126" s="845"/>
      <c r="Q126" s="845"/>
      <c r="R126" s="845"/>
      <c r="S126" s="845"/>
      <c r="T126" s="845"/>
      <c r="U126" s="1007"/>
      <c r="V126" s="1007"/>
      <c r="W126"/>
      <c r="X126" s="972"/>
      <c r="Y126" s="972"/>
      <c r="Z126" s="972"/>
      <c r="AA126"/>
      <c r="AB126" s="972"/>
    </row>
    <row r="127" spans="1:28" ht="15.75">
      <c r="A127" s="939"/>
      <c r="B127" s="845"/>
      <c r="C127" s="1623"/>
      <c r="D127" s="1623" t="s">
        <v>836</v>
      </c>
      <c r="E127" s="1689"/>
      <c r="F127" s="1653">
        <v>10000</v>
      </c>
      <c r="G127" s="1690"/>
      <c r="H127" s="1691"/>
      <c r="I127" s="1627">
        <f t="shared" si="3"/>
        <v>0</v>
      </c>
      <c r="J127" s="1046"/>
      <c r="K127" s="1049"/>
      <c r="L127" s="1015"/>
      <c r="M127" s="1099"/>
      <c r="N127" s="1100"/>
      <c r="O127" s="1086"/>
      <c r="P127" s="845"/>
      <c r="Q127" s="845"/>
      <c r="R127" s="845"/>
      <c r="S127" s="845"/>
      <c r="T127" s="845"/>
      <c r="U127" s="1007"/>
      <c r="V127" s="1007"/>
      <c r="W127"/>
      <c r="X127" s="972"/>
      <c r="Y127" s="972"/>
      <c r="Z127" s="972"/>
      <c r="AA127"/>
      <c r="AB127" s="972"/>
    </row>
    <row r="128" spans="1:28" ht="15.75">
      <c r="A128" s="939"/>
      <c r="B128" s="845"/>
      <c r="C128" s="1623" t="s">
        <v>837</v>
      </c>
      <c r="D128" s="1623"/>
      <c r="E128" s="1689"/>
      <c r="F128" s="1653"/>
      <c r="G128" s="1690">
        <f>SUM(F129:F131)</f>
        <v>15400</v>
      </c>
      <c r="H128" s="1691"/>
      <c r="I128" s="1627">
        <f t="shared" si="3"/>
        <v>101.31578947368421</v>
      </c>
      <c r="J128" s="1046"/>
      <c r="K128" s="1102"/>
      <c r="L128" s="1103"/>
      <c r="M128" s="1099"/>
      <c r="N128" s="1100"/>
      <c r="O128" s="1086"/>
      <c r="P128" s="845"/>
      <c r="Q128" s="845"/>
      <c r="R128" s="845"/>
      <c r="S128" s="845"/>
      <c r="T128" s="845"/>
      <c r="U128" s="1007">
        <v>1</v>
      </c>
      <c r="V128" s="1007">
        <v>0</v>
      </c>
      <c r="W128"/>
      <c r="X128" s="972">
        <f>U128*G128</f>
        <v>15400</v>
      </c>
      <c r="Y128" s="972"/>
      <c r="Z128" s="972">
        <f>V128*G128</f>
        <v>0</v>
      </c>
      <c r="AA128"/>
      <c r="AB128" s="972">
        <v>308</v>
      </c>
    </row>
    <row r="129" spans="2:28" ht="15.75">
      <c r="B129" s="845"/>
      <c r="C129" s="1623"/>
      <c r="D129" s="1623" t="s">
        <v>838</v>
      </c>
      <c r="E129" s="1689"/>
      <c r="F129" s="1653">
        <v>10000</v>
      </c>
      <c r="G129" s="1690"/>
      <c r="H129" s="1691"/>
      <c r="I129" s="1627">
        <f t="shared" si="3"/>
        <v>0</v>
      </c>
      <c r="J129" s="1046"/>
      <c r="K129" s="1061"/>
      <c r="L129" s="1024"/>
      <c r="M129" s="1099"/>
      <c r="N129" s="1100"/>
      <c r="O129" s="1086"/>
      <c r="P129" s="845"/>
      <c r="Q129" s="845"/>
      <c r="R129" s="845"/>
      <c r="S129" s="845"/>
      <c r="T129" s="845"/>
      <c r="U129" s="1007"/>
      <c r="V129" s="1007"/>
      <c r="W129"/>
      <c r="X129" s="972"/>
      <c r="Y129" s="972"/>
      <c r="Z129" s="972"/>
      <c r="AA129"/>
      <c r="AB129" s="972"/>
    </row>
    <row r="130" spans="2:28" ht="15.75">
      <c r="B130" s="845"/>
      <c r="C130" s="1623"/>
      <c r="D130" s="1623" t="s">
        <v>839</v>
      </c>
      <c r="E130" s="1631">
        <v>600</v>
      </c>
      <c r="F130" s="1653">
        <v>2400</v>
      </c>
      <c r="G130" s="1690"/>
      <c r="H130" s="1691"/>
      <c r="I130" s="1627">
        <f t="shared" si="3"/>
        <v>0</v>
      </c>
      <c r="J130" s="1046"/>
      <c r="K130" s="1054"/>
      <c r="L130" s="1001"/>
      <c r="M130" s="1099"/>
      <c r="N130" s="1100"/>
      <c r="O130" s="1086"/>
      <c r="P130" s="845"/>
      <c r="Q130" s="845"/>
      <c r="R130" s="845"/>
      <c r="S130" s="845"/>
      <c r="T130" s="845"/>
      <c r="U130" s="1007"/>
      <c r="V130" s="1007"/>
      <c r="W130"/>
      <c r="X130" s="972"/>
      <c r="Y130" s="972"/>
      <c r="Z130" s="972"/>
      <c r="AA130"/>
      <c r="AB130" s="972"/>
    </row>
    <row r="131" spans="2:28" ht="15.75">
      <c r="B131" s="845"/>
      <c r="C131" s="1623"/>
      <c r="D131" s="1623" t="s">
        <v>840</v>
      </c>
      <c r="E131" s="1689"/>
      <c r="F131" s="1653">
        <v>3000</v>
      </c>
      <c r="G131" s="1690"/>
      <c r="H131" s="1691"/>
      <c r="I131" s="1627">
        <f t="shared" si="3"/>
        <v>0</v>
      </c>
      <c r="J131" s="1046"/>
      <c r="K131" s="1054"/>
      <c r="L131" s="1001"/>
      <c r="M131" s="1099"/>
      <c r="N131" s="1100"/>
      <c r="O131" s="1086"/>
      <c r="P131" s="845"/>
      <c r="Q131" s="845"/>
      <c r="R131" s="845"/>
      <c r="S131" s="845"/>
      <c r="T131" s="845"/>
      <c r="U131" s="1007"/>
      <c r="V131" s="1007"/>
      <c r="W131"/>
      <c r="X131" s="972"/>
      <c r="Y131" s="972"/>
      <c r="Z131" s="972"/>
      <c r="AA131"/>
      <c r="AB131" s="972"/>
    </row>
    <row r="132" spans="2:28" ht="23.25">
      <c r="B132" s="845"/>
      <c r="C132" s="1713" t="s">
        <v>841</v>
      </c>
      <c r="D132" s="1713"/>
      <c r="E132" s="1724" t="s">
        <v>842</v>
      </c>
      <c r="F132" s="1725">
        <v>0</v>
      </c>
      <c r="G132" s="1726"/>
      <c r="H132" s="1727"/>
      <c r="I132" s="1627">
        <f t="shared" si="3"/>
        <v>0</v>
      </c>
      <c r="J132" s="1087"/>
      <c r="K132" s="1104" t="s">
        <v>843</v>
      </c>
      <c r="L132" s="1105"/>
      <c r="M132" s="1082"/>
      <c r="N132" s="1083" t="s">
        <v>814</v>
      </c>
      <c r="O132" s="1083"/>
      <c r="P132" t="s">
        <v>844</v>
      </c>
      <c r="Q132" s="1106" t="s">
        <v>845</v>
      </c>
      <c r="R132" s="845"/>
      <c r="S132" s="845"/>
      <c r="T132" s="845"/>
      <c r="U132" s="1060">
        <v>1</v>
      </c>
      <c r="V132" s="1007">
        <f>1-U132</f>
        <v>0</v>
      </c>
      <c r="W132"/>
      <c r="X132" s="972">
        <f>U132*G132</f>
        <v>0</v>
      </c>
      <c r="Y132" s="972"/>
      <c r="Z132" s="972">
        <f>V132*G132</f>
        <v>0</v>
      </c>
      <c r="AA132"/>
      <c r="AB132" s="972">
        <v>0</v>
      </c>
    </row>
    <row r="133" spans="2:28" ht="15.75" hidden="1">
      <c r="B133" s="845"/>
      <c r="C133" s="1728"/>
      <c r="D133" s="1728"/>
      <c r="E133" s="1729"/>
      <c r="F133" s="1730"/>
      <c r="G133" s="1731"/>
      <c r="H133" s="1728"/>
      <c r="I133" s="1627">
        <f t="shared" si="3"/>
        <v>0</v>
      </c>
      <c r="J133" s="845"/>
      <c r="K133" s="1107" t="s">
        <v>846</v>
      </c>
      <c r="L133" s="1108"/>
      <c r="M133" s="1109"/>
      <c r="N133" s="1110">
        <v>0</v>
      </c>
      <c r="O133" s="1092"/>
      <c r="P133" s="1111">
        <v>27500</v>
      </c>
      <c r="Q133" s="1112">
        <f>0.0025*Data!E55</f>
        <v>0</v>
      </c>
      <c r="R133" s="845"/>
      <c r="S133" s="845"/>
      <c r="T133" s="845"/>
      <c r="U133" s="1007"/>
      <c r="V133" s="1007"/>
      <c r="W133"/>
      <c r="X133" s="972"/>
      <c r="Y133" s="972"/>
      <c r="Z133" s="972"/>
      <c r="AA133"/>
      <c r="AB133" s="972"/>
    </row>
    <row r="134" spans="2:28" ht="15.75" hidden="1">
      <c r="B134" s="845"/>
      <c r="C134" s="1631"/>
      <c r="D134" s="1631"/>
      <c r="E134" s="1732"/>
      <c r="F134" s="1730"/>
      <c r="G134" s="1733"/>
      <c r="H134" s="1631"/>
      <c r="I134" s="1627">
        <f t="shared" si="3"/>
        <v>0</v>
      </c>
      <c r="J134" s="844"/>
      <c r="K134" s="1113" t="s">
        <v>847</v>
      </c>
      <c r="L134" s="1114"/>
      <c r="M134" s="1115"/>
      <c r="N134" s="1116">
        <v>0</v>
      </c>
      <c r="O134" s="1117"/>
      <c r="P134" s="1118">
        <v>5000</v>
      </c>
      <c r="Q134" s="1119">
        <v>6000</v>
      </c>
      <c r="R134" s="845"/>
      <c r="S134" s="845"/>
      <c r="T134" s="845"/>
      <c r="U134" s="1007"/>
      <c r="V134" s="1007"/>
      <c r="W134"/>
      <c r="X134" s="972"/>
      <c r="Y134" s="972"/>
      <c r="Z134" s="972"/>
      <c r="AA134"/>
      <c r="AB134" s="972"/>
    </row>
    <row r="135" spans="2:28" ht="15.75" hidden="1">
      <c r="B135" s="845"/>
      <c r="C135" s="1631"/>
      <c r="D135" s="1631"/>
      <c r="E135" s="1631"/>
      <c r="F135" s="1730"/>
      <c r="G135" s="1733"/>
      <c r="H135" s="1631"/>
      <c r="I135" s="1627">
        <f t="shared" si="3"/>
        <v>0</v>
      </c>
      <c r="J135" s="844"/>
      <c r="K135" s="1113" t="s">
        <v>848</v>
      </c>
      <c r="L135" s="1114"/>
      <c r="M135" s="1082"/>
      <c r="N135" s="1116">
        <v>0</v>
      </c>
      <c r="O135" s="1083"/>
      <c r="P135" s="1097">
        <v>75000</v>
      </c>
      <c r="Q135" s="1119">
        <v>75000</v>
      </c>
      <c r="R135" s="845"/>
      <c r="S135" s="845"/>
      <c r="T135" s="845"/>
      <c r="U135" s="1007"/>
      <c r="V135" s="1007"/>
      <c r="W135"/>
      <c r="X135" s="972"/>
      <c r="Y135" s="972"/>
      <c r="Z135" s="972"/>
      <c r="AA135"/>
      <c r="AB135" s="972"/>
    </row>
    <row r="136" spans="2:28" ht="15.75" hidden="1">
      <c r="B136" s="845"/>
      <c r="C136" s="1631"/>
      <c r="D136" s="1631"/>
      <c r="E136" s="1732"/>
      <c r="F136" s="1730"/>
      <c r="G136" s="1733"/>
      <c r="H136" s="1631"/>
      <c r="I136" s="1627">
        <f t="shared" si="3"/>
        <v>0</v>
      </c>
      <c r="J136" s="844"/>
      <c r="K136" s="1113" t="s">
        <v>849</v>
      </c>
      <c r="L136" s="1114"/>
      <c r="M136" s="1120"/>
      <c r="N136" s="1121"/>
      <c r="O136" s="1122"/>
      <c r="P136" s="1117"/>
      <c r="Q136" s="1123"/>
      <c r="R136" s="845"/>
      <c r="S136" s="845"/>
      <c r="T136" s="845"/>
      <c r="U136" s="1007"/>
      <c r="V136" s="1007"/>
      <c r="W136"/>
      <c r="X136" s="972"/>
      <c r="Y136" s="972"/>
      <c r="Z136" s="972"/>
      <c r="AA136"/>
      <c r="AB136" s="972"/>
    </row>
    <row r="137" spans="2:28" ht="15.75" hidden="1">
      <c r="B137" s="845"/>
      <c r="C137" s="1631"/>
      <c r="D137" s="1631"/>
      <c r="E137" s="1631"/>
      <c r="F137" s="1730"/>
      <c r="G137" s="1733"/>
      <c r="H137" s="1631"/>
      <c r="I137" s="1627">
        <f t="shared" si="3"/>
        <v>0</v>
      </c>
      <c r="J137" s="844"/>
      <c r="K137" s="1113" t="s">
        <v>850</v>
      </c>
      <c r="L137" s="1114"/>
      <c r="M137" s="1115"/>
      <c r="N137" s="1121"/>
      <c r="O137" s="1122"/>
      <c r="P137" s="1117"/>
      <c r="Q137" s="1123"/>
      <c r="R137" s="845"/>
      <c r="S137" s="845"/>
      <c r="T137" s="845"/>
      <c r="U137" s="1007"/>
      <c r="V137" s="1007"/>
      <c r="W137"/>
      <c r="X137" s="972"/>
      <c r="Y137" s="972"/>
      <c r="Z137" s="972"/>
      <c r="AA137"/>
      <c r="AB137" s="972"/>
    </row>
    <row r="138" spans="2:28" ht="15.75" hidden="1">
      <c r="B138" s="845"/>
      <c r="C138" s="1631"/>
      <c r="D138" s="1631"/>
      <c r="E138" s="1631"/>
      <c r="F138" s="1730"/>
      <c r="G138" s="1733"/>
      <c r="H138" s="1631"/>
      <c r="I138" s="1627">
        <f t="shared" si="3"/>
        <v>0</v>
      </c>
      <c r="J138" s="844"/>
      <c r="K138" s="1113" t="s">
        <v>851</v>
      </c>
      <c r="L138" s="1114"/>
      <c r="M138" s="1124"/>
      <c r="N138" s="1125"/>
      <c r="O138" s="1124"/>
      <c r="P138" s="1117"/>
      <c r="Q138" s="1119">
        <v>5000</v>
      </c>
      <c r="R138" s="845"/>
      <c r="S138" s="845"/>
      <c r="T138" s="845"/>
      <c r="U138" s="1007"/>
      <c r="V138" s="1007"/>
      <c r="W138"/>
      <c r="X138" s="972"/>
      <c r="Y138" s="972"/>
      <c r="Z138" s="972"/>
      <c r="AA138"/>
      <c r="AB138" s="972"/>
    </row>
    <row r="139" spans="2:28" ht="15.75" hidden="1">
      <c r="B139" s="845"/>
      <c r="C139" s="1631"/>
      <c r="D139" s="1631"/>
      <c r="E139" s="1631"/>
      <c r="F139" s="1730"/>
      <c r="G139" s="1733"/>
      <c r="H139" s="1631"/>
      <c r="I139" s="1627">
        <f t="shared" si="3"/>
        <v>0</v>
      </c>
      <c r="J139" s="844"/>
      <c r="K139" s="1113" t="s">
        <v>852</v>
      </c>
      <c r="L139" s="1114"/>
      <c r="M139" s="1124"/>
      <c r="N139" s="1125"/>
      <c r="O139" s="1124"/>
      <c r="P139" s="1117"/>
      <c r="Q139" s="1119">
        <v>35000</v>
      </c>
      <c r="R139" s="845"/>
      <c r="S139" s="845"/>
      <c r="T139" s="845"/>
      <c r="U139" s="1007"/>
      <c r="V139" s="1007"/>
      <c r="W139"/>
      <c r="X139" s="972"/>
      <c r="Y139" s="972"/>
      <c r="Z139" s="972"/>
      <c r="AA139"/>
      <c r="AB139" s="972"/>
    </row>
    <row r="140" spans="2:28" ht="15.75" hidden="1">
      <c r="B140" s="845"/>
      <c r="C140" s="1631"/>
      <c r="D140" s="1631"/>
      <c r="E140" s="1631"/>
      <c r="F140" s="1730"/>
      <c r="G140" s="1733"/>
      <c r="H140" s="1631"/>
      <c r="I140" s="1627">
        <f t="shared" si="3"/>
        <v>0</v>
      </c>
      <c r="J140" s="844"/>
      <c r="K140" s="1113" t="s">
        <v>853</v>
      </c>
      <c r="L140" s="1114"/>
      <c r="M140" s="1124"/>
      <c r="N140" s="1126"/>
      <c r="O140" s="1124"/>
      <c r="P140" s="1117"/>
      <c r="Q140" s="1123"/>
      <c r="R140" s="845"/>
      <c r="S140" s="845"/>
      <c r="T140" s="845"/>
      <c r="U140" s="1007"/>
      <c r="V140" s="1007"/>
      <c r="W140"/>
      <c r="X140" s="972"/>
      <c r="Y140" s="972"/>
      <c r="Z140" s="972"/>
      <c r="AA140"/>
      <c r="AB140" s="972"/>
    </row>
    <row r="141" spans="2:28" ht="15.75" hidden="1">
      <c r="B141" s="845"/>
      <c r="C141" s="1631"/>
      <c r="D141" s="1631"/>
      <c r="E141" s="1631"/>
      <c r="F141" s="1730"/>
      <c r="G141" s="1733"/>
      <c r="H141" s="1631"/>
      <c r="I141" s="1627">
        <f t="shared" si="3"/>
        <v>0</v>
      </c>
      <c r="J141" s="844"/>
      <c r="K141" s="1113" t="s">
        <v>854</v>
      </c>
      <c r="L141" s="1114"/>
      <c r="M141" s="1124"/>
      <c r="N141" s="1126"/>
      <c r="O141" s="1124"/>
      <c r="P141" s="1127"/>
      <c r="Q141" s="1123"/>
      <c r="R141" s="845"/>
      <c r="S141" s="845"/>
      <c r="T141" s="845"/>
      <c r="U141" s="1007"/>
      <c r="V141" s="1007"/>
      <c r="W141"/>
      <c r="X141" s="972"/>
      <c r="Y141" s="972"/>
      <c r="Z141" s="972"/>
      <c r="AA141"/>
      <c r="AB141" s="972"/>
    </row>
    <row r="142" spans="2:28" ht="15.75" hidden="1">
      <c r="B142" s="845"/>
      <c r="C142" s="1631"/>
      <c r="D142" s="1631"/>
      <c r="E142" s="1631"/>
      <c r="F142" s="1730"/>
      <c r="G142" s="1733"/>
      <c r="H142" s="1631"/>
      <c r="I142" s="1627">
        <f t="shared" si="3"/>
        <v>0</v>
      </c>
      <c r="J142" s="844"/>
      <c r="K142" s="1113" t="s">
        <v>855</v>
      </c>
      <c r="L142" s="1114"/>
      <c r="M142" s="1124"/>
      <c r="N142" s="1126"/>
      <c r="O142" s="1124"/>
      <c r="P142" s="1127"/>
      <c r="Q142" s="1123"/>
      <c r="R142" s="845"/>
      <c r="S142" s="845"/>
      <c r="T142" s="845"/>
      <c r="U142" s="1007"/>
      <c r="V142" s="1007"/>
      <c r="W142"/>
      <c r="X142" s="972"/>
      <c r="Y142" s="972"/>
      <c r="Z142" s="972"/>
      <c r="AA142"/>
      <c r="AB142" s="972"/>
    </row>
    <row r="143" spans="2:28" ht="15.75" hidden="1">
      <c r="B143" s="845"/>
      <c r="C143" s="1631"/>
      <c r="D143" s="1631"/>
      <c r="E143" s="1631"/>
      <c r="F143" s="1730"/>
      <c r="G143" s="1733"/>
      <c r="H143" s="1631"/>
      <c r="I143" s="1627">
        <f t="shared" si="3"/>
        <v>0</v>
      </c>
      <c r="J143" s="844"/>
      <c r="K143" s="1113" t="s">
        <v>855</v>
      </c>
      <c r="L143" s="1114"/>
      <c r="M143" s="1124"/>
      <c r="N143" s="1126"/>
      <c r="O143" s="1124"/>
      <c r="P143" s="1127"/>
      <c r="Q143" s="1123"/>
      <c r="R143" s="845"/>
      <c r="S143" s="845"/>
      <c r="T143" s="845"/>
      <c r="U143" s="1007"/>
      <c r="V143" s="1007"/>
      <c r="W143"/>
      <c r="X143" s="972"/>
      <c r="Y143" s="972"/>
      <c r="Z143" s="972"/>
      <c r="AA143"/>
      <c r="AB143" s="972"/>
    </row>
    <row r="144" spans="2:28" ht="15.75" hidden="1">
      <c r="B144" s="845"/>
      <c r="C144" s="1631"/>
      <c r="D144" s="1631"/>
      <c r="E144" s="1631"/>
      <c r="F144" s="1730"/>
      <c r="G144" s="1733"/>
      <c r="H144" s="1631"/>
      <c r="I144" s="1627">
        <f t="shared" si="3"/>
        <v>0</v>
      </c>
      <c r="J144" s="844"/>
      <c r="K144" s="1113" t="s">
        <v>856</v>
      </c>
      <c r="L144" s="1114"/>
      <c r="M144" s="1124"/>
      <c r="N144" s="1125"/>
      <c r="O144" s="1124"/>
      <c r="P144" s="1127"/>
      <c r="Q144" s="1119"/>
      <c r="R144" s="845"/>
      <c r="S144" s="845"/>
      <c r="T144" s="845"/>
      <c r="U144" s="1007"/>
      <c r="V144" s="1007"/>
      <c r="W144"/>
      <c r="X144" s="972"/>
      <c r="Y144" s="972"/>
      <c r="Z144" s="972"/>
      <c r="AA144"/>
      <c r="AB144" s="972"/>
    </row>
    <row r="145" spans="2:28" ht="15.75" hidden="1">
      <c r="B145" s="845"/>
      <c r="C145" s="1631"/>
      <c r="D145" s="1631"/>
      <c r="E145" s="1631"/>
      <c r="F145" s="1730"/>
      <c r="G145" s="1733"/>
      <c r="H145" s="1631"/>
      <c r="I145" s="1627">
        <f t="shared" si="3"/>
        <v>0</v>
      </c>
      <c r="J145" s="844"/>
      <c r="K145" s="1113" t="s">
        <v>857</v>
      </c>
      <c r="L145" s="1114"/>
      <c r="M145" s="1128"/>
      <c r="N145" s="1126"/>
      <c r="O145" s="1124"/>
      <c r="P145" s="1127"/>
      <c r="Q145" s="1123"/>
      <c r="R145" s="845"/>
      <c r="S145" s="845"/>
      <c r="T145" s="845"/>
      <c r="U145" s="1007"/>
      <c r="V145" s="1007"/>
      <c r="W145"/>
      <c r="X145" s="972"/>
      <c r="Y145" s="972"/>
      <c r="Z145" s="972"/>
      <c r="AA145"/>
      <c r="AB145" s="972"/>
    </row>
    <row r="146" spans="2:28" ht="15.75" hidden="1">
      <c r="B146" s="845"/>
      <c r="C146" s="1631"/>
      <c r="D146" s="1631"/>
      <c r="E146" s="1732"/>
      <c r="F146" s="1730"/>
      <c r="G146" s="1733"/>
      <c r="H146" s="1631"/>
      <c r="I146" s="1627">
        <f t="shared" si="3"/>
        <v>0</v>
      </c>
      <c r="J146" s="844"/>
      <c r="K146" s="1113" t="s">
        <v>858</v>
      </c>
      <c r="L146" s="1114"/>
      <c r="M146" s="1129"/>
      <c r="N146" s="1130"/>
      <c r="O146" s="1131"/>
      <c r="P146" s="1132"/>
      <c r="Q146" s="1133"/>
      <c r="R146" s="845"/>
      <c r="S146" s="845"/>
      <c r="T146" s="845"/>
      <c r="U146" s="1007"/>
      <c r="V146" s="1007"/>
      <c r="W146"/>
      <c r="X146" s="972"/>
      <c r="Y146" s="972"/>
      <c r="Z146" s="972"/>
      <c r="AA146"/>
      <c r="AB146" s="972"/>
    </row>
    <row r="147" spans="2:28" ht="15.75" hidden="1">
      <c r="B147" s="845"/>
      <c r="C147" s="1631"/>
      <c r="D147" s="1631"/>
      <c r="E147" s="1631"/>
      <c r="F147" s="1730"/>
      <c r="G147" s="1733"/>
      <c r="H147" s="1631"/>
      <c r="I147" s="1627">
        <f t="shared" ref="I147:I222" si="6">G147/$F$9</f>
        <v>0</v>
      </c>
      <c r="J147" s="844"/>
      <c r="K147" s="1113" t="s">
        <v>859</v>
      </c>
      <c r="L147" s="1114"/>
      <c r="M147"/>
      <c r="N147" s="1116"/>
      <c r="O147"/>
      <c r="P147" s="1097"/>
      <c r="Q147" s="1119"/>
      <c r="R147" s="845"/>
      <c r="S147" s="845"/>
      <c r="T147" s="845"/>
      <c r="U147" s="1007"/>
      <c r="V147" s="1007"/>
      <c r="W147"/>
      <c r="X147" s="972"/>
      <c r="Y147" s="972"/>
      <c r="Z147" s="972"/>
      <c r="AA147"/>
      <c r="AB147" s="972"/>
    </row>
    <row r="148" spans="2:28">
      <c r="B148" s="858"/>
      <c r="C148" s="1678" t="s">
        <v>860</v>
      </c>
      <c r="D148" s="1645"/>
      <c r="E148" s="1695"/>
      <c r="F148" s="1696"/>
      <c r="G148" s="1697">
        <f>SUM(G116:G147)</f>
        <v>6402308.1204755725</v>
      </c>
      <c r="H148" s="1698"/>
      <c r="I148" s="1627">
        <f t="shared" si="6"/>
        <v>42120.448161023502</v>
      </c>
      <c r="J148" s="1134"/>
      <c r="K148" s="1062"/>
      <c r="L148" s="1063"/>
      <c r="M148" s="1064" t="s">
        <v>1037</v>
      </c>
      <c r="N148" s="858"/>
      <c r="O148" s="858"/>
      <c r="P148" s="858"/>
      <c r="Q148" s="1135"/>
      <c r="R148" s="858"/>
      <c r="S148" s="858"/>
      <c r="T148" s="858"/>
      <c r="U148" s="1020"/>
      <c r="V148" s="1020"/>
      <c r="W148" s="1021"/>
      <c r="X148" s="1023">
        <f>SUM(X116:X147)</f>
        <v>6402308.1204755725</v>
      </c>
      <c r="Y148" s="1023"/>
      <c r="Z148" s="1023">
        <f>SUM(Z116:Z147)</f>
        <v>0</v>
      </c>
      <c r="AA148" s="1021"/>
      <c r="AB148" s="1023">
        <v>120606.13108460387</v>
      </c>
    </row>
    <row r="149" spans="2:28">
      <c r="B149" s="858"/>
      <c r="C149" s="1645" t="s">
        <v>996</v>
      </c>
      <c r="D149" s="1623"/>
      <c r="E149" s="1689"/>
      <c r="F149" s="1653"/>
      <c r="G149" s="1690"/>
      <c r="H149" s="1691"/>
      <c r="I149" s="1627">
        <f>G149/$F$9</f>
        <v>0</v>
      </c>
      <c r="J149" s="1046"/>
      <c r="K149" s="1054"/>
      <c r="L149" s="1001"/>
      <c r="M149" s="1050" t="s">
        <v>813</v>
      </c>
      <c r="N149" s="858" t="s">
        <v>963</v>
      </c>
      <c r="O149" s="858"/>
      <c r="P149" s="858"/>
      <c r="Q149" s="1272"/>
      <c r="R149" s="858"/>
      <c r="S149" s="858"/>
      <c r="T149" s="858"/>
      <c r="U149" s="1020"/>
      <c r="V149" s="1020"/>
      <c r="W149" s="1021"/>
      <c r="X149" s="1023"/>
      <c r="Y149" s="1023"/>
      <c r="Z149" s="1023"/>
      <c r="AA149" s="1021"/>
      <c r="AB149" s="1023"/>
    </row>
    <row r="150" spans="2:28">
      <c r="B150" s="858"/>
      <c r="C150" s="1623"/>
      <c r="D150" s="1623"/>
      <c r="E150" s="1689"/>
      <c r="F150" s="1653"/>
      <c r="G150" s="1690">
        <f>N150</f>
        <v>0</v>
      </c>
      <c r="H150" s="1691"/>
      <c r="I150" s="1627"/>
      <c r="J150" s="1046"/>
      <c r="K150" s="1054"/>
      <c r="L150" s="1001"/>
      <c r="M150" s="1403"/>
      <c r="N150" s="1190">
        <v>0</v>
      </c>
      <c r="O150" s="858"/>
      <c r="P150" s="858"/>
      <c r="Q150" s="1272"/>
      <c r="R150" s="858"/>
      <c r="S150" s="858"/>
      <c r="T150" s="858"/>
      <c r="U150" s="1020"/>
      <c r="V150" s="1020"/>
      <c r="W150" s="1021"/>
      <c r="X150" s="1023"/>
      <c r="Y150" s="1023"/>
      <c r="Z150" s="1023"/>
      <c r="AA150" s="1021"/>
      <c r="AB150" s="1023"/>
    </row>
    <row r="151" spans="2:28">
      <c r="B151" s="858"/>
      <c r="C151" s="1623" t="s">
        <v>861</v>
      </c>
      <c r="D151" s="1623"/>
      <c r="E151" s="1679"/>
      <c r="F151" s="1653"/>
      <c r="G151" s="1690">
        <f>N151</f>
        <v>0</v>
      </c>
      <c r="H151" s="1683"/>
      <c r="I151" s="1627">
        <f t="shared" ref="I151:I158" si="7">G151/$F$9</f>
        <v>0</v>
      </c>
      <c r="J151" s="1046"/>
      <c r="K151" s="1136" t="s">
        <v>862</v>
      </c>
      <c r="L151" s="1137"/>
      <c r="M151" s="1403">
        <f>Data!C31*Data!C30</f>
        <v>562224.77195673715</v>
      </c>
      <c r="N151" s="1191">
        <v>0</v>
      </c>
      <c r="O151" s="858"/>
      <c r="P151" s="858"/>
      <c r="Q151" s="1272"/>
      <c r="R151" s="858"/>
      <c r="S151" s="858"/>
      <c r="T151" s="858"/>
      <c r="U151" s="1020"/>
      <c r="V151" s="1020"/>
      <c r="W151" s="1021"/>
      <c r="X151" s="1023"/>
      <c r="Y151" s="1023"/>
      <c r="Z151" s="1023"/>
      <c r="AA151" s="1021"/>
      <c r="AB151" s="1023"/>
    </row>
    <row r="152" spans="2:28">
      <c r="B152" s="858"/>
      <c r="C152" s="1623" t="s">
        <v>863</v>
      </c>
      <c r="D152" s="1623"/>
      <c r="E152" s="1689"/>
      <c r="F152" s="1653"/>
      <c r="G152" s="1690">
        <f>SUM(F153:F154)</f>
        <v>0</v>
      </c>
      <c r="H152" s="1691"/>
      <c r="I152" s="1627">
        <f t="shared" si="7"/>
        <v>0</v>
      </c>
      <c r="J152" s="1046"/>
      <c r="K152" s="1049"/>
      <c r="L152" s="1015"/>
      <c r="M152" s="1002"/>
      <c r="N152" s="845"/>
      <c r="O152" s="858"/>
      <c r="P152" s="858"/>
      <c r="Q152" s="1272"/>
      <c r="R152" s="858"/>
      <c r="S152" s="858"/>
      <c r="T152" s="858"/>
      <c r="U152" s="1020"/>
      <c r="V152" s="1020"/>
      <c r="W152" s="1021"/>
      <c r="X152" s="1023"/>
      <c r="Y152" s="1023"/>
      <c r="Z152" s="1023"/>
      <c r="AA152" s="1021"/>
      <c r="AB152" s="1023"/>
    </row>
    <row r="153" spans="2:28">
      <c r="B153" s="858"/>
      <c r="C153" s="1623"/>
      <c r="D153" s="1623" t="s">
        <v>835</v>
      </c>
      <c r="E153" s="1689"/>
      <c r="F153" s="1653">
        <v>0</v>
      </c>
      <c r="G153" s="1690"/>
      <c r="H153" s="1691"/>
      <c r="I153" s="1627">
        <f t="shared" si="7"/>
        <v>0</v>
      </c>
      <c r="J153" s="1046"/>
      <c r="K153" s="1052"/>
      <c r="L153" s="1030"/>
      <c r="M153" s="1002"/>
      <c r="N153" s="845"/>
      <c r="O153" s="858"/>
      <c r="P153" s="858"/>
      <c r="Q153" s="1272"/>
      <c r="R153" s="858"/>
      <c r="S153" s="858"/>
      <c r="T153" s="858"/>
      <c r="U153" s="1020"/>
      <c r="V153" s="1020"/>
      <c r="W153" s="1021"/>
      <c r="X153" s="1023"/>
      <c r="Y153" s="1023"/>
      <c r="Z153" s="1023"/>
      <c r="AA153" s="1021"/>
      <c r="AB153" s="1023"/>
    </row>
    <row r="154" spans="2:28">
      <c r="B154" s="858"/>
      <c r="C154" s="1623"/>
      <c r="D154" s="1623" t="s">
        <v>836</v>
      </c>
      <c r="E154" s="1689"/>
      <c r="F154" s="1653">
        <v>0</v>
      </c>
      <c r="G154" s="1690"/>
      <c r="H154" s="1691"/>
      <c r="I154" s="1627">
        <f t="shared" si="7"/>
        <v>0</v>
      </c>
      <c r="J154" s="1046"/>
      <c r="K154" s="1054"/>
      <c r="L154" s="1001"/>
      <c r="M154" s="1002"/>
      <c r="N154" s="845"/>
      <c r="O154" s="858"/>
      <c r="P154" s="858"/>
      <c r="Q154" s="1272"/>
      <c r="R154" s="858"/>
      <c r="S154" s="858"/>
      <c r="T154" s="858"/>
      <c r="U154" s="1020"/>
      <c r="V154" s="1020"/>
      <c r="W154" s="1021"/>
      <c r="X154" s="1023"/>
      <c r="Y154" s="1023"/>
      <c r="Z154" s="1023"/>
      <c r="AA154" s="1021"/>
      <c r="AB154" s="1023"/>
    </row>
    <row r="155" spans="2:28">
      <c r="B155" s="858"/>
      <c r="C155" s="1623" t="s">
        <v>204</v>
      </c>
      <c r="D155" s="1623"/>
      <c r="E155" s="1689"/>
      <c r="F155" s="1653"/>
      <c r="G155" s="1690">
        <f>SUM(F156:F158)</f>
        <v>0</v>
      </c>
      <c r="H155" s="1691"/>
      <c r="I155" s="1627">
        <f t="shared" si="7"/>
        <v>0</v>
      </c>
      <c r="J155" s="1046"/>
      <c r="K155" s="1049"/>
      <c r="L155" s="1015"/>
      <c r="M155" s="1002"/>
      <c r="N155" s="845"/>
      <c r="O155" s="858"/>
      <c r="P155" s="858"/>
      <c r="Q155" s="1272"/>
      <c r="R155" s="858"/>
      <c r="S155" s="858"/>
      <c r="T155" s="858"/>
      <c r="U155" s="1020"/>
      <c r="V155" s="1020"/>
      <c r="W155" s="1021"/>
      <c r="X155" s="1023"/>
      <c r="Y155" s="1023"/>
      <c r="Z155" s="1023"/>
      <c r="AA155" s="1021"/>
      <c r="AB155" s="1023"/>
    </row>
    <row r="156" spans="2:28">
      <c r="B156" s="858"/>
      <c r="C156" s="1623"/>
      <c r="D156" s="1623" t="s">
        <v>864</v>
      </c>
      <c r="E156" s="1734">
        <v>0</v>
      </c>
      <c r="F156" s="1711"/>
      <c r="G156" s="1690"/>
      <c r="H156" s="1691"/>
      <c r="I156" s="1627">
        <f t="shared" si="7"/>
        <v>0</v>
      </c>
      <c r="J156" s="1046"/>
      <c r="K156" s="1054"/>
      <c r="L156" s="1001"/>
      <c r="M156" s="1002"/>
      <c r="N156" s="845"/>
      <c r="O156" s="858"/>
      <c r="P156" s="858"/>
      <c r="Q156" s="1272"/>
      <c r="R156" s="858"/>
      <c r="S156" s="858"/>
      <c r="T156" s="858"/>
      <c r="U156" s="1020"/>
      <c r="V156" s="1020"/>
      <c r="W156" s="1021"/>
      <c r="X156" s="1023"/>
      <c r="Y156" s="1023"/>
      <c r="Z156" s="1023"/>
      <c r="AA156" s="1021"/>
      <c r="AB156" s="1023"/>
    </row>
    <row r="157" spans="2:28">
      <c r="B157" s="858"/>
      <c r="C157" s="1623"/>
      <c r="D157" s="1623" t="s">
        <v>865</v>
      </c>
      <c r="E157" s="1735"/>
      <c r="F157" s="1711"/>
      <c r="G157" s="1690"/>
      <c r="H157" s="1691"/>
      <c r="I157" s="1627">
        <f t="shared" si="7"/>
        <v>0</v>
      </c>
      <c r="J157" s="1046"/>
      <c r="K157" s="1054"/>
      <c r="L157" s="1001"/>
      <c r="M157" s="1002"/>
      <c r="N157" s="845"/>
      <c r="O157" s="858"/>
      <c r="P157" s="858"/>
      <c r="Q157" s="1272"/>
      <c r="R157" s="858"/>
      <c r="S157" s="858"/>
      <c r="T157" s="858"/>
      <c r="U157" s="1020"/>
      <c r="V157" s="1020"/>
      <c r="W157" s="1021"/>
      <c r="X157" s="1023"/>
      <c r="Y157" s="1023"/>
      <c r="Z157" s="1023"/>
      <c r="AA157" s="1021"/>
      <c r="AB157" s="1023"/>
    </row>
    <row r="158" spans="2:28">
      <c r="B158" s="858"/>
      <c r="C158" s="1623"/>
      <c r="D158" s="1623" t="s">
        <v>865</v>
      </c>
      <c r="E158" s="1689"/>
      <c r="F158" s="1653"/>
      <c r="G158" s="1690"/>
      <c r="H158" s="1691"/>
      <c r="I158" s="1627">
        <f t="shared" si="7"/>
        <v>0</v>
      </c>
      <c r="J158" s="1046"/>
      <c r="K158" s="1054"/>
      <c r="L158" s="1001"/>
      <c r="M158" s="1002"/>
      <c r="N158" s="845"/>
      <c r="O158" s="858"/>
      <c r="P158" s="858"/>
      <c r="Q158" s="1272"/>
      <c r="R158" s="858"/>
      <c r="S158" s="858"/>
      <c r="T158" s="858"/>
      <c r="U158" s="1020"/>
      <c r="V158" s="1020"/>
      <c r="W158" s="1021"/>
      <c r="X158" s="1023"/>
      <c r="Y158" s="1023"/>
      <c r="Z158" s="1023"/>
      <c r="AA158" s="1021"/>
      <c r="AB158" s="1023"/>
    </row>
    <row r="159" spans="2:28">
      <c r="B159" s="858"/>
      <c r="C159" s="1678" t="s">
        <v>866</v>
      </c>
      <c r="D159" s="1623"/>
      <c r="E159" s="1689"/>
      <c r="F159" s="1653"/>
      <c r="G159" s="1690"/>
      <c r="H159" s="1691"/>
      <c r="I159" s="1627"/>
      <c r="J159" s="1046"/>
      <c r="K159" s="1054"/>
      <c r="L159" s="1001"/>
      <c r="M159" s="1361" t="s">
        <v>1036</v>
      </c>
      <c r="N159" s="845"/>
      <c r="O159" s="858"/>
      <c r="P159" s="858"/>
      <c r="Q159" s="1272"/>
      <c r="R159" s="858"/>
      <c r="S159" s="858"/>
      <c r="T159" s="858"/>
      <c r="U159" s="1020"/>
      <c r="V159" s="1020"/>
      <c r="W159" s="1021"/>
      <c r="X159" s="1023"/>
      <c r="Y159" s="1023"/>
      <c r="Z159" s="1023"/>
      <c r="AA159" s="1021"/>
      <c r="AB159" s="1023"/>
    </row>
    <row r="160" spans="2:28" ht="15.75">
      <c r="B160" s="845"/>
      <c r="C160" s="1645" t="s">
        <v>965</v>
      </c>
      <c r="D160" s="1623"/>
      <c r="E160" s="1689"/>
      <c r="F160" s="1653"/>
      <c r="G160" s="1690"/>
      <c r="H160" s="1691"/>
      <c r="I160" s="1627">
        <f t="shared" si="6"/>
        <v>0</v>
      </c>
      <c r="J160" s="1046"/>
      <c r="K160" s="1054"/>
      <c r="L160" s="1001"/>
      <c r="M160" s="1050" t="s">
        <v>813</v>
      </c>
      <c r="N160" s="858" t="s">
        <v>963</v>
      </c>
      <c r="O160" s="845"/>
      <c r="P160" s="1083"/>
      <c r="Q160" s="845"/>
      <c r="R160" s="845"/>
      <c r="S160" s="845"/>
      <c r="T160" s="845"/>
      <c r="U160" s="1007"/>
      <c r="V160" s="1007"/>
      <c r="W160"/>
      <c r="X160" s="972"/>
      <c r="Y160" s="972"/>
      <c r="Z160" s="972"/>
      <c r="AA160"/>
      <c r="AB160" s="972"/>
    </row>
    <row r="161" spans="2:28" ht="15.75">
      <c r="B161" s="845"/>
      <c r="C161" s="1623" t="s">
        <v>962</v>
      </c>
      <c r="D161" s="1623"/>
      <c r="E161" s="1689"/>
      <c r="F161" s="1653"/>
      <c r="G161" s="1690">
        <f>N161</f>
        <v>67743.356297473743</v>
      </c>
      <c r="H161" s="1691"/>
      <c r="I161" s="1627"/>
      <c r="J161" s="1046"/>
      <c r="K161" s="1054"/>
      <c r="L161" s="1001"/>
      <c r="M161" s="1189">
        <f>37500+(Data!C38*0.0005)</f>
        <v>67743.356297473743</v>
      </c>
      <c r="N161" s="1190">
        <v>67743.356297473743</v>
      </c>
      <c r="O161" s="845"/>
      <c r="P161" s="1083"/>
      <c r="Q161" s="845"/>
      <c r="R161" s="845"/>
      <c r="S161" s="845"/>
      <c r="T161" s="845"/>
      <c r="U161" s="1007"/>
      <c r="V161" s="1007"/>
      <c r="W161"/>
      <c r="X161" s="972"/>
      <c r="Y161" s="972"/>
      <c r="Z161" s="972"/>
      <c r="AA161"/>
      <c r="AB161" s="972"/>
    </row>
    <row r="162" spans="2:28" ht="15.75">
      <c r="B162" s="845"/>
      <c r="C162" s="1623" t="s">
        <v>861</v>
      </c>
      <c r="D162" s="1623"/>
      <c r="E162" s="1679"/>
      <c r="F162" s="1653"/>
      <c r="G162" s="1690">
        <f>N162</f>
        <v>604867.12594947487</v>
      </c>
      <c r="H162" s="1683"/>
      <c r="I162" s="1627">
        <f t="shared" si="6"/>
        <v>3979.388986509703</v>
      </c>
      <c r="J162" s="1046"/>
      <c r="K162" s="1136" t="s">
        <v>862</v>
      </c>
      <c r="L162" s="1137"/>
      <c r="M162" s="1189">
        <f>Data!C38*Data!C39</f>
        <v>604867.12594947487</v>
      </c>
      <c r="N162" s="1191">
        <v>604867.12594947487</v>
      </c>
      <c r="O162" s="1002"/>
      <c r="P162" s="1127"/>
      <c r="Q162" s="845"/>
      <c r="R162" s="845"/>
      <c r="S162" s="845"/>
      <c r="T162" s="845"/>
      <c r="U162" s="1007">
        <v>1</v>
      </c>
      <c r="V162" s="1007">
        <v>0</v>
      </c>
      <c r="W162"/>
      <c r="X162" s="972">
        <f>U162*G162</f>
        <v>604867.12594947487</v>
      </c>
      <c r="Y162" s="972"/>
      <c r="Z162" s="972">
        <f>V162*G162</f>
        <v>0</v>
      </c>
      <c r="AA162"/>
      <c r="AB162" s="972">
        <v>10278.484957469364</v>
      </c>
    </row>
    <row r="163" spans="2:28" ht="15.75">
      <c r="B163" s="845"/>
      <c r="C163" s="1623" t="s">
        <v>863</v>
      </c>
      <c r="D163" s="1623"/>
      <c r="E163" s="1689"/>
      <c r="F163" s="1653"/>
      <c r="G163" s="1690">
        <f>SUM(F164:F165)</f>
        <v>0</v>
      </c>
      <c r="H163" s="1691"/>
      <c r="I163" s="1627">
        <f t="shared" si="6"/>
        <v>0</v>
      </c>
      <c r="J163" s="1046"/>
      <c r="K163" s="1049"/>
      <c r="L163" s="1015"/>
      <c r="M163" s="1403">
        <f>0.015*Data!C38*2</f>
        <v>1814601.3778484243</v>
      </c>
      <c r="N163" s="1190">
        <v>1814601.3778484243</v>
      </c>
      <c r="O163" s="845"/>
      <c r="P163" s="845"/>
      <c r="Q163" s="845"/>
      <c r="R163" s="845"/>
      <c r="S163" s="845"/>
      <c r="T163" s="845"/>
      <c r="U163" s="1007">
        <v>1</v>
      </c>
      <c r="V163" s="1007">
        <v>0</v>
      </c>
      <c r="W163"/>
      <c r="X163" s="972">
        <f>U163*G163</f>
        <v>0</v>
      </c>
      <c r="Y163" s="972"/>
      <c r="Z163" s="972">
        <f>V163*G163</f>
        <v>0</v>
      </c>
      <c r="AA163"/>
      <c r="AB163" s="972">
        <v>0</v>
      </c>
    </row>
    <row r="164" spans="2:28" ht="15.75">
      <c r="B164" s="845"/>
      <c r="C164" s="1623"/>
      <c r="D164" s="1623" t="s">
        <v>835</v>
      </c>
      <c r="E164" s="1689"/>
      <c r="F164" s="1653">
        <v>0</v>
      </c>
      <c r="G164" s="1690"/>
      <c r="H164" s="1691"/>
      <c r="I164" s="1627">
        <f t="shared" si="6"/>
        <v>0</v>
      </c>
      <c r="J164" s="1046"/>
      <c r="K164" s="1052"/>
      <c r="L164" s="1030"/>
      <c r="M164" s="1002"/>
      <c r="N164" s="845"/>
      <c r="O164" s="845"/>
      <c r="P164" s="845"/>
      <c r="Q164" s="845"/>
      <c r="R164" s="845"/>
      <c r="S164" s="845"/>
      <c r="T164" s="845"/>
      <c r="U164" s="1007"/>
      <c r="V164" s="1007"/>
      <c r="W164"/>
      <c r="X164" s="972"/>
      <c r="Y164" s="972"/>
      <c r="Z164" s="972"/>
      <c r="AA164"/>
      <c r="AB164" s="972"/>
    </row>
    <row r="165" spans="2:28" ht="15.75">
      <c r="B165" s="845"/>
      <c r="C165" s="1623"/>
      <c r="D165" s="1623" t="s">
        <v>836</v>
      </c>
      <c r="E165" s="1689"/>
      <c r="F165" s="1653">
        <v>0</v>
      </c>
      <c r="G165" s="1690"/>
      <c r="H165" s="1691"/>
      <c r="I165" s="1627">
        <f t="shared" si="6"/>
        <v>0</v>
      </c>
      <c r="J165" s="1046"/>
      <c r="K165" s="1054"/>
      <c r="L165" s="1001"/>
      <c r="M165" s="1361" t="s">
        <v>1056</v>
      </c>
      <c r="N165" s="845"/>
      <c r="O165" s="845"/>
      <c r="P165" s="845"/>
      <c r="Q165" s="845"/>
      <c r="R165" s="845"/>
      <c r="S165" s="845"/>
      <c r="T165" s="845"/>
      <c r="U165" s="1007"/>
      <c r="V165" s="1007"/>
      <c r="W165"/>
      <c r="X165" s="972"/>
      <c r="Y165" s="972"/>
      <c r="Z165" s="972"/>
      <c r="AA165"/>
      <c r="AB165" s="972"/>
    </row>
    <row r="166" spans="2:28" ht="15.75">
      <c r="B166" s="845"/>
      <c r="C166" s="1623" t="s">
        <v>204</v>
      </c>
      <c r="D166" s="1623"/>
      <c r="E166" s="1689"/>
      <c r="F166" s="1653"/>
      <c r="G166" s="1690">
        <f>SUM(F167:F169)</f>
        <v>1814601.3778484243</v>
      </c>
      <c r="H166" s="1691"/>
      <c r="I166" s="1627">
        <f t="shared" si="6"/>
        <v>11938.166959529108</v>
      </c>
      <c r="J166" s="1046"/>
      <c r="K166" s="1049"/>
      <c r="L166" s="1015"/>
      <c r="M166" s="1050" t="s">
        <v>813</v>
      </c>
      <c r="N166" s="858" t="s">
        <v>963</v>
      </c>
      <c r="O166" s="845"/>
      <c r="P166" s="845"/>
      <c r="Q166" s="845"/>
      <c r="R166" s="845"/>
      <c r="S166" s="845"/>
      <c r="T166" s="845"/>
      <c r="U166" s="1007">
        <v>1</v>
      </c>
      <c r="V166" s="1007">
        <v>0</v>
      </c>
      <c r="W166"/>
      <c r="X166" s="972">
        <f>U166*G166</f>
        <v>1814601.3778484243</v>
      </c>
      <c r="Y166" s="972"/>
      <c r="Z166" s="972">
        <f>V166*G166</f>
        <v>0</v>
      </c>
      <c r="AA166"/>
      <c r="AB166" s="972">
        <v>0</v>
      </c>
    </row>
    <row r="167" spans="2:28" ht="15.75">
      <c r="B167" s="845"/>
      <c r="C167" s="1623"/>
      <c r="D167" s="1623" t="s">
        <v>1088</v>
      </c>
      <c r="E167" s="1734"/>
      <c r="F167" s="1711">
        <f>N163</f>
        <v>1814601.3778484243</v>
      </c>
      <c r="G167" s="1690"/>
      <c r="H167" s="1691"/>
      <c r="I167" s="1627">
        <f t="shared" si="6"/>
        <v>0</v>
      </c>
      <c r="J167" s="1046"/>
      <c r="K167" s="1054"/>
      <c r="L167" s="1001"/>
      <c r="M167" s="1090">
        <f>Data!C20*24*(Data!C33/12)</f>
        <v>4712760</v>
      </c>
      <c r="N167" s="1190"/>
      <c r="O167" s="845"/>
      <c r="P167" s="845"/>
      <c r="Q167" s="845"/>
      <c r="R167" s="845"/>
      <c r="S167" s="845"/>
      <c r="T167" s="845"/>
      <c r="U167" s="1007"/>
      <c r="V167" s="1007"/>
      <c r="W167"/>
      <c r="X167" s="972"/>
      <c r="Y167" s="972"/>
      <c r="Z167" s="972"/>
      <c r="AA167"/>
      <c r="AB167" s="972"/>
    </row>
    <row r="168" spans="2:28" ht="15.75">
      <c r="B168" s="845"/>
      <c r="C168" s="1623"/>
      <c r="D168" s="1623" t="s">
        <v>865</v>
      </c>
      <c r="E168" s="1735"/>
      <c r="F168" s="1711"/>
      <c r="G168" s="1690"/>
      <c r="H168" s="1691"/>
      <c r="I168" s="1627">
        <f t="shared" si="6"/>
        <v>0</v>
      </c>
      <c r="J168" s="1046"/>
      <c r="K168" s="1054"/>
      <c r="L168" s="1001"/>
      <c r="M168" s="1189">
        <f>Data!C44*Data!C45</f>
        <v>1</v>
      </c>
      <c r="N168" s="1191"/>
      <c r="O168" s="845"/>
      <c r="P168" s="845"/>
      <c r="Q168" s="845"/>
      <c r="R168" s="845"/>
      <c r="S168" s="845"/>
      <c r="T168" s="845"/>
      <c r="U168" s="1007"/>
      <c r="V168" s="1007"/>
      <c r="W168"/>
      <c r="X168" s="972"/>
      <c r="Y168" s="972"/>
      <c r="Z168" s="972"/>
      <c r="AA168"/>
      <c r="AB168" s="972"/>
    </row>
    <row r="169" spans="2:28" ht="15.75">
      <c r="B169" s="845"/>
      <c r="C169" s="1623"/>
      <c r="D169" s="1623" t="s">
        <v>865</v>
      </c>
      <c r="E169" s="1689"/>
      <c r="F169" s="1653"/>
      <c r="G169" s="1690"/>
      <c r="H169" s="1691"/>
      <c r="I169" s="1627">
        <f t="shared" si="6"/>
        <v>0</v>
      </c>
      <c r="J169" s="1046"/>
      <c r="K169" s="1054"/>
      <c r="L169" s="1001"/>
      <c r="M169" s="1002"/>
      <c r="N169" s="845"/>
      <c r="O169" s="845"/>
      <c r="P169" s="845"/>
      <c r="Q169" s="845"/>
      <c r="R169" s="845"/>
      <c r="S169" s="845"/>
      <c r="T169" s="845"/>
      <c r="U169" s="1007"/>
      <c r="V169" s="1007"/>
      <c r="W169"/>
      <c r="X169" s="972"/>
      <c r="Y169" s="972"/>
      <c r="Z169" s="972"/>
      <c r="AA169"/>
      <c r="AB169" s="972"/>
    </row>
    <row r="170" spans="2:28">
      <c r="B170" s="858"/>
      <c r="C170" s="1678" t="s">
        <v>866</v>
      </c>
      <c r="D170" s="1645"/>
      <c r="E170" s="1695"/>
      <c r="F170" s="1696"/>
      <c r="G170" s="1697">
        <f>SUM(G162:G166)</f>
        <v>2419468.503797899</v>
      </c>
      <c r="H170" s="1698"/>
      <c r="I170" s="1627">
        <f t="shared" si="6"/>
        <v>15917.555946038809</v>
      </c>
      <c r="J170" s="1134"/>
      <c r="K170" s="1062"/>
      <c r="L170" s="1063"/>
      <c r="M170" s="1050"/>
      <c r="N170" s="858"/>
      <c r="O170" s="858"/>
      <c r="P170" s="858"/>
      <c r="Q170" s="858"/>
      <c r="R170" s="858"/>
      <c r="S170" s="858"/>
      <c r="T170" s="858"/>
      <c r="U170" s="1020"/>
      <c r="V170" s="1020"/>
      <c r="W170" s="1021"/>
      <c r="X170" s="1023">
        <f>SUM(X162:X169)</f>
        <v>2419468.503797899</v>
      </c>
      <c r="Y170" s="1023"/>
      <c r="Z170" s="1023">
        <f>SUM(Z162:Z169)</f>
        <v>0</v>
      </c>
      <c r="AA170" s="1021"/>
      <c r="AB170" s="1023">
        <v>10278.484957469364</v>
      </c>
    </row>
    <row r="171" spans="2:28" ht="15.75">
      <c r="B171" s="845"/>
      <c r="C171" s="1645" t="s">
        <v>118</v>
      </c>
      <c r="D171" s="1623"/>
      <c r="E171" s="1689"/>
      <c r="F171" s="1653"/>
      <c r="G171" s="1690"/>
      <c r="H171" s="1691"/>
      <c r="I171" s="1627">
        <f t="shared" si="6"/>
        <v>0</v>
      </c>
      <c r="J171" s="1046"/>
      <c r="K171" s="1054"/>
      <c r="L171" s="1001"/>
      <c r="M171" s="1002"/>
      <c r="N171" s="845"/>
      <c r="O171" s="845"/>
      <c r="P171" s="845"/>
      <c r="Q171" s="845"/>
      <c r="R171" s="845"/>
      <c r="S171" s="845"/>
      <c r="T171" s="845"/>
      <c r="U171" s="1007"/>
      <c r="V171" s="1007"/>
      <c r="W171"/>
      <c r="X171" s="972"/>
      <c r="Y171" s="972"/>
      <c r="Z171" s="972"/>
      <c r="AA171"/>
      <c r="AB171" s="972"/>
    </row>
    <row r="172" spans="2:28" ht="15.75">
      <c r="B172" s="845"/>
      <c r="C172" s="1623" t="s">
        <v>867</v>
      </c>
      <c r="D172" s="1623"/>
      <c r="E172" s="1689"/>
      <c r="F172" s="1653"/>
      <c r="G172" s="1690">
        <v>60000</v>
      </c>
      <c r="H172" s="1691"/>
      <c r="I172" s="1627">
        <f t="shared" si="6"/>
        <v>394.73684210526318</v>
      </c>
      <c r="J172" s="1046"/>
      <c r="K172" s="1061"/>
      <c r="L172" s="1024"/>
      <c r="M172" s="1002"/>
      <c r="N172" s="845"/>
      <c r="O172" s="845"/>
      <c r="P172" s="845"/>
      <c r="Q172" s="845"/>
      <c r="R172" s="845"/>
      <c r="S172" s="845"/>
      <c r="T172" s="845"/>
      <c r="U172" s="1007">
        <v>1</v>
      </c>
      <c r="V172" s="1007">
        <v>0</v>
      </c>
      <c r="W172"/>
      <c r="X172" s="972">
        <f>U172*G172</f>
        <v>60000</v>
      </c>
      <c r="Y172" s="972"/>
      <c r="Z172" s="972">
        <f>V172*G172</f>
        <v>0</v>
      </c>
      <c r="AA172"/>
      <c r="AB172" s="972">
        <v>1200</v>
      </c>
    </row>
    <row r="173" spans="2:28" ht="15.75">
      <c r="B173" s="845"/>
      <c r="C173" s="1623" t="s">
        <v>868</v>
      </c>
      <c r="D173" s="1623"/>
      <c r="E173" s="1689"/>
      <c r="F173" s="1653"/>
      <c r="G173" s="1690">
        <f>SUM(F174:F175)</f>
        <v>50000</v>
      </c>
      <c r="H173" s="1691"/>
      <c r="I173" s="1627">
        <f t="shared" si="6"/>
        <v>328.94736842105266</v>
      </c>
      <c r="J173" s="1046"/>
      <c r="K173" s="1054"/>
      <c r="L173" s="1001"/>
      <c r="M173" s="1050"/>
      <c r="N173" s="858"/>
      <c r="O173" s="858"/>
      <c r="P173" s="845"/>
      <c r="Q173" s="845"/>
      <c r="R173" s="845"/>
      <c r="S173" s="845"/>
      <c r="T173" s="845"/>
      <c r="U173" s="1007">
        <v>1</v>
      </c>
      <c r="V173" s="1007">
        <v>0</v>
      </c>
      <c r="W173"/>
      <c r="X173" s="972">
        <f>U173*G173</f>
        <v>50000</v>
      </c>
      <c r="Y173" s="972"/>
      <c r="Z173" s="972">
        <f>V173*G173</f>
        <v>0</v>
      </c>
      <c r="AA173"/>
      <c r="AB173" s="972">
        <v>1000</v>
      </c>
    </row>
    <row r="174" spans="2:28" ht="15.75">
      <c r="B174" s="845"/>
      <c r="C174" s="1623"/>
      <c r="D174" s="1623" t="s">
        <v>869</v>
      </c>
      <c r="E174" s="1689"/>
      <c r="F174" s="1723">
        <v>50000</v>
      </c>
      <c r="G174" s="1736"/>
      <c r="H174" s="1721"/>
      <c r="I174" s="1627">
        <f t="shared" si="6"/>
        <v>0</v>
      </c>
      <c r="J174" s="1046"/>
      <c r="K174" s="1138"/>
      <c r="L174" s="1058"/>
      <c r="M174" s="845"/>
      <c r="N174"/>
      <c r="O174"/>
      <c r="P174" s="845"/>
      <c r="Q174" s="845"/>
      <c r="R174" s="845"/>
      <c r="S174" s="845"/>
      <c r="T174" s="845"/>
      <c r="U174" s="1007"/>
      <c r="V174" s="1007"/>
      <c r="W174"/>
      <c r="X174" s="972"/>
      <c r="Y174" s="972"/>
      <c r="Z174" s="972"/>
      <c r="AA174"/>
      <c r="AB174" s="972"/>
    </row>
    <row r="175" spans="2:28" ht="15.75">
      <c r="B175" s="845"/>
      <c r="C175" s="1623"/>
      <c r="D175" s="1623" t="s">
        <v>204</v>
      </c>
      <c r="E175" s="1689"/>
      <c r="F175" s="1653">
        <v>0</v>
      </c>
      <c r="G175" s="1690"/>
      <c r="H175" s="1691"/>
      <c r="I175" s="1627">
        <f t="shared" si="6"/>
        <v>0</v>
      </c>
      <c r="J175" s="1046"/>
      <c r="K175" s="1054" t="s">
        <v>870</v>
      </c>
      <c r="L175" s="1001"/>
      <c r="M175" s="1002"/>
      <c r="N175" s="845"/>
      <c r="O175" s="845"/>
      <c r="P175" s="845"/>
      <c r="Q175" s="845"/>
      <c r="R175" s="845"/>
      <c r="S175" s="845"/>
      <c r="T175" s="845"/>
      <c r="U175" s="1007"/>
      <c r="V175" s="1007"/>
      <c r="W175"/>
      <c r="X175" s="972"/>
      <c r="Y175" s="972"/>
      <c r="Z175" s="972"/>
      <c r="AA175"/>
      <c r="AB175" s="972"/>
    </row>
    <row r="176" spans="2:28">
      <c r="B176" s="858"/>
      <c r="C176" s="1678" t="s">
        <v>871</v>
      </c>
      <c r="D176" s="1645"/>
      <c r="E176" s="1695"/>
      <c r="F176" s="1696"/>
      <c r="G176" s="1697">
        <f>SUM(G172:G173)</f>
        <v>110000</v>
      </c>
      <c r="H176" s="1698"/>
      <c r="I176" s="1627">
        <f t="shared" si="6"/>
        <v>723.68421052631584</v>
      </c>
      <c r="J176" s="1134"/>
      <c r="K176" s="1049"/>
      <c r="L176" s="1015"/>
      <c r="M176" s="1050"/>
      <c r="N176" s="858"/>
      <c r="O176" s="858"/>
      <c r="P176" s="858"/>
      <c r="Q176" s="858"/>
      <c r="R176" s="858"/>
      <c r="S176" s="858"/>
      <c r="T176" s="858"/>
      <c r="U176" s="1020"/>
      <c r="V176" s="1020"/>
      <c r="W176" s="1021"/>
      <c r="X176" s="1023">
        <f>SUM(X172:X175)</f>
        <v>110000</v>
      </c>
      <c r="Y176" s="1023"/>
      <c r="Z176" s="1023">
        <f>SUM(Z172:Z175)</f>
        <v>0</v>
      </c>
      <c r="AA176" s="1021"/>
      <c r="AB176" s="1023">
        <v>2200</v>
      </c>
    </row>
    <row r="177" spans="2:28" ht="15.75">
      <c r="B177" s="845"/>
      <c r="C177" s="1645" t="s">
        <v>124</v>
      </c>
      <c r="D177" s="1623"/>
      <c r="E177" s="1689"/>
      <c r="F177" s="1653"/>
      <c r="G177" s="1690"/>
      <c r="H177" s="1691"/>
      <c r="I177" s="1627">
        <f t="shared" si="6"/>
        <v>0</v>
      </c>
      <c r="J177" s="1046"/>
      <c r="K177" s="1054"/>
      <c r="L177" s="1001"/>
      <c r="M177" s="1002"/>
      <c r="N177" s="845"/>
      <c r="O177" s="845"/>
      <c r="P177" s="845"/>
      <c r="Q177" s="845"/>
      <c r="R177" s="845"/>
      <c r="S177" s="845"/>
      <c r="T177" s="845"/>
      <c r="U177" s="1007"/>
      <c r="V177" s="1007"/>
      <c r="W177"/>
      <c r="X177" s="972"/>
      <c r="Y177" s="972"/>
      <c r="Z177" s="972"/>
      <c r="AA177"/>
      <c r="AB177" s="972"/>
    </row>
    <row r="178" spans="2:28" ht="15.75">
      <c r="B178" s="845"/>
      <c r="C178" s="1623" t="s">
        <v>872</v>
      </c>
      <c r="D178" s="1623"/>
      <c r="E178" s="1628">
        <v>3</v>
      </c>
      <c r="F178" s="1653"/>
      <c r="G178" s="1682">
        <f>E178*(-'Cash Flow'!E18/12)-'Cash Flow'!E22</f>
        <v>3905727.4453824316</v>
      </c>
      <c r="H178" s="1683"/>
      <c r="I178" s="1627">
        <f t="shared" si="6"/>
        <v>25695.57529856863</v>
      </c>
      <c r="J178" s="1046"/>
      <c r="K178" s="1061" t="s">
        <v>873</v>
      </c>
      <c r="L178" s="1024"/>
      <c r="M178" s="1002"/>
      <c r="N178" s="845"/>
      <c r="O178" s="845"/>
      <c r="P178" s="845"/>
      <c r="Q178" s="845"/>
      <c r="R178" s="845"/>
      <c r="S178" s="845"/>
      <c r="T178" s="845"/>
      <c r="U178" s="1060">
        <v>1</v>
      </c>
      <c r="V178" s="1007">
        <f>1-U178</f>
        <v>0</v>
      </c>
      <c r="W178"/>
      <c r="X178" s="972">
        <f>U178*G178</f>
        <v>3905727.4453824316</v>
      </c>
      <c r="Y178" s="972"/>
      <c r="Z178" s="972">
        <f>V178*G178</f>
        <v>0</v>
      </c>
      <c r="AA178"/>
      <c r="AB178" s="972">
        <v>67715.488022592835</v>
      </c>
    </row>
    <row r="179" spans="2:28" ht="23.25">
      <c r="B179" s="845"/>
      <c r="C179" s="1713" t="s">
        <v>874</v>
      </c>
      <c r="D179" s="1713"/>
      <c r="E179" s="1714"/>
      <c r="F179" s="1737" t="s">
        <v>875</v>
      </c>
      <c r="G179" s="1726" t="b">
        <v>0</v>
      </c>
      <c r="H179" s="1727"/>
      <c r="I179" s="1627">
        <f t="shared" si="6"/>
        <v>0</v>
      </c>
      <c r="J179" s="1087"/>
      <c r="K179" s="1089" t="s">
        <v>876</v>
      </c>
      <c r="L179" s="1039"/>
      <c r="M179" s="1002"/>
      <c r="N179" s="845"/>
      <c r="O179" s="845"/>
      <c r="P179" s="845"/>
      <c r="Q179" s="845"/>
      <c r="R179" s="845"/>
      <c r="S179" s="845"/>
      <c r="T179" s="845"/>
      <c r="U179" s="1060">
        <v>1</v>
      </c>
      <c r="V179" s="1007">
        <f>1-U179</f>
        <v>0</v>
      </c>
      <c r="W179"/>
      <c r="X179" s="972">
        <f>U179*G179</f>
        <v>0</v>
      </c>
      <c r="Y179" s="972"/>
      <c r="Z179" s="972">
        <f>V179*G179</f>
        <v>0</v>
      </c>
      <c r="AA179"/>
      <c r="AB179" s="972">
        <v>0</v>
      </c>
    </row>
    <row r="180" spans="2:28" ht="22.5">
      <c r="B180" s="845"/>
      <c r="C180" s="1713" t="s">
        <v>253</v>
      </c>
      <c r="D180" s="1713"/>
      <c r="E180" s="1689"/>
      <c r="F180" s="1653"/>
      <c r="G180" s="1726">
        <v>0</v>
      </c>
      <c r="H180" s="1691"/>
      <c r="I180" s="1627">
        <f t="shared" si="6"/>
        <v>0</v>
      </c>
      <c r="J180" s="1046"/>
      <c r="K180" s="1054" t="s">
        <v>877</v>
      </c>
      <c r="L180" s="1001"/>
      <c r="M180" s="1002"/>
      <c r="N180" s="845"/>
      <c r="O180" s="845"/>
      <c r="P180" s="845"/>
      <c r="Q180" s="845"/>
      <c r="R180" s="845"/>
      <c r="S180" s="845"/>
      <c r="T180" s="845"/>
      <c r="U180" s="1060">
        <v>1</v>
      </c>
      <c r="V180" s="1007">
        <f>1-U180</f>
        <v>0</v>
      </c>
      <c r="W180"/>
      <c r="X180" s="972">
        <f>U180*G180</f>
        <v>0</v>
      </c>
      <c r="Y180" s="972"/>
      <c r="Z180" s="972">
        <f>V180*G180</f>
        <v>0</v>
      </c>
      <c r="AA180"/>
      <c r="AB180" s="972"/>
    </row>
    <row r="181" spans="2:28">
      <c r="B181" s="858"/>
      <c r="C181" s="1678" t="s">
        <v>878</v>
      </c>
      <c r="D181" s="1645"/>
      <c r="E181" s="1695"/>
      <c r="F181" s="1696"/>
      <c r="G181" s="1697">
        <f>SUM(G178:G180)</f>
        <v>3905727.4453824316</v>
      </c>
      <c r="H181" s="1698"/>
      <c r="I181" s="1627">
        <f t="shared" si="6"/>
        <v>25695.57529856863</v>
      </c>
      <c r="J181" s="1134"/>
      <c r="K181" s="1049"/>
      <c r="L181" s="1015"/>
      <c r="M181" s="1050"/>
      <c r="N181" s="858"/>
      <c r="O181" s="858"/>
      <c r="P181" s="858"/>
      <c r="Q181" s="858"/>
      <c r="R181" s="858"/>
      <c r="S181" s="858"/>
      <c r="T181" s="858"/>
      <c r="U181" s="1020"/>
      <c r="V181" s="1020"/>
      <c r="W181" s="1021"/>
      <c r="X181" s="1023">
        <f>SUM(X178:X180)</f>
        <v>3905727.4453824316</v>
      </c>
      <c r="Y181" s="1023"/>
      <c r="Z181" s="1023">
        <f>SUM(Z178:Z180)</f>
        <v>0</v>
      </c>
      <c r="AA181" s="1021"/>
      <c r="AB181" s="1023">
        <v>67715.488022592835</v>
      </c>
    </row>
    <row r="182" spans="2:28" ht="15.75">
      <c r="B182" s="845"/>
      <c r="C182" s="1645" t="s">
        <v>409</v>
      </c>
      <c r="D182" s="1623"/>
      <c r="E182" s="1689"/>
      <c r="F182" s="1653"/>
      <c r="G182" s="1690"/>
      <c r="H182" s="1691"/>
      <c r="I182" s="1627">
        <f t="shared" si="6"/>
        <v>0</v>
      </c>
      <c r="J182" s="1046"/>
      <c r="K182" s="1054"/>
      <c r="L182" s="1001"/>
      <c r="M182" s="1002"/>
      <c r="N182" s="845"/>
      <c r="O182" s="845"/>
      <c r="P182" s="845"/>
      <c r="Q182" s="845"/>
      <c r="R182" s="845"/>
      <c r="S182" s="845"/>
      <c r="T182" s="845"/>
      <c r="U182" s="1007"/>
      <c r="V182" s="1007"/>
      <c r="W182"/>
      <c r="X182" s="972"/>
      <c r="Y182" s="972"/>
      <c r="Z182" s="972"/>
      <c r="AA182"/>
      <c r="AB182" s="972"/>
    </row>
    <row r="183" spans="2:28" ht="15.75">
      <c r="B183" s="845"/>
      <c r="C183" s="1623" t="s">
        <v>879</v>
      </c>
      <c r="D183" s="1623"/>
      <c r="E183" s="1689"/>
      <c r="F183" s="1653"/>
      <c r="G183" s="1690">
        <f>SUM(F184:F185)</f>
        <v>13000</v>
      </c>
      <c r="H183" s="1691"/>
      <c r="I183" s="1627">
        <f t="shared" si="6"/>
        <v>85.526315789473685</v>
      </c>
      <c r="J183" s="1046"/>
      <c r="K183" s="1054"/>
      <c r="L183" s="1001"/>
      <c r="M183" s="1002"/>
      <c r="N183" s="845"/>
      <c r="O183" s="845"/>
      <c r="P183" s="845"/>
      <c r="Q183" s="845"/>
      <c r="R183" s="845"/>
      <c r="S183" s="845"/>
      <c r="T183" s="845"/>
      <c r="U183" s="1007">
        <v>1</v>
      </c>
      <c r="V183" s="1007">
        <v>0</v>
      </c>
      <c r="W183"/>
      <c r="X183" s="972">
        <f>U183*G183</f>
        <v>13000</v>
      </c>
      <c r="Y183" s="972"/>
      <c r="Z183" s="972">
        <f>V183*G183</f>
        <v>0</v>
      </c>
      <c r="AA183"/>
      <c r="AB183" s="972">
        <v>260</v>
      </c>
    </row>
    <row r="184" spans="2:28" ht="15.75">
      <c r="B184" s="845"/>
      <c r="C184" s="1681"/>
      <c r="D184" s="1623" t="s">
        <v>15</v>
      </c>
      <c r="E184" s="1689"/>
      <c r="F184" s="1653">
        <v>8000</v>
      </c>
      <c r="G184" s="1690"/>
      <c r="H184" s="1691"/>
      <c r="I184" s="1627">
        <f t="shared" si="6"/>
        <v>0</v>
      </c>
      <c r="J184" s="1046"/>
      <c r="K184" s="1049"/>
      <c r="L184" s="1015"/>
      <c r="M184" s="1002"/>
      <c r="N184" s="845"/>
      <c r="O184" s="845"/>
      <c r="P184" s="845"/>
      <c r="Q184" s="845"/>
      <c r="R184" s="845"/>
      <c r="S184" s="845"/>
      <c r="T184" s="845"/>
      <c r="U184" s="1007"/>
      <c r="V184" s="1007"/>
      <c r="W184"/>
      <c r="X184" s="972"/>
      <c r="Y184" s="972"/>
      <c r="Z184" s="972"/>
      <c r="AA184"/>
      <c r="AB184" s="972"/>
    </row>
    <row r="185" spans="2:28" ht="15.75">
      <c r="B185" s="845"/>
      <c r="C185" s="1681"/>
      <c r="D185" s="1623" t="s">
        <v>880</v>
      </c>
      <c r="E185" s="1689"/>
      <c r="F185" s="1653">
        <v>5000</v>
      </c>
      <c r="G185" s="1690"/>
      <c r="H185" s="1691"/>
      <c r="I185" s="1627">
        <f t="shared" si="6"/>
        <v>0</v>
      </c>
      <c r="J185" s="1046"/>
      <c r="K185" s="1049"/>
      <c r="L185" s="1015"/>
      <c r="M185" s="1002"/>
      <c r="N185" s="845"/>
      <c r="O185" s="845"/>
      <c r="P185" s="845"/>
      <c r="Q185" s="845"/>
      <c r="R185" s="845"/>
      <c r="S185" s="845"/>
      <c r="T185" s="845"/>
      <c r="U185" s="1007"/>
      <c r="V185" s="1007"/>
      <c r="W185"/>
      <c r="X185" s="972"/>
      <c r="Y185" s="972"/>
      <c r="Z185" s="972"/>
      <c r="AA185"/>
      <c r="AB185" s="972"/>
    </row>
    <row r="186" spans="2:28" ht="15.75">
      <c r="B186" s="845"/>
      <c r="C186" s="1623" t="s">
        <v>137</v>
      </c>
      <c r="D186" s="1623"/>
      <c r="E186" s="1689"/>
      <c r="F186" s="1653"/>
      <c r="G186" s="1690">
        <v>12000</v>
      </c>
      <c r="H186" s="1691"/>
      <c r="I186" s="1627">
        <f t="shared" si="6"/>
        <v>78.94736842105263</v>
      </c>
      <c r="J186" s="1046"/>
      <c r="K186" s="1089"/>
      <c r="L186" s="1039"/>
      <c r="M186" s="1002"/>
      <c r="N186" s="845"/>
      <c r="O186" s="845"/>
      <c r="P186" s="845"/>
      <c r="Q186" s="845"/>
      <c r="R186" s="845"/>
      <c r="S186" s="845"/>
      <c r="T186" s="845"/>
      <c r="U186" s="1060">
        <v>1</v>
      </c>
      <c r="V186" s="1007">
        <f>1-U186</f>
        <v>0</v>
      </c>
      <c r="W186"/>
      <c r="X186" s="972">
        <f>U186*G186</f>
        <v>12000</v>
      </c>
      <c r="Y186" s="972"/>
      <c r="Z186" s="972">
        <f>V186*G186</f>
        <v>0</v>
      </c>
      <c r="AA186"/>
      <c r="AB186" s="972">
        <v>240</v>
      </c>
    </row>
    <row r="187" spans="2:28" ht="15.75">
      <c r="B187" s="845"/>
      <c r="C187" s="1623" t="s">
        <v>881</v>
      </c>
      <c r="D187" s="1623"/>
      <c r="E187" s="1631"/>
      <c r="F187" s="1653"/>
      <c r="G187" s="1690">
        <v>0</v>
      </c>
      <c r="H187" s="1691"/>
      <c r="I187" s="1627">
        <f t="shared" si="6"/>
        <v>0</v>
      </c>
      <c r="J187" s="1046"/>
      <c r="K187" s="1054"/>
      <c r="L187" s="1001"/>
      <c r="M187" s="1002"/>
      <c r="N187" s="845"/>
      <c r="O187" s="845"/>
      <c r="P187" s="845"/>
      <c r="Q187" s="845"/>
      <c r="R187" s="845"/>
      <c r="S187" s="845"/>
      <c r="T187" s="845"/>
      <c r="U187" s="1007">
        <v>1</v>
      </c>
      <c r="V187" s="1007">
        <v>0</v>
      </c>
      <c r="W187"/>
      <c r="X187" s="972">
        <f>U187*G187</f>
        <v>0</v>
      </c>
      <c r="Y187" s="972"/>
      <c r="Z187" s="972">
        <f>V187*G187</f>
        <v>0</v>
      </c>
      <c r="AA187"/>
      <c r="AB187" s="972">
        <v>0</v>
      </c>
    </row>
    <row r="188" spans="2:28" ht="15.75">
      <c r="B188" s="845"/>
      <c r="C188" s="1623" t="s">
        <v>882</v>
      </c>
      <c r="D188" s="1623"/>
      <c r="E188" s="1631"/>
      <c r="F188" s="1653"/>
      <c r="G188" s="1690">
        <v>0</v>
      </c>
      <c r="H188" s="1691"/>
      <c r="I188" s="1627">
        <f t="shared" si="6"/>
        <v>0</v>
      </c>
      <c r="J188" s="1046"/>
      <c r="K188" s="1049"/>
      <c r="L188" s="1015"/>
      <c r="M188" s="1002"/>
      <c r="N188" s="845"/>
      <c r="O188" s="845"/>
      <c r="P188" s="845"/>
      <c r="Q188" s="845"/>
      <c r="R188" s="845"/>
      <c r="S188" s="845"/>
      <c r="T188" s="845"/>
      <c r="U188" s="1007">
        <v>1</v>
      </c>
      <c r="V188" s="1007">
        <v>0</v>
      </c>
      <c r="W188"/>
      <c r="X188" s="972">
        <f>U188*G188</f>
        <v>0</v>
      </c>
      <c r="Y188" s="972"/>
      <c r="Z188" s="972">
        <f>V188*G188</f>
        <v>0</v>
      </c>
      <c r="AA188"/>
      <c r="AB188" s="972">
        <v>0</v>
      </c>
    </row>
    <row r="189" spans="2:28">
      <c r="B189" s="858"/>
      <c r="C189" s="1678" t="s">
        <v>883</v>
      </c>
      <c r="D189" s="1645"/>
      <c r="E189" s="1695"/>
      <c r="F189" s="1696"/>
      <c r="G189" s="1697">
        <f>SUM(G183:G188)</f>
        <v>25000</v>
      </c>
      <c r="H189" s="1698"/>
      <c r="I189" s="1627">
        <f t="shared" si="6"/>
        <v>164.47368421052633</v>
      </c>
      <c r="J189" s="1134"/>
      <c r="K189" s="1057"/>
      <c r="L189" s="1139"/>
      <c r="M189" s="1050"/>
      <c r="N189" s="858"/>
      <c r="O189" s="858"/>
      <c r="P189" s="858"/>
      <c r="Q189" s="858"/>
      <c r="R189" s="858"/>
      <c r="S189" s="858"/>
      <c r="T189" s="858"/>
      <c r="U189" s="1020"/>
      <c r="V189" s="1020"/>
      <c r="W189" s="1021"/>
      <c r="X189" s="1023">
        <f>SUM(X183:X188)</f>
        <v>25000</v>
      </c>
      <c r="Y189" s="1023"/>
      <c r="Z189" s="1023">
        <f>SUM(Z183:Z188)</f>
        <v>0</v>
      </c>
      <c r="AA189" s="1021"/>
      <c r="AB189" s="1023">
        <v>500</v>
      </c>
    </row>
    <row r="190" spans="2:28" ht="15.75">
      <c r="B190" s="845"/>
      <c r="C190" s="1645" t="s">
        <v>410</v>
      </c>
      <c r="D190" s="1623"/>
      <c r="E190" s="1631"/>
      <c r="F190" s="1653"/>
      <c r="G190" s="1690"/>
      <c r="H190" s="1691"/>
      <c r="I190" s="1627">
        <f t="shared" si="6"/>
        <v>0</v>
      </c>
      <c r="J190" s="1046"/>
      <c r="K190" s="1140"/>
      <c r="L190" s="1141"/>
      <c r="M190" s="1082" t="s">
        <v>813</v>
      </c>
      <c r="N190" s="1083" t="s">
        <v>814</v>
      </c>
      <c r="O190" s="1083"/>
      <c r="P190" s="845"/>
      <c r="Q190" s="845"/>
      <c r="R190" s="845"/>
      <c r="S190" s="845"/>
      <c r="T190" s="845"/>
      <c r="U190" s="1007"/>
      <c r="V190" s="1007"/>
      <c r="W190"/>
      <c r="X190" s="972"/>
      <c r="Y190" s="972"/>
      <c r="Z190" s="972"/>
      <c r="AA190"/>
      <c r="AB190" s="972"/>
    </row>
    <row r="191" spans="2:28" ht="15.75">
      <c r="B191" s="845"/>
      <c r="C191" s="1738" t="s">
        <v>884</v>
      </c>
      <c r="D191" s="1623"/>
      <c r="E191" s="1628"/>
      <c r="F191" s="1653"/>
      <c r="G191" s="1682">
        <f>N191</f>
        <v>0</v>
      </c>
      <c r="H191" s="1683"/>
      <c r="I191" s="1627">
        <f t="shared" si="6"/>
        <v>0</v>
      </c>
      <c r="J191" s="1046"/>
      <c r="K191" s="1054"/>
      <c r="L191" s="1001"/>
      <c r="M191" s="1095">
        <v>0</v>
      </c>
      <c r="N191" s="1085">
        <v>0</v>
      </c>
      <c r="O191" s="1086"/>
      <c r="P191" s="845"/>
      <c r="Q191" s="845"/>
      <c r="R191" s="845"/>
      <c r="S191" s="845"/>
      <c r="T191" s="845"/>
      <c r="U191" s="1060">
        <v>1</v>
      </c>
      <c r="V191" s="1007">
        <f>1-U191</f>
        <v>0</v>
      </c>
      <c r="W191"/>
      <c r="X191" s="972">
        <f>U191*G191</f>
        <v>0</v>
      </c>
      <c r="Y191" s="972"/>
      <c r="Z191" s="972">
        <f>V191*G191</f>
        <v>0</v>
      </c>
      <c r="AA191"/>
      <c r="AB191" s="972">
        <v>0</v>
      </c>
    </row>
    <row r="192" spans="2:28" ht="15.75">
      <c r="B192" s="845"/>
      <c r="C192" s="1623" t="s">
        <v>411</v>
      </c>
      <c r="D192" s="1738"/>
      <c r="E192" s="1631"/>
      <c r="F192" s="1653"/>
      <c r="G192" s="1690">
        <f>SUM(F193:F199)</f>
        <v>14500</v>
      </c>
      <c r="H192" s="1691"/>
      <c r="I192" s="1627">
        <f t="shared" si="6"/>
        <v>95.39473684210526</v>
      </c>
      <c r="J192" s="1046"/>
      <c r="K192" s="1054"/>
      <c r="L192" s="1001"/>
      <c r="M192" s="1002"/>
      <c r="N192" s="845"/>
      <c r="O192" s="845"/>
      <c r="P192" s="845"/>
      <c r="Q192" s="845"/>
      <c r="R192" s="845"/>
      <c r="S192" s="845"/>
      <c r="T192" s="845"/>
      <c r="U192" s="1007">
        <v>1</v>
      </c>
      <c r="V192" s="1007">
        <v>0</v>
      </c>
      <c r="W192"/>
      <c r="X192" s="972">
        <f>U192*G192</f>
        <v>14500</v>
      </c>
      <c r="Y192" s="972"/>
      <c r="Z192" s="972">
        <f>V192*G192</f>
        <v>0</v>
      </c>
      <c r="AA192"/>
      <c r="AB192" s="972">
        <v>290</v>
      </c>
    </row>
    <row r="193" spans="2:28" ht="15.75">
      <c r="B193" s="845"/>
      <c r="C193" s="1623"/>
      <c r="D193" s="1738" t="s">
        <v>885</v>
      </c>
      <c r="E193" s="1631"/>
      <c r="F193" s="1653">
        <v>2500</v>
      </c>
      <c r="G193" s="1690"/>
      <c r="H193" s="1691"/>
      <c r="I193" s="1627">
        <f t="shared" si="6"/>
        <v>0</v>
      </c>
      <c r="J193" s="1046"/>
      <c r="K193" s="1049"/>
      <c r="L193" s="1015"/>
      <c r="M193" s="1002"/>
      <c r="N193" s="845"/>
      <c r="O193" s="845"/>
      <c r="P193" s="845"/>
      <c r="Q193" s="845"/>
      <c r="R193" s="845"/>
      <c r="S193" s="845"/>
      <c r="T193" s="845"/>
      <c r="U193" s="1007"/>
      <c r="V193" s="1007"/>
      <c r="W193"/>
      <c r="X193" s="972"/>
      <c r="Y193" s="972"/>
      <c r="Z193" s="972"/>
      <c r="AA193"/>
      <c r="AB193" s="972"/>
    </row>
    <row r="194" spans="2:28" ht="15.75">
      <c r="B194" s="845"/>
      <c r="C194" s="1623"/>
      <c r="D194" s="1738" t="s">
        <v>886</v>
      </c>
      <c r="E194" s="1631"/>
      <c r="F194" s="1653">
        <v>0</v>
      </c>
      <c r="G194" s="1690"/>
      <c r="H194" s="1691"/>
      <c r="I194" s="1627">
        <f t="shared" si="6"/>
        <v>0</v>
      </c>
      <c r="J194" s="1046"/>
      <c r="K194" s="1049"/>
      <c r="L194" s="1015"/>
      <c r="M194" s="1002"/>
      <c r="N194" s="845"/>
      <c r="O194" s="845"/>
      <c r="P194" s="845"/>
      <c r="Q194" s="845"/>
      <c r="R194" s="845"/>
      <c r="S194" s="845"/>
      <c r="T194" s="845"/>
      <c r="U194" s="1007"/>
      <c r="V194" s="1007"/>
      <c r="W194"/>
      <c r="X194" s="972"/>
      <c r="Y194" s="972"/>
      <c r="Z194" s="972"/>
      <c r="AA194"/>
      <c r="AB194" s="972"/>
    </row>
    <row r="195" spans="2:28" ht="15.75">
      <c r="B195" s="845"/>
      <c r="C195" s="1623"/>
      <c r="D195" s="1738" t="s">
        <v>887</v>
      </c>
      <c r="E195" s="1631"/>
      <c r="F195" s="1653">
        <v>12000</v>
      </c>
      <c r="G195" s="1690"/>
      <c r="H195" s="1691"/>
      <c r="I195" s="1627">
        <f t="shared" si="6"/>
        <v>0</v>
      </c>
      <c r="J195" s="1046"/>
      <c r="K195" s="1061"/>
      <c r="L195" s="1024"/>
      <c r="M195" s="1002"/>
      <c r="N195" s="845"/>
      <c r="O195" s="845"/>
      <c r="P195" s="845"/>
      <c r="Q195" s="845"/>
      <c r="R195" s="845"/>
      <c r="S195" s="845"/>
      <c r="T195" s="845"/>
      <c r="U195" s="1007"/>
      <c r="V195" s="1007"/>
      <c r="W195"/>
      <c r="X195" s="972"/>
      <c r="Y195" s="972"/>
      <c r="Z195" s="972"/>
      <c r="AA195"/>
      <c r="AB195" s="972"/>
    </row>
    <row r="196" spans="2:28" ht="15.75">
      <c r="B196" s="845"/>
      <c r="C196" s="1623"/>
      <c r="D196" s="1738" t="s">
        <v>888</v>
      </c>
      <c r="E196" s="1631"/>
      <c r="F196" s="1653">
        <v>0</v>
      </c>
      <c r="G196" s="1690"/>
      <c r="H196" s="1691"/>
      <c r="I196" s="1627">
        <f t="shared" si="6"/>
        <v>0</v>
      </c>
      <c r="J196" s="1046"/>
      <c r="K196" s="1054"/>
      <c r="L196" s="1001"/>
      <c r="M196" s="1002"/>
      <c r="N196" s="845"/>
      <c r="O196" s="845"/>
      <c r="P196" s="845"/>
      <c r="Q196" s="845"/>
      <c r="R196" s="845"/>
      <c r="S196" s="845"/>
      <c r="T196" s="845"/>
      <c r="U196" s="1007"/>
      <c r="V196" s="1007"/>
      <c r="W196"/>
      <c r="X196" s="972"/>
      <c r="Y196" s="972"/>
      <c r="Z196" s="972"/>
      <c r="AA196"/>
      <c r="AB196" s="972"/>
    </row>
    <row r="197" spans="2:28" ht="15.75">
      <c r="B197" s="845"/>
      <c r="C197" s="1623"/>
      <c r="D197" s="1738" t="s">
        <v>889</v>
      </c>
      <c r="E197" s="1631"/>
      <c r="F197" s="1653">
        <v>0</v>
      </c>
      <c r="G197" s="1690"/>
      <c r="H197" s="1691"/>
      <c r="I197" s="1627">
        <f t="shared" si="6"/>
        <v>0</v>
      </c>
      <c r="J197" s="1046"/>
      <c r="K197" s="1054"/>
      <c r="L197" s="1001"/>
      <c r="M197" s="1002"/>
      <c r="N197" s="845"/>
      <c r="O197" s="845"/>
      <c r="P197" s="845"/>
      <c r="Q197" s="845"/>
      <c r="R197" s="845"/>
      <c r="S197" s="845"/>
      <c r="T197" s="845"/>
      <c r="U197" s="1007"/>
      <c r="V197" s="1007"/>
      <c r="W197"/>
      <c r="X197" s="972"/>
      <c r="Y197" s="972"/>
      <c r="Z197" s="972"/>
      <c r="AA197"/>
      <c r="AB197" s="972"/>
    </row>
    <row r="198" spans="2:28" ht="15.75">
      <c r="B198" s="845"/>
      <c r="C198" s="1623"/>
      <c r="D198" s="1738" t="s">
        <v>890</v>
      </c>
      <c r="E198" s="1631"/>
      <c r="F198" s="1653">
        <v>0</v>
      </c>
      <c r="G198" s="1690"/>
      <c r="H198" s="1691"/>
      <c r="I198" s="1627">
        <f t="shared" si="6"/>
        <v>0</v>
      </c>
      <c r="J198" s="1046"/>
      <c r="K198" s="1049"/>
      <c r="L198" s="1015"/>
      <c r="M198" s="1002"/>
      <c r="N198" s="845"/>
      <c r="O198" s="845"/>
      <c r="P198" s="845"/>
      <c r="Q198" s="845"/>
      <c r="R198" s="845"/>
      <c r="S198" s="845"/>
      <c r="T198" s="845"/>
      <c r="U198" s="1007"/>
      <c r="V198" s="1007"/>
      <c r="W198"/>
      <c r="X198" s="972"/>
      <c r="Y198" s="972"/>
      <c r="Z198" s="972"/>
      <c r="AA198"/>
      <c r="AB198" s="972"/>
    </row>
    <row r="199" spans="2:28" ht="15.75">
      <c r="B199" s="845"/>
      <c r="C199" s="1623"/>
      <c r="D199" s="1738" t="s">
        <v>891</v>
      </c>
      <c r="E199" s="1631"/>
      <c r="F199" s="1653">
        <v>0</v>
      </c>
      <c r="G199" s="1690"/>
      <c r="H199" s="1691"/>
      <c r="I199" s="1627">
        <f t="shared" si="6"/>
        <v>0</v>
      </c>
      <c r="J199" s="1046"/>
      <c r="K199" s="1054"/>
      <c r="L199" s="1001"/>
      <c r="M199" s="1002"/>
      <c r="N199" s="845"/>
      <c r="O199" s="845"/>
      <c r="P199" s="845"/>
      <c r="Q199" s="845"/>
      <c r="R199" s="845"/>
      <c r="S199" s="845"/>
      <c r="T199" s="845"/>
      <c r="U199" s="1007"/>
      <c r="V199" s="1007"/>
      <c r="W199"/>
      <c r="X199" s="972"/>
      <c r="Y199" s="972"/>
      <c r="Z199" s="972"/>
      <c r="AA199"/>
      <c r="AB199" s="972"/>
    </row>
    <row r="200" spans="2:28" ht="15.75">
      <c r="B200" s="845"/>
      <c r="C200" s="1623" t="s">
        <v>892</v>
      </c>
      <c r="D200" s="1623"/>
      <c r="E200" s="1631"/>
      <c r="F200" s="1653"/>
      <c r="G200" s="1682">
        <f>SUM(F201:F205)</f>
        <v>93250</v>
      </c>
      <c r="H200" s="1683"/>
      <c r="I200" s="1627">
        <f t="shared" si="6"/>
        <v>613.48684210526312</v>
      </c>
      <c r="J200" s="1046"/>
      <c r="K200" s="1054"/>
      <c r="L200" s="1001"/>
      <c r="M200" s="1002"/>
      <c r="N200" s="845"/>
      <c r="O200" s="845"/>
      <c r="P200" s="845"/>
      <c r="Q200" s="845"/>
      <c r="R200" s="845"/>
      <c r="S200" s="845"/>
      <c r="T200" s="845"/>
      <c r="U200" s="1060">
        <v>1</v>
      </c>
      <c r="V200" s="1007">
        <f>1-U200</f>
        <v>0</v>
      </c>
      <c r="W200"/>
      <c r="X200" s="972">
        <f>U200*G200</f>
        <v>93250</v>
      </c>
      <c r="Y200" s="972"/>
      <c r="Z200" s="972">
        <f>V200*G200</f>
        <v>0</v>
      </c>
      <c r="AA200"/>
      <c r="AB200" s="972">
        <v>1865</v>
      </c>
    </row>
    <row r="201" spans="2:28" ht="15.75">
      <c r="B201" s="845"/>
      <c r="C201" s="1681"/>
      <c r="D201" s="1623" t="s">
        <v>893</v>
      </c>
      <c r="E201" s="1702"/>
      <c r="F201" s="1653">
        <v>0</v>
      </c>
      <c r="G201" s="1682"/>
      <c r="H201" s="1683"/>
      <c r="I201" s="1627">
        <f t="shared" si="6"/>
        <v>0</v>
      </c>
      <c r="J201" s="1046"/>
      <c r="K201" s="1101" t="s">
        <v>894</v>
      </c>
      <c r="L201" s="1074"/>
      <c r="M201" s="1002"/>
      <c r="N201" s="845"/>
      <c r="O201" s="845"/>
      <c r="P201" s="845"/>
      <c r="Q201" s="845"/>
      <c r="R201" s="845"/>
      <c r="S201" s="845"/>
      <c r="T201" s="845"/>
      <c r="U201" s="1007"/>
      <c r="V201" s="1007"/>
      <c r="W201"/>
      <c r="X201" s="972"/>
      <c r="Y201" s="972"/>
      <c r="Z201" s="972"/>
      <c r="AA201"/>
      <c r="AB201" s="972"/>
    </row>
    <row r="202" spans="2:28" ht="15.75">
      <c r="B202" s="845"/>
      <c r="C202" s="1681"/>
      <c r="D202" s="1623" t="s">
        <v>895</v>
      </c>
      <c r="E202" s="1631"/>
      <c r="F202" s="1653">
        <v>87750</v>
      </c>
      <c r="G202" s="1682"/>
      <c r="H202" s="1683"/>
      <c r="I202" s="1627">
        <f t="shared" si="6"/>
        <v>0</v>
      </c>
      <c r="J202" s="1046"/>
      <c r="K202" s="1075" t="s">
        <v>894</v>
      </c>
      <c r="L202" s="1012"/>
      <c r="M202" s="1002"/>
      <c r="N202" s="845"/>
      <c r="O202" s="845"/>
      <c r="P202" s="845"/>
      <c r="Q202" s="845"/>
      <c r="R202" s="845"/>
      <c r="S202" s="845"/>
      <c r="T202" s="845"/>
      <c r="U202" s="1007"/>
      <c r="V202" s="1007"/>
      <c r="W202"/>
      <c r="X202" s="972"/>
      <c r="Y202" s="972"/>
      <c r="Z202" s="972"/>
      <c r="AA202"/>
      <c r="AB202" s="972"/>
    </row>
    <row r="203" spans="2:28" ht="15.75">
      <c r="B203" s="845"/>
      <c r="C203" s="1681"/>
      <c r="D203" s="1623" t="s">
        <v>896</v>
      </c>
      <c r="E203" s="1631"/>
      <c r="F203" s="1653">
        <v>2500</v>
      </c>
      <c r="G203" s="1682"/>
      <c r="H203" s="1683"/>
      <c r="I203" s="1627">
        <f t="shared" si="6"/>
        <v>0</v>
      </c>
      <c r="J203" s="1046"/>
      <c r="K203" s="1049"/>
      <c r="L203" s="1015"/>
      <c r="M203" s="1002"/>
      <c r="N203" s="845"/>
      <c r="O203" s="845"/>
      <c r="P203" s="845"/>
      <c r="Q203" s="845"/>
      <c r="R203" s="845"/>
      <c r="S203" s="845"/>
      <c r="T203" s="845"/>
      <c r="U203" s="1007"/>
      <c r="V203" s="1007"/>
      <c r="W203"/>
      <c r="X203" s="972"/>
      <c r="Y203" s="972"/>
      <c r="Z203" s="972"/>
      <c r="AA203"/>
      <c r="AB203" s="972"/>
    </row>
    <row r="204" spans="2:28" ht="15.75">
      <c r="B204" s="845"/>
      <c r="C204" s="1681"/>
      <c r="D204" s="1623" t="s">
        <v>897</v>
      </c>
      <c r="E204" s="1631"/>
      <c r="F204" s="1653">
        <v>1500</v>
      </c>
      <c r="G204" s="1682"/>
      <c r="H204" s="1683"/>
      <c r="I204" s="1627">
        <f t="shared" si="6"/>
        <v>0</v>
      </c>
      <c r="J204" s="1046"/>
      <c r="K204" s="1049"/>
      <c r="L204" s="1015"/>
      <c r="M204" s="1002"/>
      <c r="N204" s="845"/>
      <c r="O204" s="845"/>
      <c r="P204" s="845"/>
      <c r="Q204" s="845"/>
      <c r="R204" s="845"/>
      <c r="S204" s="845"/>
      <c r="T204" s="845"/>
      <c r="U204" s="1007"/>
      <c r="V204" s="1007"/>
      <c r="W204"/>
      <c r="X204" s="972"/>
      <c r="Y204" s="972"/>
      <c r="Z204" s="972"/>
      <c r="AA204"/>
      <c r="AB204" s="972"/>
    </row>
    <row r="205" spans="2:28" ht="15.75">
      <c r="B205" s="845"/>
      <c r="C205" s="1681"/>
      <c r="D205" s="1623" t="s">
        <v>898</v>
      </c>
      <c r="E205" s="1631"/>
      <c r="F205" s="1653">
        <v>1500</v>
      </c>
      <c r="G205" s="1682"/>
      <c r="H205" s="1683"/>
      <c r="I205" s="1627">
        <f t="shared" si="6"/>
        <v>0</v>
      </c>
      <c r="J205" s="1046"/>
      <c r="K205" s="1049"/>
      <c r="L205" s="1015"/>
      <c r="M205" s="1002"/>
      <c r="N205" s="845"/>
      <c r="O205" s="845"/>
      <c r="P205" s="845"/>
      <c r="Q205" s="845"/>
      <c r="R205" s="845"/>
      <c r="S205" s="845"/>
      <c r="T205" s="845"/>
      <c r="U205" s="1007"/>
      <c r="V205" s="1007"/>
      <c r="W205"/>
      <c r="X205" s="972"/>
      <c r="Y205" s="972"/>
      <c r="Z205" s="972"/>
      <c r="AA205"/>
      <c r="AB205" s="972"/>
    </row>
    <row r="206" spans="2:28" ht="15.75">
      <c r="B206" s="845"/>
      <c r="C206" s="1623" t="s">
        <v>899</v>
      </c>
      <c r="D206" s="1623"/>
      <c r="E206" s="1631"/>
      <c r="F206" s="1653"/>
      <c r="G206" s="1690">
        <f>SUM(F207:F209)</f>
        <v>0</v>
      </c>
      <c r="H206" s="1691"/>
      <c r="I206" s="1627">
        <f t="shared" si="6"/>
        <v>0</v>
      </c>
      <c r="J206" s="1046"/>
      <c r="K206" s="1142"/>
      <c r="L206" s="1143"/>
      <c r="M206" s="1002"/>
      <c r="N206"/>
      <c r="O206"/>
      <c r="P206" s="845"/>
      <c r="Q206" s="845"/>
      <c r="R206" s="845"/>
      <c r="S206" s="845"/>
      <c r="T206" s="845"/>
      <c r="U206" s="1007">
        <v>1</v>
      </c>
      <c r="V206" s="1007">
        <v>0</v>
      </c>
      <c r="W206"/>
      <c r="X206" s="972">
        <f>U206*G206</f>
        <v>0</v>
      </c>
      <c r="Y206" s="972"/>
      <c r="Z206" s="972">
        <f>V206*G206</f>
        <v>0</v>
      </c>
      <c r="AA206"/>
      <c r="AB206" s="972">
        <v>0</v>
      </c>
    </row>
    <row r="207" spans="2:28" ht="15.75">
      <c r="B207" s="845"/>
      <c r="C207" s="1623"/>
      <c r="D207" s="1623" t="s">
        <v>487</v>
      </c>
      <c r="E207" s="1631"/>
      <c r="F207" s="1653">
        <v>0</v>
      </c>
      <c r="G207" s="1690"/>
      <c r="H207" s="1691"/>
      <c r="I207" s="1627">
        <f t="shared" si="6"/>
        <v>0</v>
      </c>
      <c r="J207" s="1046"/>
      <c r="K207" s="1144"/>
      <c r="L207" s="1145"/>
      <c r="M207" s="1002"/>
      <c r="N207"/>
      <c r="O207"/>
      <c r="P207" s="845"/>
      <c r="Q207" s="845"/>
      <c r="R207" s="845"/>
      <c r="S207" s="845"/>
      <c r="T207" s="845"/>
      <c r="U207" s="1007"/>
      <c r="V207" s="1007"/>
      <c r="W207"/>
      <c r="X207" s="972"/>
      <c r="Y207" s="972"/>
      <c r="Z207" s="972"/>
      <c r="AA207"/>
      <c r="AB207" s="972"/>
    </row>
    <row r="208" spans="2:28" ht="15.75">
      <c r="B208" s="845"/>
      <c r="C208" s="1623"/>
      <c r="D208" s="1623" t="s">
        <v>900</v>
      </c>
      <c r="E208" s="1631"/>
      <c r="F208" s="1653">
        <v>0</v>
      </c>
      <c r="G208" s="1690"/>
      <c r="H208" s="1691"/>
      <c r="I208" s="1627">
        <f t="shared" si="6"/>
        <v>0</v>
      </c>
      <c r="J208" s="1046"/>
      <c r="K208" s="1052"/>
      <c r="L208" s="1030"/>
      <c r="M208" s="1002"/>
      <c r="N208"/>
      <c r="O208"/>
      <c r="P208" s="845"/>
      <c r="Q208" s="845"/>
      <c r="R208" s="845"/>
      <c r="S208" s="845"/>
      <c r="T208" s="845"/>
      <c r="U208" s="1007"/>
      <c r="V208" s="1007"/>
      <c r="W208"/>
      <c r="X208" s="972"/>
      <c r="Y208" s="972"/>
      <c r="Z208" s="972"/>
      <c r="AA208"/>
      <c r="AB208" s="972"/>
    </row>
    <row r="209" spans="2:28" ht="15.75">
      <c r="B209" s="845"/>
      <c r="C209" s="1623"/>
      <c r="D209" s="1623" t="s">
        <v>901</v>
      </c>
      <c r="E209" s="1631"/>
      <c r="F209" s="1653">
        <v>0</v>
      </c>
      <c r="G209" s="1690"/>
      <c r="H209" s="1691"/>
      <c r="I209" s="1627">
        <f t="shared" si="6"/>
        <v>0</v>
      </c>
      <c r="J209" s="1046"/>
      <c r="K209" s="1146"/>
      <c r="L209" s="1147"/>
      <c r="M209" s="1002"/>
      <c r="N209"/>
      <c r="O209"/>
      <c r="P209" s="845"/>
      <c r="Q209" s="845"/>
      <c r="R209" s="845"/>
      <c r="S209" s="845"/>
      <c r="T209" s="845"/>
      <c r="U209" s="1007"/>
      <c r="V209" s="1007"/>
      <c r="W209"/>
      <c r="X209" s="972"/>
      <c r="Y209" s="972"/>
      <c r="Z209" s="972"/>
      <c r="AA209"/>
      <c r="AB209" s="972"/>
    </row>
    <row r="210" spans="2:28" ht="15.75">
      <c r="B210" s="845"/>
      <c r="C210" s="1623" t="s">
        <v>902</v>
      </c>
      <c r="D210" s="1623"/>
      <c r="E210" s="1631"/>
      <c r="F210" s="1653"/>
      <c r="G210" s="1682">
        <f>SUM(F211:F216)</f>
        <v>50000</v>
      </c>
      <c r="H210" s="1683"/>
      <c r="I210" s="1627">
        <f t="shared" si="6"/>
        <v>328.94736842105266</v>
      </c>
      <c r="J210" s="1046"/>
      <c r="K210" s="1068"/>
      <c r="L210" s="1025"/>
      <c r="M210" s="1002"/>
      <c r="N210"/>
      <c r="O210"/>
      <c r="P210" s="845"/>
      <c r="Q210" s="845"/>
      <c r="R210" s="845"/>
      <c r="S210" s="845"/>
      <c r="T210" s="845"/>
      <c r="U210" s="1060">
        <v>1</v>
      </c>
      <c r="V210" s="1007">
        <f>1-U210</f>
        <v>0</v>
      </c>
      <c r="W210"/>
      <c r="X210" s="972">
        <f>U210*G210</f>
        <v>50000</v>
      </c>
      <c r="Y210" s="972"/>
      <c r="Z210" s="972">
        <f>V210*G210</f>
        <v>0</v>
      </c>
      <c r="AA210"/>
      <c r="AB210" s="972">
        <v>1000</v>
      </c>
    </row>
    <row r="211" spans="2:28" ht="15.75">
      <c r="B211" s="845"/>
      <c r="C211" s="1623"/>
      <c r="D211" s="1623" t="s">
        <v>903</v>
      </c>
      <c r="E211" s="1739">
        <v>2500</v>
      </c>
      <c r="F211" s="1653">
        <v>0</v>
      </c>
      <c r="G211" s="1682"/>
      <c r="H211" s="1683"/>
      <c r="I211" s="1627">
        <f t="shared" si="6"/>
        <v>0</v>
      </c>
      <c r="J211" s="1046"/>
      <c r="K211" s="1054"/>
      <c r="L211" s="1001"/>
      <c r="M211" s="1002"/>
      <c r="N211"/>
      <c r="O211"/>
      <c r="P211" s="845"/>
      <c r="Q211" s="845"/>
      <c r="R211" s="845"/>
      <c r="S211" s="845"/>
      <c r="T211" s="845"/>
      <c r="U211" s="1007"/>
      <c r="V211" s="1007"/>
      <c r="W211"/>
      <c r="X211" s="972"/>
      <c r="Y211" s="972"/>
      <c r="Z211" s="972"/>
      <c r="AA211"/>
      <c r="AB211" s="972"/>
    </row>
    <row r="212" spans="2:28" ht="15.75">
      <c r="B212" s="845"/>
      <c r="C212" s="1623"/>
      <c r="D212" s="1623" t="s">
        <v>904</v>
      </c>
      <c r="E212" s="1631"/>
      <c r="F212" s="1653">
        <v>5000</v>
      </c>
      <c r="G212" s="1682"/>
      <c r="H212" s="1683"/>
      <c r="I212" s="1627">
        <f t="shared" si="6"/>
        <v>0</v>
      </c>
      <c r="J212" s="1046"/>
      <c r="K212" s="1054"/>
      <c r="L212" s="1001"/>
      <c r="M212" s="1002"/>
      <c r="N212"/>
      <c r="O212"/>
      <c r="P212" s="845"/>
      <c r="Q212" s="845"/>
      <c r="R212" s="845"/>
      <c r="S212" s="845"/>
      <c r="T212" s="845"/>
      <c r="U212" s="1007"/>
      <c r="V212" s="1007"/>
      <c r="W212"/>
      <c r="X212" s="972"/>
      <c r="Y212" s="972"/>
      <c r="Z212" s="972"/>
      <c r="AA212"/>
      <c r="AB212" s="972"/>
    </row>
    <row r="213" spans="2:28" ht="15.75">
      <c r="B213" s="845"/>
      <c r="C213" s="1623"/>
      <c r="D213" s="1623" t="s">
        <v>905</v>
      </c>
      <c r="E213" s="1631"/>
      <c r="F213" s="1653">
        <v>15000</v>
      </c>
      <c r="G213" s="1682"/>
      <c r="H213" s="1683"/>
      <c r="I213" s="1627">
        <f t="shared" si="6"/>
        <v>0</v>
      </c>
      <c r="J213" s="1046"/>
      <c r="K213" s="1054"/>
      <c r="L213" s="1001"/>
      <c r="M213" s="1002"/>
      <c r="N213"/>
      <c r="O213"/>
      <c r="P213" s="845"/>
      <c r="Q213" s="845"/>
      <c r="R213" s="845"/>
      <c r="S213" s="845"/>
      <c r="T213" s="845"/>
      <c r="U213" s="1007"/>
      <c r="V213" s="1007"/>
      <c r="W213"/>
      <c r="X213" s="972"/>
      <c r="Y213" s="972"/>
      <c r="Z213" s="972"/>
      <c r="AA213"/>
      <c r="AB213" s="972"/>
    </row>
    <row r="214" spans="2:28" ht="15.75">
      <c r="B214" s="845"/>
      <c r="C214" s="1623"/>
      <c r="D214" s="1623" t="s">
        <v>906</v>
      </c>
      <c r="E214" s="1631"/>
      <c r="F214" s="1653">
        <v>5000</v>
      </c>
      <c r="G214" s="1682"/>
      <c r="H214" s="1683"/>
      <c r="I214" s="1627">
        <f t="shared" si="6"/>
        <v>0</v>
      </c>
      <c r="J214" s="1046"/>
      <c r="K214" s="1054"/>
      <c r="L214" s="1001"/>
      <c r="M214" s="1002"/>
      <c r="N214"/>
      <c r="O214"/>
      <c r="P214" s="845"/>
      <c r="Q214" s="845"/>
      <c r="R214" s="845"/>
      <c r="S214" s="845"/>
      <c r="T214" s="845"/>
      <c r="U214" s="1007"/>
      <c r="V214" s="1007"/>
      <c r="W214"/>
      <c r="X214" s="972"/>
      <c r="Y214" s="972"/>
      <c r="Z214" s="972"/>
      <c r="AA214"/>
      <c r="AB214" s="972"/>
    </row>
    <row r="215" spans="2:28" ht="15.75">
      <c r="B215" s="845"/>
      <c r="C215" s="1623"/>
      <c r="D215" s="1623" t="s">
        <v>907</v>
      </c>
      <c r="E215" s="1631"/>
      <c r="F215" s="1653">
        <v>20000</v>
      </c>
      <c r="G215" s="1682"/>
      <c r="H215" s="1683"/>
      <c r="I215" s="1627">
        <f t="shared" si="6"/>
        <v>0</v>
      </c>
      <c r="J215" s="1046"/>
      <c r="K215" s="1054"/>
      <c r="L215" s="1001"/>
      <c r="M215" s="1002"/>
      <c r="N215"/>
      <c r="O215"/>
      <c r="P215" s="845"/>
      <c r="Q215" s="845"/>
      <c r="R215" s="845"/>
      <c r="S215" s="845"/>
      <c r="T215" s="845"/>
      <c r="U215" s="1007"/>
      <c r="V215" s="1007"/>
      <c r="W215"/>
      <c r="X215" s="972"/>
      <c r="Y215" s="972"/>
      <c r="Z215" s="972"/>
      <c r="AA215"/>
      <c r="AB215" s="972"/>
    </row>
    <row r="216" spans="2:28" ht="15.75">
      <c r="B216" s="845"/>
      <c r="C216" s="1623"/>
      <c r="D216" s="1623" t="s">
        <v>908</v>
      </c>
      <c r="E216" s="1631"/>
      <c r="F216" s="1653">
        <v>5000</v>
      </c>
      <c r="G216" s="1682"/>
      <c r="H216" s="1683"/>
      <c r="I216" s="1627">
        <f t="shared" si="6"/>
        <v>0</v>
      </c>
      <c r="J216" s="1046"/>
      <c r="K216" s="1054"/>
      <c r="L216" s="1001"/>
      <c r="M216" s="1002"/>
      <c r="N216"/>
      <c r="O216"/>
      <c r="P216" s="845"/>
      <c r="Q216" s="845"/>
      <c r="R216" s="845"/>
      <c r="S216" s="845"/>
      <c r="T216" s="845"/>
      <c r="U216" s="1007"/>
      <c r="V216" s="1007"/>
      <c r="W216"/>
      <c r="X216" s="972"/>
      <c r="Y216" s="972"/>
      <c r="Z216" s="972"/>
      <c r="AA216"/>
      <c r="AB216" s="972"/>
    </row>
    <row r="217" spans="2:28" ht="15.75">
      <c r="B217" s="845"/>
      <c r="C217" s="1623" t="s">
        <v>909</v>
      </c>
      <c r="D217" s="1623"/>
      <c r="E217" s="1631"/>
      <c r="F217" s="1653"/>
      <c r="G217" s="1682">
        <f>SUM(F218:F220)</f>
        <v>0</v>
      </c>
      <c r="H217" s="1683"/>
      <c r="I217" s="1627">
        <f t="shared" si="6"/>
        <v>0</v>
      </c>
      <c r="J217" s="1046"/>
      <c r="K217" s="1089"/>
      <c r="L217" s="1039"/>
      <c r="M217" s="1002"/>
      <c r="N217"/>
      <c r="O217"/>
      <c r="P217" s="845"/>
      <c r="Q217" s="845"/>
      <c r="R217" s="845"/>
      <c r="S217" s="845"/>
      <c r="T217" s="845"/>
      <c r="U217" s="1007">
        <v>1</v>
      </c>
      <c r="V217" s="1007">
        <v>0</v>
      </c>
      <c r="W217"/>
      <c r="X217" s="972">
        <f>U217*G217</f>
        <v>0</v>
      </c>
      <c r="Y217" s="972"/>
      <c r="Z217" s="972">
        <f>V217*G217</f>
        <v>0</v>
      </c>
      <c r="AA217"/>
      <c r="AB217" s="972">
        <v>0</v>
      </c>
    </row>
    <row r="218" spans="2:28" ht="15.75">
      <c r="B218" s="845"/>
      <c r="C218" s="1623"/>
      <c r="D218" s="1623" t="s">
        <v>487</v>
      </c>
      <c r="E218" s="1631"/>
      <c r="F218" s="1653">
        <v>0</v>
      </c>
      <c r="G218" s="1682"/>
      <c r="H218" s="1683"/>
      <c r="I218" s="1627">
        <f t="shared" si="6"/>
        <v>0</v>
      </c>
      <c r="J218" s="1046"/>
      <c r="K218" s="1101" t="s">
        <v>910</v>
      </c>
      <c r="L218" s="1074"/>
      <c r="M218" s="1002"/>
      <c r="N218"/>
      <c r="O218"/>
      <c r="P218" s="845"/>
      <c r="Q218" s="845"/>
      <c r="R218" s="845"/>
      <c r="S218" s="845"/>
      <c r="T218" s="845"/>
      <c r="U218" s="1007"/>
      <c r="V218" s="1007"/>
      <c r="W218"/>
      <c r="X218" s="972"/>
      <c r="Y218" s="972"/>
      <c r="Z218" s="972"/>
      <c r="AA218"/>
      <c r="AB218" s="972"/>
    </row>
    <row r="219" spans="2:28" ht="15.75">
      <c r="B219" s="845"/>
      <c r="C219" s="1623"/>
      <c r="D219" s="1623" t="s">
        <v>106</v>
      </c>
      <c r="E219" s="1631"/>
      <c r="F219" s="1653">
        <v>0</v>
      </c>
      <c r="G219" s="1682"/>
      <c r="H219" s="1683"/>
      <c r="I219" s="1627">
        <f t="shared" si="6"/>
        <v>0</v>
      </c>
      <c r="J219" s="1046"/>
      <c r="K219" s="1054"/>
      <c r="L219" s="1001"/>
      <c r="M219" s="1002"/>
      <c r="N219"/>
      <c r="O219"/>
      <c r="P219" s="845"/>
      <c r="Q219" s="845"/>
      <c r="R219" s="845"/>
      <c r="S219" s="845"/>
      <c r="T219" s="845"/>
      <c r="U219" s="1007"/>
      <c r="V219" s="1007"/>
      <c r="W219"/>
      <c r="X219" s="972"/>
      <c r="Y219" s="972"/>
      <c r="Z219" s="972"/>
      <c r="AA219"/>
      <c r="AB219" s="972"/>
    </row>
    <row r="220" spans="2:28" ht="15.75">
      <c r="B220" s="845"/>
      <c r="C220" s="1623"/>
      <c r="D220" s="1623" t="s">
        <v>911</v>
      </c>
      <c r="E220" s="1631"/>
      <c r="F220" s="1653">
        <v>0</v>
      </c>
      <c r="G220" s="1682"/>
      <c r="H220" s="1683"/>
      <c r="I220" s="1627">
        <f t="shared" si="6"/>
        <v>0</v>
      </c>
      <c r="J220" s="1046"/>
      <c r="K220" s="1054"/>
      <c r="L220" s="1001"/>
      <c r="M220" s="1002"/>
      <c r="N220"/>
      <c r="O220"/>
      <c r="P220" s="845"/>
      <c r="Q220" s="845"/>
      <c r="R220" s="845"/>
      <c r="S220" s="845"/>
      <c r="T220" s="845"/>
      <c r="U220" s="1007"/>
      <c r="V220" s="1007"/>
      <c r="W220"/>
      <c r="X220" s="972"/>
      <c r="Y220" s="972"/>
      <c r="Z220" s="972"/>
      <c r="AA220"/>
      <c r="AB220" s="972"/>
    </row>
    <row r="221" spans="2:28" ht="15.75">
      <c r="B221" s="845"/>
      <c r="C221" s="1623" t="s">
        <v>912</v>
      </c>
      <c r="D221" s="1623"/>
      <c r="E221" s="1631"/>
      <c r="F221" s="1653"/>
      <c r="G221" s="1682">
        <f>SUM(F222:F230)</f>
        <v>281000</v>
      </c>
      <c r="H221" s="1683"/>
      <c r="I221" s="1627">
        <f t="shared" si="6"/>
        <v>1848.6842105263158</v>
      </c>
      <c r="J221" s="1046"/>
      <c r="K221" s="1054"/>
      <c r="L221" s="1001"/>
      <c r="M221" s="1002"/>
      <c r="N221"/>
      <c r="O221"/>
      <c r="P221" s="845"/>
      <c r="Q221" s="845"/>
      <c r="R221" s="845"/>
      <c r="S221" s="845"/>
      <c r="T221" s="845"/>
      <c r="U221" s="1007">
        <v>1</v>
      </c>
      <c r="V221" s="1007">
        <v>0</v>
      </c>
      <c r="W221"/>
      <c r="X221" s="972">
        <f>U221*G221</f>
        <v>281000</v>
      </c>
      <c r="Y221" s="972"/>
      <c r="Z221" s="972">
        <f>V221*G221</f>
        <v>0</v>
      </c>
      <c r="AA221"/>
      <c r="AB221" s="972">
        <v>3320</v>
      </c>
    </row>
    <row r="222" spans="2:28" ht="15.75">
      <c r="B222" s="845"/>
      <c r="C222" s="1681"/>
      <c r="D222" s="1623" t="s">
        <v>224</v>
      </c>
      <c r="E222" s="1702">
        <v>0</v>
      </c>
      <c r="F222" s="1653">
        <v>0</v>
      </c>
      <c r="G222" s="1740"/>
      <c r="H222" s="1741"/>
      <c r="I222" s="1627">
        <f t="shared" si="6"/>
        <v>0</v>
      </c>
      <c r="J222" s="1046"/>
      <c r="K222" s="1054"/>
      <c r="L222" s="1001"/>
      <c r="M222" s="1002"/>
      <c r="N222"/>
      <c r="O222"/>
      <c r="P222" s="845"/>
      <c r="Q222" s="845"/>
      <c r="R222" s="845"/>
      <c r="S222" s="845"/>
      <c r="T222" s="845"/>
      <c r="U222" s="1007"/>
      <c r="V222" s="1007"/>
      <c r="W222"/>
      <c r="X222" s="972"/>
      <c r="Y222" s="972"/>
      <c r="Z222" s="972"/>
      <c r="AA222"/>
      <c r="AB222" s="972"/>
    </row>
    <row r="223" spans="2:28" ht="15.75">
      <c r="B223" s="845"/>
      <c r="C223" s="1681"/>
      <c r="D223" s="1623" t="s">
        <v>415</v>
      </c>
      <c r="E223" s="1631"/>
      <c r="F223" s="1653">
        <v>25000</v>
      </c>
      <c r="G223" s="1682"/>
      <c r="H223" s="1683"/>
      <c r="I223" s="1627">
        <f t="shared" ref="I223:I249" si="8">G223/$F$9</f>
        <v>0</v>
      </c>
      <c r="J223" s="1046"/>
      <c r="K223" s="1089"/>
      <c r="L223" s="1039"/>
      <c r="M223" s="1002"/>
      <c r="N223"/>
      <c r="O223"/>
      <c r="P223" s="845"/>
      <c r="Q223" s="845"/>
      <c r="R223" s="845"/>
      <c r="S223" s="845"/>
      <c r="T223" s="845"/>
      <c r="U223" s="1007"/>
      <c r="V223" s="1007"/>
      <c r="W223"/>
      <c r="X223" s="972"/>
      <c r="Y223" s="972"/>
      <c r="Z223" s="972"/>
      <c r="AA223"/>
      <c r="AB223" s="972"/>
    </row>
    <row r="224" spans="2:28" ht="15.75">
      <c r="B224" s="845"/>
      <c r="C224" s="1681"/>
      <c r="D224" s="1623" t="s">
        <v>913</v>
      </c>
      <c r="E224" s="1739">
        <v>6500</v>
      </c>
      <c r="F224" s="1653">
        <f>E224*24</f>
        <v>156000</v>
      </c>
      <c r="G224" s="1682"/>
      <c r="H224" s="1683"/>
      <c r="I224" s="1627">
        <f t="shared" si="8"/>
        <v>0</v>
      </c>
      <c r="J224" s="1046"/>
      <c r="K224" s="1101" t="s">
        <v>148</v>
      </c>
      <c r="L224" s="1074"/>
      <c r="M224" s="1002"/>
      <c r="N224" s="1148"/>
      <c r="O224" s="1148"/>
      <c r="P224" s="845"/>
      <c r="Q224" s="845"/>
      <c r="R224" s="845"/>
      <c r="S224" s="845"/>
      <c r="T224" s="845"/>
      <c r="U224" s="1007"/>
      <c r="V224" s="1007"/>
      <c r="W224"/>
      <c r="X224" s="972"/>
      <c r="Y224" s="972"/>
      <c r="Z224" s="972"/>
      <c r="AA224"/>
      <c r="AB224" s="972"/>
    </row>
    <row r="225" spans="2:28" ht="15.75">
      <c r="B225" s="845"/>
      <c r="C225" s="1681"/>
      <c r="D225" s="1623" t="s">
        <v>914</v>
      </c>
      <c r="E225" s="1631"/>
      <c r="F225" s="1653">
        <v>50000</v>
      </c>
      <c r="G225" s="1682"/>
      <c r="H225" s="1683"/>
      <c r="I225" s="1627">
        <f t="shared" si="8"/>
        <v>0</v>
      </c>
      <c r="J225" s="1046"/>
      <c r="K225" s="1061"/>
      <c r="L225" s="1024"/>
      <c r="M225" s="1002"/>
      <c r="N225"/>
      <c r="O225"/>
      <c r="P225" s="845"/>
      <c r="Q225" s="845"/>
      <c r="R225" s="845"/>
      <c r="S225" s="845"/>
      <c r="T225" s="845"/>
      <c r="U225" s="1007"/>
      <c r="V225" s="1007"/>
      <c r="W225"/>
      <c r="X225" s="972"/>
      <c r="Y225" s="972"/>
      <c r="Z225" s="972"/>
      <c r="AA225"/>
      <c r="AB225" s="972"/>
    </row>
    <row r="226" spans="2:28" ht="15.75">
      <c r="B226" s="845"/>
      <c r="C226" s="1681"/>
      <c r="D226" s="1623" t="s">
        <v>915</v>
      </c>
      <c r="E226" s="1631"/>
      <c r="F226" s="1653">
        <v>0</v>
      </c>
      <c r="G226" s="1682"/>
      <c r="H226" s="1683"/>
      <c r="I226" s="1627">
        <f t="shared" si="8"/>
        <v>0</v>
      </c>
      <c r="J226" s="1046"/>
      <c r="K226" s="1061"/>
      <c r="L226" s="1024"/>
      <c r="M226" s="1002"/>
      <c r="N226"/>
      <c r="O226"/>
      <c r="P226" s="845"/>
      <c r="Q226" s="845"/>
      <c r="R226" s="845"/>
      <c r="S226" s="845"/>
      <c r="T226" s="845"/>
      <c r="U226" s="1007"/>
      <c r="V226" s="1007"/>
      <c r="W226"/>
      <c r="X226" s="972"/>
      <c r="Y226" s="972"/>
      <c r="Z226" s="972"/>
      <c r="AA226"/>
      <c r="AB226" s="972"/>
    </row>
    <row r="227" spans="2:28" ht="15.75">
      <c r="B227" s="845"/>
      <c r="C227" s="1681"/>
      <c r="D227" s="1623" t="s">
        <v>916</v>
      </c>
      <c r="E227" s="1631"/>
      <c r="F227" s="1653">
        <v>50000</v>
      </c>
      <c r="G227" s="1682"/>
      <c r="H227" s="1683"/>
      <c r="I227" s="1627">
        <f t="shared" si="8"/>
        <v>0</v>
      </c>
      <c r="J227" s="1046"/>
      <c r="K227" s="1061"/>
      <c r="L227" s="1024"/>
      <c r="M227" s="1002"/>
      <c r="N227"/>
      <c r="O227"/>
      <c r="P227" s="845"/>
      <c r="Q227" s="845"/>
      <c r="R227" s="845"/>
      <c r="S227" s="845"/>
      <c r="T227" s="845"/>
      <c r="U227" s="1007"/>
      <c r="V227" s="1007"/>
      <c r="W227"/>
      <c r="X227" s="972"/>
      <c r="Y227" s="972"/>
      <c r="Z227" s="972"/>
      <c r="AA227"/>
      <c r="AB227" s="972"/>
    </row>
    <row r="228" spans="2:28" ht="15.75">
      <c r="B228" s="845"/>
      <c r="C228" s="1681"/>
      <c r="D228" s="1623" t="s">
        <v>917</v>
      </c>
      <c r="E228" s="1631"/>
      <c r="F228" s="1653">
        <v>0</v>
      </c>
      <c r="G228" s="1682"/>
      <c r="H228" s="1683"/>
      <c r="I228" s="1627">
        <f t="shared" si="8"/>
        <v>0</v>
      </c>
      <c r="J228" s="1046"/>
      <c r="K228" s="1054"/>
      <c r="L228" s="1001"/>
      <c r="M228" s="1002"/>
      <c r="N228"/>
      <c r="O228"/>
      <c r="P228" s="845"/>
      <c r="Q228" s="845"/>
      <c r="R228" s="845"/>
      <c r="S228" s="845"/>
      <c r="T228" s="845"/>
      <c r="U228" s="1007"/>
      <c r="V228" s="1007"/>
      <c r="W228"/>
      <c r="X228" s="972"/>
      <c r="Y228" s="972"/>
      <c r="Z228" s="972"/>
      <c r="AA228"/>
      <c r="AB228" s="972"/>
    </row>
    <row r="229" spans="2:28" ht="15.75">
      <c r="B229" s="845"/>
      <c r="C229" s="1681"/>
      <c r="D229" s="1623" t="s">
        <v>918</v>
      </c>
      <c r="E229" s="1631"/>
      <c r="F229" s="1653">
        <v>0</v>
      </c>
      <c r="G229" s="1682"/>
      <c r="H229" s="1683"/>
      <c r="I229" s="1627">
        <f t="shared" si="8"/>
        <v>0</v>
      </c>
      <c r="J229" s="1046"/>
      <c r="K229" s="1054" t="s">
        <v>919</v>
      </c>
      <c r="L229" s="1001"/>
      <c r="M229" s="1002"/>
      <c r="N229"/>
      <c r="O229"/>
      <c r="P229" s="845"/>
      <c r="Q229" s="845"/>
      <c r="R229" s="845"/>
      <c r="S229" s="845"/>
      <c r="T229" s="845"/>
      <c r="U229" s="1007"/>
      <c r="V229" s="1007"/>
      <c r="W229"/>
      <c r="X229" s="972"/>
      <c r="Y229" s="972"/>
      <c r="Z229" s="972"/>
      <c r="AA229"/>
      <c r="AB229" s="972"/>
    </row>
    <row r="230" spans="2:28" ht="15.75">
      <c r="B230" s="845"/>
      <c r="C230" s="1681"/>
      <c r="D230" s="1623" t="s">
        <v>920</v>
      </c>
      <c r="E230" s="1631"/>
      <c r="F230" s="1653">
        <v>0</v>
      </c>
      <c r="G230" s="1682"/>
      <c r="H230" s="1683"/>
      <c r="I230" s="1627">
        <f t="shared" si="8"/>
        <v>0</v>
      </c>
      <c r="J230" s="1046"/>
      <c r="K230" s="1054" t="s">
        <v>921</v>
      </c>
      <c r="L230" s="1001"/>
      <c r="M230" s="1002"/>
      <c r="N230"/>
      <c r="O230"/>
      <c r="P230" s="845"/>
      <c r="Q230" s="845"/>
      <c r="R230" s="845"/>
      <c r="S230" s="845"/>
      <c r="T230" s="845"/>
      <c r="U230" s="1007"/>
      <c r="V230" s="1007"/>
      <c r="W230"/>
      <c r="X230" s="972"/>
      <c r="Y230" s="972"/>
      <c r="Z230" s="972"/>
      <c r="AA230"/>
      <c r="AB230" s="972"/>
    </row>
    <row r="231" spans="2:28" ht="15.75">
      <c r="B231" s="845"/>
      <c r="C231" s="1623" t="s">
        <v>922</v>
      </c>
      <c r="D231" s="1623"/>
      <c r="E231" s="1631"/>
      <c r="F231" s="1653"/>
      <c r="G231" s="1682">
        <v>0</v>
      </c>
      <c r="H231" s="1683"/>
      <c r="I231" s="1627">
        <f t="shared" si="8"/>
        <v>0</v>
      </c>
      <c r="J231" s="1046"/>
      <c r="K231" s="1054" t="s">
        <v>923</v>
      </c>
      <c r="L231" s="1001"/>
      <c r="M231" s="1002"/>
      <c r="N231"/>
      <c r="O231"/>
      <c r="P231" s="845"/>
      <c r="Q231" s="845"/>
      <c r="R231" s="845"/>
      <c r="S231" s="845"/>
      <c r="T231" s="845"/>
      <c r="U231" s="1007">
        <v>1</v>
      </c>
      <c r="V231" s="1007">
        <v>0</v>
      </c>
      <c r="W231"/>
      <c r="X231" s="972">
        <f>U231*G231</f>
        <v>0</v>
      </c>
      <c r="Y231" s="972"/>
      <c r="Z231" s="972">
        <f>V231*G231</f>
        <v>0</v>
      </c>
      <c r="AA231"/>
      <c r="AB231" s="972">
        <v>0</v>
      </c>
    </row>
    <row r="232" spans="2:28" ht="15.75">
      <c r="B232" s="845"/>
      <c r="C232" s="1623" t="s">
        <v>924</v>
      </c>
      <c r="D232" s="1623"/>
      <c r="E232" s="1631"/>
      <c r="F232" s="1653"/>
      <c r="G232" s="1682"/>
      <c r="H232" s="1683"/>
      <c r="I232" s="1627">
        <f t="shared" si="8"/>
        <v>0</v>
      </c>
      <c r="J232" s="1046"/>
      <c r="K232" s="1054"/>
      <c r="L232" s="1001"/>
      <c r="M232" s="1002"/>
      <c r="N232"/>
      <c r="O232"/>
      <c r="P232" s="845"/>
      <c r="Q232" s="845"/>
      <c r="R232" s="845"/>
      <c r="S232" s="845"/>
      <c r="T232" s="845"/>
      <c r="U232" s="1007"/>
      <c r="V232" s="1007"/>
      <c r="W232"/>
      <c r="X232" s="972"/>
      <c r="Y232" s="972"/>
      <c r="Z232" s="972"/>
      <c r="AA232"/>
      <c r="AB232" s="972"/>
    </row>
    <row r="233" spans="2:28" ht="15.75">
      <c r="B233" s="845"/>
      <c r="C233" s="1623" t="s">
        <v>925</v>
      </c>
      <c r="D233" s="1623"/>
      <c r="E233" s="1742">
        <v>0.05</v>
      </c>
      <c r="F233" s="1680"/>
      <c r="G233" s="1690">
        <f>SUM(G190:G231,G189,G181,G176,G170,G148,G114,G97,G80)*E233</f>
        <v>826572.44695276534</v>
      </c>
      <c r="H233" s="1691"/>
      <c r="I233" s="1627">
        <f t="shared" si="8"/>
        <v>5437.9766246892459</v>
      </c>
      <c r="J233" s="1046"/>
      <c r="K233" s="1149"/>
      <c r="L233" s="1150"/>
      <c r="M233" s="1002"/>
      <c r="N233"/>
      <c r="O233"/>
      <c r="P233" s="936"/>
      <c r="Q233" s="845"/>
      <c r="R233" s="845"/>
      <c r="S233" s="845"/>
      <c r="T233" s="845"/>
      <c r="U233" s="1007">
        <v>1</v>
      </c>
      <c r="V233" s="1007">
        <v>0</v>
      </c>
      <c r="W233"/>
      <c r="X233" s="972">
        <f>U233*G233</f>
        <v>826572.44695276534</v>
      </c>
      <c r="Y233" s="972"/>
      <c r="Z233" s="972">
        <f>V233*G233</f>
        <v>0</v>
      </c>
      <c r="AA233"/>
      <c r="AB233" s="972">
        <v>13352.14239674292</v>
      </c>
    </row>
    <row r="234" spans="2:28">
      <c r="B234" s="858"/>
      <c r="C234" s="1678" t="s">
        <v>926</v>
      </c>
      <c r="D234" s="1645"/>
      <c r="E234" s="1743"/>
      <c r="F234" s="1696"/>
      <c r="G234" s="1744">
        <f>SUM(G191:G233)</f>
        <v>1265322.4469527653</v>
      </c>
      <c r="H234" s="1745"/>
      <c r="I234" s="1627">
        <f t="shared" si="8"/>
        <v>8324.4897825839817</v>
      </c>
      <c r="J234" s="1151"/>
      <c r="K234" s="1049"/>
      <c r="L234" s="1015"/>
      <c r="M234" s="1050"/>
      <c r="N234" s="1021"/>
      <c r="O234" s="1021"/>
      <c r="P234" s="858"/>
      <c r="Q234" s="858"/>
      <c r="R234" s="858"/>
      <c r="S234" s="858"/>
      <c r="T234" s="858"/>
      <c r="U234" s="1020"/>
      <c r="V234" s="1020"/>
      <c r="W234" s="1021"/>
      <c r="X234" s="1023">
        <f>SUM(X191:X233)</f>
        <v>1265322.4469527653</v>
      </c>
      <c r="Y234" s="1023"/>
      <c r="Z234" s="1023">
        <f>SUM(Z191:Z233)</f>
        <v>0</v>
      </c>
      <c r="AA234" s="1021"/>
      <c r="AB234" s="1023">
        <v>19827.142396742922</v>
      </c>
    </row>
    <row r="235" spans="2:28" ht="15.75">
      <c r="B235" s="845"/>
      <c r="C235" s="1645" t="s">
        <v>150</v>
      </c>
      <c r="D235" s="1623"/>
      <c r="E235" s="1628"/>
      <c r="F235" s="1653"/>
      <c r="G235" s="1682"/>
      <c r="H235" s="1683"/>
      <c r="I235" s="1627">
        <f t="shared" si="8"/>
        <v>0</v>
      </c>
      <c r="J235" s="1046"/>
      <c r="K235" s="1054"/>
      <c r="L235" s="1001"/>
      <c r="M235" s="1002"/>
      <c r="N235"/>
      <c r="O235"/>
      <c r="P235" s="845"/>
      <c r="Q235" s="845"/>
      <c r="R235" s="845"/>
      <c r="S235" s="845"/>
      <c r="T235" s="845"/>
      <c r="U235" s="1007"/>
      <c r="V235" s="1007"/>
      <c r="W235"/>
      <c r="X235" s="972"/>
      <c r="Y235" s="972"/>
      <c r="Z235" s="972"/>
      <c r="AA235"/>
      <c r="AB235" s="972"/>
    </row>
    <row r="236" spans="2:28" ht="15.75">
      <c r="B236" s="845"/>
      <c r="C236" s="1623" t="s">
        <v>151</v>
      </c>
      <c r="D236" s="1623"/>
      <c r="E236" s="1646"/>
      <c r="F236" s="1653"/>
      <c r="G236" s="1690">
        <v>2500000</v>
      </c>
      <c r="H236" s="1691"/>
      <c r="I236" s="1627">
        <f t="shared" si="8"/>
        <v>16447.36842105263</v>
      </c>
      <c r="J236" s="1134"/>
      <c r="K236" s="1144"/>
      <c r="L236" s="1145"/>
      <c r="M236" s="1053"/>
      <c r="N236"/>
      <c r="O236"/>
      <c r="P236" s="845"/>
      <c r="Q236" s="845"/>
      <c r="R236" s="845"/>
      <c r="S236" s="845"/>
      <c r="T236" s="845"/>
      <c r="U236" s="1060">
        <v>1</v>
      </c>
      <c r="V236" s="1007">
        <f>1-U236</f>
        <v>0</v>
      </c>
      <c r="W236"/>
      <c r="X236" s="972">
        <f>U236*G236</f>
        <v>2500000</v>
      </c>
      <c r="Y236" s="972"/>
      <c r="Z236" s="972">
        <f>V236*G236</f>
        <v>0</v>
      </c>
      <c r="AA236"/>
      <c r="AB236" s="972">
        <v>50000</v>
      </c>
    </row>
    <row r="237" spans="2:28" ht="22.5">
      <c r="B237" s="845"/>
      <c r="C237" s="1623" t="s">
        <v>145</v>
      </c>
      <c r="D237" s="1623"/>
      <c r="E237" s="1628"/>
      <c r="F237" s="1653"/>
      <c r="G237" s="1682">
        <v>0</v>
      </c>
      <c r="H237" s="1683"/>
      <c r="I237" s="1627">
        <f t="shared" si="8"/>
        <v>0</v>
      </c>
      <c r="J237" s="1046"/>
      <c r="K237" s="1054" t="s">
        <v>927</v>
      </c>
      <c r="L237" s="1001"/>
      <c r="M237" s="1002"/>
      <c r="N237"/>
      <c r="O237"/>
      <c r="P237" s="845"/>
      <c r="Q237" s="845"/>
      <c r="R237" s="845"/>
      <c r="S237" s="845"/>
      <c r="T237" s="845"/>
      <c r="U237" s="1007">
        <v>1</v>
      </c>
      <c r="V237" s="1007">
        <v>0</v>
      </c>
      <c r="W237"/>
      <c r="X237" s="972">
        <f>U237*G237</f>
        <v>0</v>
      </c>
      <c r="Y237" s="972"/>
      <c r="Z237" s="972">
        <f>V237*G237</f>
        <v>0</v>
      </c>
      <c r="AA237"/>
      <c r="AB237" s="972">
        <v>0</v>
      </c>
    </row>
    <row r="238" spans="2:28" ht="15.75">
      <c r="B238" s="845"/>
      <c r="C238" s="1623" t="s">
        <v>143</v>
      </c>
      <c r="D238" s="1623"/>
      <c r="E238" s="1628"/>
      <c r="F238" s="1653"/>
      <c r="G238" s="1682">
        <f>SUM(F239:F241)</f>
        <v>20750</v>
      </c>
      <c r="H238" s="1683"/>
      <c r="I238" s="1627">
        <f t="shared" si="8"/>
        <v>136.51315789473685</v>
      </c>
      <c r="J238" s="1046"/>
      <c r="K238" s="1054"/>
      <c r="L238" s="1001"/>
      <c r="M238" s="1002"/>
      <c r="N238"/>
      <c r="O238"/>
      <c r="P238" s="845"/>
      <c r="Q238" s="845"/>
      <c r="R238" s="845"/>
      <c r="S238" s="845"/>
      <c r="T238" s="845"/>
      <c r="U238" s="1007">
        <v>1</v>
      </c>
      <c r="V238" s="1007">
        <v>0</v>
      </c>
      <c r="W238"/>
      <c r="X238" s="972">
        <f>U238*G238</f>
        <v>20750</v>
      </c>
      <c r="Y238" s="972"/>
      <c r="Z238" s="972">
        <f>V238*G238</f>
        <v>0</v>
      </c>
      <c r="AA238"/>
      <c r="AB238" s="972">
        <v>415</v>
      </c>
    </row>
    <row r="239" spans="2:28" ht="15.75">
      <c r="B239" s="845"/>
      <c r="C239" s="1623"/>
      <c r="D239" s="1623" t="s">
        <v>928</v>
      </c>
      <c r="E239" s="1633">
        <v>1300</v>
      </c>
      <c r="F239" s="1653">
        <v>3250</v>
      </c>
      <c r="G239" s="1682"/>
      <c r="H239" s="1683"/>
      <c r="I239" s="1627">
        <f t="shared" si="8"/>
        <v>0</v>
      </c>
      <c r="J239" s="1046"/>
      <c r="K239" s="1068"/>
      <c r="L239" s="1025"/>
      <c r="M239" s="1002"/>
      <c r="N239"/>
      <c r="O239"/>
      <c r="P239" s="845"/>
      <c r="Q239" s="845"/>
      <c r="R239" s="845"/>
      <c r="S239" s="845"/>
      <c r="T239" s="845"/>
      <c r="U239" s="1007"/>
      <c r="V239" s="1007"/>
      <c r="W239"/>
      <c r="X239" s="972"/>
      <c r="Y239" s="972"/>
      <c r="Z239" s="972"/>
      <c r="AA239"/>
      <c r="AB239" s="972"/>
    </row>
    <row r="240" spans="2:28" ht="15.75">
      <c r="B240" s="845"/>
      <c r="C240" s="1623"/>
      <c r="D240" s="1623" t="s">
        <v>929</v>
      </c>
      <c r="E240" s="1628"/>
      <c r="F240" s="1723">
        <v>15000</v>
      </c>
      <c r="G240" s="1682"/>
      <c r="H240" s="1683"/>
      <c r="I240" s="1627">
        <f t="shared" si="8"/>
        <v>0</v>
      </c>
      <c r="J240" s="1046"/>
      <c r="K240" s="1068"/>
      <c r="L240" s="1025"/>
      <c r="M240" s="1002"/>
      <c r="N240"/>
      <c r="O240"/>
      <c r="P240" s="845"/>
      <c r="Q240" s="845"/>
      <c r="R240" s="845"/>
      <c r="S240" s="845"/>
      <c r="T240" s="845"/>
      <c r="U240" s="1007"/>
      <c r="V240" s="1007"/>
      <c r="W240"/>
      <c r="X240" s="972"/>
      <c r="Y240" s="972"/>
      <c r="Z240" s="972"/>
      <c r="AA240"/>
      <c r="AB240" s="972"/>
    </row>
    <row r="241" spans="2:28" ht="15.75">
      <c r="B241" s="845"/>
      <c r="C241" s="1623"/>
      <c r="D241" s="1623" t="s">
        <v>930</v>
      </c>
      <c r="E241" s="1628"/>
      <c r="F241" s="1653">
        <v>2500</v>
      </c>
      <c r="G241" s="1682"/>
      <c r="H241" s="1683"/>
      <c r="I241" s="1627">
        <f t="shared" si="8"/>
        <v>0</v>
      </c>
      <c r="J241" s="1046"/>
      <c r="K241" s="1061"/>
      <c r="L241" s="1024"/>
      <c r="M241" s="1002"/>
      <c r="N241"/>
      <c r="O241"/>
      <c r="P241" s="845"/>
      <c r="Q241" s="845"/>
      <c r="R241" s="845"/>
      <c r="S241" s="845"/>
      <c r="T241" s="845"/>
      <c r="U241" s="1007"/>
      <c r="V241" s="1007"/>
      <c r="W241"/>
      <c r="X241" s="972"/>
      <c r="Y241" s="972"/>
      <c r="Z241" s="972"/>
      <c r="AA241"/>
      <c r="AB241" s="972"/>
    </row>
    <row r="242" spans="2:28">
      <c r="B242" s="858"/>
      <c r="C242" s="1678" t="s">
        <v>931</v>
      </c>
      <c r="D242" s="1645"/>
      <c r="E242" s="1746"/>
      <c r="F242" s="1696"/>
      <c r="G242" s="1697">
        <f>SUM(G236:G241)</f>
        <v>2520750</v>
      </c>
      <c r="H242" s="1698"/>
      <c r="I242" s="1627">
        <f>G242/$F$9</f>
        <v>16583.88157894737</v>
      </c>
      <c r="J242" s="1134"/>
      <c r="K242" s="1152"/>
      <c r="L242" s="1153"/>
      <c r="M242" s="1050"/>
      <c r="N242" s="1021"/>
      <c r="O242" s="1021"/>
      <c r="P242" s="858"/>
      <c r="Q242" s="858"/>
      <c r="R242" s="858"/>
      <c r="S242" s="858"/>
      <c r="T242" s="858"/>
      <c r="U242" s="1020"/>
      <c r="V242" s="1020"/>
      <c r="W242" s="1021"/>
      <c r="X242" s="1023">
        <f>SUM(X236:X241)</f>
        <v>2520750</v>
      </c>
      <c r="Y242" s="1023"/>
      <c r="Z242" s="1023">
        <f>SUM(Z236:Z241)</f>
        <v>0</v>
      </c>
      <c r="AA242" s="1021"/>
      <c r="AB242" s="1023">
        <v>50415</v>
      </c>
    </row>
    <row r="243" spans="2:28" ht="15.75">
      <c r="B243" s="845"/>
      <c r="C243" s="1645" t="s">
        <v>932</v>
      </c>
      <c r="D243" s="1623"/>
      <c r="E243" s="1747"/>
      <c r="F243" s="1680"/>
      <c r="G243" s="1690"/>
      <c r="H243" s="1691"/>
      <c r="I243" s="1627">
        <f>G243/$F$9</f>
        <v>0</v>
      </c>
      <c r="J243" s="1046"/>
      <c r="K243" s="1149"/>
      <c r="L243" s="1150"/>
      <c r="M243" s="1002"/>
      <c r="N243"/>
      <c r="O243"/>
      <c r="P243" s="845"/>
      <c r="Q243" s="845"/>
      <c r="R243" s="845"/>
      <c r="S243" s="845"/>
      <c r="T243" s="845"/>
      <c r="U243" s="1007"/>
      <c r="V243" s="1007"/>
      <c r="W243"/>
      <c r="X243" s="972"/>
      <c r="Y243" s="972"/>
      <c r="Z243" s="972"/>
      <c r="AA243"/>
      <c r="AB243" s="972"/>
    </row>
    <row r="244" spans="2:28" ht="15.75">
      <c r="B244" s="845"/>
      <c r="C244" s="1623" t="s">
        <v>933</v>
      </c>
      <c r="D244" s="1631"/>
      <c r="E244" s="1748"/>
      <c r="F244" s="1680"/>
      <c r="G244" s="1690">
        <v>0</v>
      </c>
      <c r="H244" s="1691"/>
      <c r="I244" s="1627">
        <f t="shared" si="8"/>
        <v>0</v>
      </c>
      <c r="J244" s="1046"/>
      <c r="K244" s="1149"/>
      <c r="L244" s="1150"/>
      <c r="M244" s="1002"/>
      <c r="N244"/>
      <c r="O244"/>
      <c r="P244" s="845"/>
      <c r="Q244" s="845"/>
      <c r="R244" s="845"/>
      <c r="S244" s="845"/>
      <c r="T244" s="845"/>
      <c r="U244" s="1060">
        <v>1</v>
      </c>
      <c r="V244" s="1007">
        <f>1-U244</f>
        <v>0</v>
      </c>
      <c r="W244"/>
      <c r="X244" s="972">
        <f>U244*G244</f>
        <v>0</v>
      </c>
      <c r="Y244" s="972"/>
      <c r="Z244" s="972">
        <f>V244*G244</f>
        <v>0</v>
      </c>
      <c r="AA244"/>
      <c r="AB244" s="972">
        <v>300</v>
      </c>
    </row>
    <row r="245" spans="2:28" ht="15.75">
      <c r="B245" s="845"/>
      <c r="C245" s="1623" t="s">
        <v>934</v>
      </c>
      <c r="D245" s="1631"/>
      <c r="E245" s="1747"/>
      <c r="F245" s="1680"/>
      <c r="G245" s="1690">
        <v>0</v>
      </c>
      <c r="H245" s="1691"/>
      <c r="I245" s="1627">
        <f t="shared" si="8"/>
        <v>0</v>
      </c>
      <c r="J245" s="1046"/>
      <c r="K245" s="1149"/>
      <c r="L245" s="1150"/>
      <c r="M245" s="1002"/>
      <c r="N245"/>
      <c r="O245"/>
      <c r="P245" s="845"/>
      <c r="Q245" s="845"/>
      <c r="R245" s="845"/>
      <c r="S245" s="845"/>
      <c r="T245" s="845"/>
      <c r="U245" s="1060">
        <v>1</v>
      </c>
      <c r="V245" s="1007">
        <f>1-U245</f>
        <v>0</v>
      </c>
      <c r="W245"/>
      <c r="X245" s="972">
        <f>U245*G245</f>
        <v>0</v>
      </c>
      <c r="Y245" s="972"/>
      <c r="Z245" s="972">
        <f>V245*G245</f>
        <v>0</v>
      </c>
      <c r="AA245"/>
      <c r="AB245" s="972">
        <v>1000</v>
      </c>
    </row>
    <row r="246" spans="2:28" ht="15.75">
      <c r="B246" s="845"/>
      <c r="C246" s="1623" t="s">
        <v>935</v>
      </c>
      <c r="D246" s="1631"/>
      <c r="E246" s="1747"/>
      <c r="F246" s="1680"/>
      <c r="G246" s="1690">
        <v>0</v>
      </c>
      <c r="H246" s="1691"/>
      <c r="I246" s="1627">
        <f t="shared" si="8"/>
        <v>0</v>
      </c>
      <c r="J246" s="1046"/>
      <c r="K246" s="1149" t="s">
        <v>936</v>
      </c>
      <c r="L246" s="1150"/>
      <c r="M246" s="1002"/>
      <c r="N246"/>
      <c r="O246"/>
      <c r="P246" s="845"/>
      <c r="Q246" s="845"/>
      <c r="R246" s="845"/>
      <c r="S246" s="845"/>
      <c r="T246" s="845"/>
      <c r="U246" s="1060">
        <v>1</v>
      </c>
      <c r="V246" s="1007">
        <f>1-U246</f>
        <v>0</v>
      </c>
      <c r="W246"/>
      <c r="X246" s="972">
        <f>U246*G246</f>
        <v>0</v>
      </c>
      <c r="Y246" s="972"/>
      <c r="Z246" s="972">
        <f>V246*G246</f>
        <v>0</v>
      </c>
      <c r="AA246"/>
      <c r="AB246" s="972">
        <v>0</v>
      </c>
    </row>
    <row r="247" spans="2:28" ht="15.75">
      <c r="B247" s="845"/>
      <c r="C247" s="1623" t="s">
        <v>937</v>
      </c>
      <c r="D247" s="1631"/>
      <c r="E247" s="1749">
        <v>800</v>
      </c>
      <c r="F247" s="1680"/>
      <c r="G247" s="1690">
        <v>666.66666666666663</v>
      </c>
      <c r="H247" s="1691"/>
      <c r="I247" s="1627">
        <f t="shared" si="8"/>
        <v>4.3859649122807012</v>
      </c>
      <c r="J247" s="1046"/>
      <c r="K247" s="1154"/>
      <c r="L247" s="1155"/>
      <c r="M247" s="1002"/>
      <c r="N247"/>
      <c r="O247"/>
      <c r="P247" s="845"/>
      <c r="Q247" s="845"/>
      <c r="R247" s="845"/>
      <c r="S247" s="845"/>
      <c r="T247" s="845"/>
      <c r="U247" s="1060">
        <v>1</v>
      </c>
      <c r="V247" s="1007">
        <f>1-U247</f>
        <v>0</v>
      </c>
      <c r="W247"/>
      <c r="X247" s="972">
        <f>U247*G247</f>
        <v>666.66666666666663</v>
      </c>
      <c r="Y247" s="972"/>
      <c r="Z247" s="972">
        <f>V247*G247</f>
        <v>0</v>
      </c>
      <c r="AA247"/>
      <c r="AB247" s="972">
        <v>13.333333333333332</v>
      </c>
    </row>
    <row r="248" spans="2:28" ht="15.75">
      <c r="B248" s="845"/>
      <c r="C248" s="1623" t="s">
        <v>938</v>
      </c>
      <c r="D248" s="1631"/>
      <c r="E248" s="1747"/>
      <c r="F248" s="1680"/>
      <c r="G248" s="1690">
        <v>2000</v>
      </c>
      <c r="H248" s="1691"/>
      <c r="I248" s="1627">
        <f t="shared" si="8"/>
        <v>13.157894736842104</v>
      </c>
      <c r="J248" s="1046"/>
      <c r="K248" s="1149"/>
      <c r="L248" s="1150"/>
      <c r="M248" s="1002"/>
      <c r="N248"/>
      <c r="O248"/>
      <c r="P248" s="845"/>
      <c r="Q248" s="845"/>
      <c r="R248" s="845"/>
      <c r="S248" s="845"/>
      <c r="T248" s="845"/>
      <c r="U248" s="1060">
        <v>1</v>
      </c>
      <c r="V248" s="1007">
        <f>1-U248</f>
        <v>0</v>
      </c>
      <c r="W248"/>
      <c r="X248" s="972">
        <f>U248*G248</f>
        <v>2000</v>
      </c>
      <c r="Y248" s="972"/>
      <c r="Z248" s="972">
        <f>V248*G248</f>
        <v>0</v>
      </c>
      <c r="AA248"/>
      <c r="AB248" s="972">
        <v>40</v>
      </c>
    </row>
    <row r="249" spans="2:28">
      <c r="B249" s="858"/>
      <c r="C249" s="1678" t="s">
        <v>939</v>
      </c>
      <c r="D249" s="1645"/>
      <c r="E249" s="1746"/>
      <c r="F249" s="1696"/>
      <c r="G249" s="1697">
        <f>SUM(G244:G248)</f>
        <v>2666.6666666666665</v>
      </c>
      <c r="H249" s="1698"/>
      <c r="I249" s="1627">
        <f t="shared" si="8"/>
        <v>17.543859649122805</v>
      </c>
      <c r="J249" s="1134"/>
      <c r="K249" s="1152"/>
      <c r="M249" s="1050"/>
      <c r="N249" s="1021"/>
      <c r="O249" s="1021"/>
      <c r="P249" s="858"/>
      <c r="Q249" s="858"/>
      <c r="R249" s="858"/>
      <c r="S249" s="858"/>
      <c r="T249" s="858"/>
      <c r="U249" s="1020"/>
      <c r="V249" s="1020"/>
      <c r="W249" s="1021"/>
      <c r="X249" s="1023">
        <f>SUM(X244:X248)</f>
        <v>2666.6666666666665</v>
      </c>
      <c r="Y249" s="1023"/>
      <c r="Z249" s="1023">
        <f>SUM(Z244:Z248)</f>
        <v>0</v>
      </c>
      <c r="AA249" s="1021"/>
      <c r="AB249" s="1023">
        <v>1353.3333333333335</v>
      </c>
    </row>
    <row r="250" spans="2:28">
      <c r="B250" s="1156"/>
      <c r="C250" s="1157" t="s">
        <v>940</v>
      </c>
      <c r="D250" s="1157"/>
      <c r="E250" s="1158"/>
      <c r="F250" s="1159"/>
      <c r="G250" s="1160">
        <f>F9*I250</f>
        <v>80560000</v>
      </c>
      <c r="H250" s="1161"/>
      <c r="I250" s="1599">
        <v>530000</v>
      </c>
      <c r="J250" s="1162"/>
      <c r="K250" s="1163"/>
      <c r="L250" s="1153"/>
      <c r="M250" s="1164"/>
      <c r="N250" s="1165"/>
      <c r="O250" s="1166"/>
      <c r="P250" s="1165"/>
      <c r="Q250" s="1165"/>
      <c r="R250" s="1165"/>
      <c r="S250" s="1165"/>
      <c r="T250" s="1166"/>
      <c r="U250" s="1165"/>
      <c r="V250" s="1165"/>
      <c r="W250" s="1166"/>
      <c r="X250" s="1167" t="e">
        <f>SUM(X249,X242,X234,X189,X181,X176,X170,X148,X114,X97,X80,X65,X59,X52,X47,X30:X43,#REF!,X28)</f>
        <v>#REF!</v>
      </c>
      <c r="Y250" s="1168"/>
      <c r="Z250" s="1167" t="e">
        <f>SUM(Z249,Z242,Z234,Z189,Z181,Z176,Z170,Z148,Z114,Z97,Z80,Z65,Z59,Z52,Z47,Z30:Z43,#REF!,Z28)</f>
        <v>#REF!</v>
      </c>
      <c r="AA250" s="1166"/>
      <c r="AB250" s="1167" t="e">
        <v>#REF!</v>
      </c>
    </row>
    <row r="253" spans="2:28">
      <c r="G253" s="1372" t="s">
        <v>1045</v>
      </c>
    </row>
    <row r="254" spans="2:28">
      <c r="G254" s="1373">
        <f>G250/'Construction Calculation'!C14</f>
        <v>543.06207194089416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193" t="s">
        <v>10</v>
      </c>
      <c r="C4" s="1194">
        <f>'Rental Income'!D15</f>
        <v>152</v>
      </c>
      <c r="D4" s="507" t="s">
        <v>261</v>
      </c>
      <c r="E4" s="507"/>
      <c r="F4" s="507"/>
      <c r="G4" s="508"/>
    </row>
    <row r="5" spans="1:15">
      <c r="B5" s="1195" t="s">
        <v>11</v>
      </c>
      <c r="C5" s="700">
        <f>'Construction Calculation'!C19</f>
        <v>148344</v>
      </c>
      <c r="D5" t="s">
        <v>427</v>
      </c>
      <c r="G5" s="510"/>
    </row>
    <row r="6" spans="1:15">
      <c r="B6" s="1196" t="s">
        <v>12</v>
      </c>
      <c r="C6" s="700">
        <f>'Construction Calculation'!C14</f>
        <v>148344</v>
      </c>
      <c r="D6" t="s">
        <v>427</v>
      </c>
      <c r="E6" s="53"/>
      <c r="G6" s="510"/>
    </row>
    <row r="7" spans="1:15">
      <c r="B7" s="1196" t="s">
        <v>13</v>
      </c>
      <c r="C7" s="700">
        <f>'Construction Calculation'!C18</f>
        <v>0</v>
      </c>
      <c r="D7" t="s">
        <v>427</v>
      </c>
      <c r="G7" s="1197"/>
    </row>
    <row r="8" spans="1:15">
      <c r="B8" s="1196" t="s">
        <v>428</v>
      </c>
      <c r="C8" s="700">
        <f>'Construction Calculation'!C13</f>
        <v>24724</v>
      </c>
      <c r="D8" t="s">
        <v>427</v>
      </c>
      <c r="G8" s="510"/>
    </row>
    <row r="9" spans="1:15">
      <c r="B9" s="1196" t="s">
        <v>429</v>
      </c>
      <c r="C9" s="700">
        <f>'Construction Calculation'!C47</f>
        <v>76</v>
      </c>
      <c r="D9" t="s">
        <v>430</v>
      </c>
      <c r="G9" s="510"/>
    </row>
    <row r="10" spans="1:15" ht="16.5" thickBot="1">
      <c r="B10" s="511"/>
      <c r="C10" s="1198">
        <v>22630</v>
      </c>
      <c r="D10" s="512" t="s">
        <v>427</v>
      </c>
      <c r="E10" s="512"/>
      <c r="F10" s="512"/>
      <c r="G10" s="1199"/>
    </row>
    <row r="11" spans="1:15" ht="16.5" thickBot="1"/>
    <row r="12" spans="1:15">
      <c r="A12" s="1202" t="s">
        <v>431</v>
      </c>
      <c r="B12" s="1203"/>
      <c r="C12" s="1203"/>
      <c r="D12" s="1204"/>
      <c r="E12" s="58"/>
    </row>
    <row r="13" spans="1:15">
      <c r="A13" s="1205"/>
      <c r="B13" t="s">
        <v>432</v>
      </c>
      <c r="D13" s="1274"/>
      <c r="F13" s="48"/>
      <c r="H13" s="147"/>
      <c r="I13" s="147"/>
      <c r="J13" s="147"/>
      <c r="L13" s="54"/>
      <c r="N13" s="48"/>
    </row>
    <row r="14" spans="1:15">
      <c r="A14" s="1205"/>
      <c r="B14" t="s">
        <v>433</v>
      </c>
      <c r="C14" s="318">
        <v>5.2999999999999999E-2</v>
      </c>
      <c r="D14" s="1274"/>
      <c r="F14" s="51"/>
      <c r="H14" s="147"/>
      <c r="I14" s="147"/>
      <c r="L14" s="54"/>
      <c r="N14" s="48"/>
      <c r="O14" s="53">
        <f>N14/2</f>
        <v>0</v>
      </c>
    </row>
    <row r="15" spans="1:15">
      <c r="A15" s="1205"/>
      <c r="B15" t="s">
        <v>434</v>
      </c>
      <c r="C15" s="318">
        <v>1.7500000000000002E-2</v>
      </c>
      <c r="D15" s="1274"/>
      <c r="F15" s="53"/>
      <c r="N15" s="147"/>
    </row>
    <row r="16" spans="1:15" ht="16.5" thickBot="1">
      <c r="A16" s="1205"/>
      <c r="B16" t="s">
        <v>435</v>
      </c>
      <c r="C16" s="319">
        <v>0</v>
      </c>
      <c r="D16" s="1274"/>
      <c r="F16" s="56"/>
    </row>
    <row r="17" spans="1:13" ht="16.5" thickTop="1">
      <c r="A17" s="1205"/>
      <c r="C17" s="1200">
        <f>SUM(C14:C16)</f>
        <v>7.0500000000000007E-2</v>
      </c>
      <c r="D17" s="1206"/>
      <c r="F17" s="48"/>
    </row>
    <row r="18" spans="1:13">
      <c r="A18" s="1205"/>
      <c r="B18" t="s">
        <v>443</v>
      </c>
      <c r="C18" s="55">
        <v>0.65</v>
      </c>
      <c r="D18" s="1206"/>
      <c r="M18" s="48"/>
    </row>
    <row r="19" spans="1:13">
      <c r="A19" s="1205"/>
      <c r="B19" t="s">
        <v>1100</v>
      </c>
      <c r="C19">
        <v>24</v>
      </c>
      <c r="D19" s="1206"/>
      <c r="K19" s="147"/>
      <c r="L19" s="147"/>
      <c r="M19" s="53"/>
    </row>
    <row r="20" spans="1:13">
      <c r="A20" s="1205"/>
      <c r="B20" t="s">
        <v>437</v>
      </c>
      <c r="C20" s="1201">
        <v>52364000</v>
      </c>
      <c r="D20" s="1221">
        <f>MIN(D22,GapCalc!D24)</f>
        <v>52364000</v>
      </c>
    </row>
    <row r="21" spans="1:13" ht="16.5" thickBot="1">
      <c r="A21" s="1205"/>
      <c r="B21" t="s">
        <v>109</v>
      </c>
      <c r="C21" s="482">
        <v>0.01</v>
      </c>
      <c r="D21" s="1206"/>
    </row>
    <row r="22" spans="1:13" ht="16.5" thickBot="1">
      <c r="A22" s="1205"/>
      <c r="C22" s="516" t="s">
        <v>1038</v>
      </c>
      <c r="D22" s="1237">
        <f>C18*'Development Budget'!G250</f>
        <v>52364000</v>
      </c>
      <c r="G22" s="147"/>
    </row>
    <row r="23" spans="1:13">
      <c r="A23" s="1275" t="s">
        <v>438</v>
      </c>
      <c r="B23" s="1216"/>
      <c r="C23" s="1216" t="s">
        <v>67</v>
      </c>
      <c r="D23" s="1216"/>
      <c r="E23" s="1236" t="s">
        <v>964</v>
      </c>
      <c r="F23" s="1228" t="s">
        <v>432</v>
      </c>
      <c r="G23" s="1379">
        <v>0.09</v>
      </c>
      <c r="H23" s="1229"/>
    </row>
    <row r="24" spans="1:13">
      <c r="A24" s="1217"/>
      <c r="B24" t="s">
        <v>432</v>
      </c>
      <c r="C24" s="1207">
        <v>6.0499999999999998E-2</v>
      </c>
      <c r="D24" s="1270">
        <f>PMT(C24/12,C25*12,C30)*12</f>
        <v>-3902991.4453824135</v>
      </c>
      <c r="E24" s="1230"/>
      <c r="G24" s="1223"/>
      <c r="H24" s="1231"/>
      <c r="K24" s="1270"/>
    </row>
    <row r="25" spans="1:13">
      <c r="A25" s="1217"/>
      <c r="B25" t="s">
        <v>1101</v>
      </c>
      <c r="C25">
        <v>34</v>
      </c>
      <c r="E25" s="1230"/>
      <c r="G25" s="1223"/>
      <c r="H25" s="1231"/>
    </row>
    <row r="26" spans="1:13" ht="16.5" thickBot="1">
      <c r="A26" s="1217"/>
      <c r="B26" t="s">
        <v>439</v>
      </c>
      <c r="C26">
        <v>1.2</v>
      </c>
      <c r="E26" s="1230"/>
      <c r="G26" s="1224"/>
      <c r="H26" s="1231"/>
    </row>
    <row r="27" spans="1:13" ht="16.5" thickTop="1">
      <c r="A27" s="1217"/>
      <c r="B27" t="s">
        <v>440</v>
      </c>
      <c r="C27" s="51">
        <f>'Cash Flow'!E21/Data!C26</f>
        <v>3677727.4453824316</v>
      </c>
      <c r="D27" s="40" t="s">
        <v>443</v>
      </c>
      <c r="E27" s="1230"/>
      <c r="G27" s="1225"/>
      <c r="H27" s="1231"/>
    </row>
    <row r="28" spans="1:13">
      <c r="A28" s="1217"/>
      <c r="B28" t="s">
        <v>441</v>
      </c>
      <c r="C28" s="482">
        <v>0.6</v>
      </c>
      <c r="D28" s="1362">
        <f>'Cash Flow'!E15/0.05*C28</f>
        <v>71231760</v>
      </c>
      <c r="E28" s="1230"/>
      <c r="F28" t="s">
        <v>1046</v>
      </c>
      <c r="G28" s="1226"/>
      <c r="H28" s="55">
        <v>1</v>
      </c>
    </row>
    <row r="29" spans="1:13">
      <c r="A29" s="1217"/>
      <c r="B29" t="s">
        <v>442</v>
      </c>
      <c r="C29">
        <v>34</v>
      </c>
      <c r="E29" s="1230"/>
      <c r="F29" t="s">
        <v>436</v>
      </c>
      <c r="G29" s="1226">
        <v>15</v>
      </c>
      <c r="H29" s="1231"/>
    </row>
    <row r="30" spans="1:13">
      <c r="A30" s="1217"/>
      <c r="B30" t="s">
        <v>437</v>
      </c>
      <c r="C30" s="1277">
        <v>56222477.195673719</v>
      </c>
      <c r="D30" s="1222">
        <f>-PV($C$24/12,$C$29*12,C27/12)</f>
        <v>52977555.888456948</v>
      </c>
      <c r="E30" s="1230"/>
      <c r="F30" t="s">
        <v>437</v>
      </c>
      <c r="G30" s="1227"/>
      <c r="H30" s="1222">
        <f>PV(G23,G29,-'Cash Flow'!E41*H28,)</f>
        <v>5929003.0134303169</v>
      </c>
    </row>
    <row r="31" spans="1:13" ht="16.5" thickBot="1">
      <c r="A31" s="1218"/>
      <c r="B31" s="1219" t="s">
        <v>109</v>
      </c>
      <c r="C31" s="1220">
        <v>0.01</v>
      </c>
      <c r="D31" s="1219"/>
      <c r="E31" s="1232"/>
      <c r="F31" s="1233" t="s">
        <v>109</v>
      </c>
      <c r="G31" s="1234">
        <v>0.01</v>
      </c>
      <c r="H31" s="1235"/>
    </row>
    <row r="32" spans="1:13">
      <c r="A32" s="1215" t="s">
        <v>1035</v>
      </c>
      <c r="E32" s="1209"/>
      <c r="G32" s="53"/>
    </row>
    <row r="33" spans="1:10">
      <c r="A33" s="1208"/>
      <c r="B33" t="s">
        <v>432</v>
      </c>
      <c r="C33" s="1207">
        <v>4.4999999999999998E-2</v>
      </c>
      <c r="E33" s="1209"/>
      <c r="I33" s="54"/>
    </row>
    <row r="34" spans="1:10">
      <c r="A34" s="1208"/>
      <c r="B34" t="s">
        <v>1101</v>
      </c>
      <c r="C34">
        <v>30</v>
      </c>
      <c r="E34" s="1210">
        <f>Data!M19</f>
        <v>0</v>
      </c>
      <c r="I34" s="318"/>
    </row>
    <row r="35" spans="1:10">
      <c r="A35" s="1208"/>
      <c r="B35" t="s">
        <v>439</v>
      </c>
      <c r="C35">
        <v>1.2</v>
      </c>
      <c r="E35" s="1209"/>
      <c r="I35" s="54"/>
    </row>
    <row r="36" spans="1:10">
      <c r="A36" s="1208"/>
      <c r="B36" t="s">
        <v>440</v>
      </c>
      <c r="C36" s="51">
        <f>'Cash Flow'!E21/Data!C35</f>
        <v>3677727.4453824316</v>
      </c>
      <c r="E36" s="1211">
        <f>-PV($C$33,$C$34,E34)</f>
        <v>0</v>
      </c>
      <c r="I36" s="1200"/>
    </row>
    <row r="37" spans="1:10" ht="16.5" thickBot="1">
      <c r="A37" s="1208"/>
      <c r="B37" t="s">
        <v>441</v>
      </c>
      <c r="C37" s="482">
        <v>0.8</v>
      </c>
      <c r="E37" s="1209"/>
    </row>
    <row r="38" spans="1:10" ht="16.5" thickBot="1">
      <c r="A38" s="1208"/>
      <c r="B38" t="s">
        <v>437</v>
      </c>
      <c r="C38" s="1277">
        <v>60486712.59494748</v>
      </c>
      <c r="D38" s="516" t="s">
        <v>1038</v>
      </c>
      <c r="E38" s="1237">
        <f>C37*GapCalc!D24</f>
        <v>64448000</v>
      </c>
    </row>
    <row r="39" spans="1:10">
      <c r="A39" s="1208"/>
      <c r="B39" t="s">
        <v>109</v>
      </c>
      <c r="C39" s="54">
        <f>C21</f>
        <v>0.01</v>
      </c>
      <c r="D39" t="s">
        <v>1052</v>
      </c>
      <c r="E39" s="1222">
        <f>PV($C$33/12,$C$34*12,-C36/12)</f>
        <v>60486712.59494748</v>
      </c>
      <c r="I39" s="48"/>
    </row>
    <row r="40" spans="1:10" ht="16.5" thickBot="1">
      <c r="A40" s="1212"/>
      <c r="B40" s="1213"/>
      <c r="C40" s="1213"/>
      <c r="D40" s="1213"/>
      <c r="E40" s="1214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51</v>
      </c>
      <c r="D43" t="s">
        <v>77</v>
      </c>
      <c r="E43" t="s">
        <v>78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270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6242820</v>
      </c>
      <c r="F12" s="89">
        <f>E12*(1+$D$12)</f>
        <v>6398890.4999999991</v>
      </c>
      <c r="G12" s="89">
        <f t="shared" ref="G12:AH12" si="0">F12*(1+$D$12)</f>
        <v>6558862.7624999983</v>
      </c>
      <c r="H12" s="89">
        <f t="shared" si="0"/>
        <v>6722834.3315624977</v>
      </c>
      <c r="I12" s="89">
        <f t="shared" si="0"/>
        <v>6890905.1898515597</v>
      </c>
      <c r="J12" s="89">
        <f t="shared" si="0"/>
        <v>7063177.8195978478</v>
      </c>
      <c r="K12" s="89">
        <f t="shared" si="0"/>
        <v>7239757.2650877936</v>
      </c>
      <c r="L12" s="89">
        <f t="shared" si="0"/>
        <v>7420751.196714988</v>
      </c>
      <c r="M12" s="89">
        <f t="shared" si="0"/>
        <v>7606269.9766328624</v>
      </c>
      <c r="N12" s="89">
        <f t="shared" si="0"/>
        <v>7796426.7260486828</v>
      </c>
      <c r="O12" s="89">
        <f t="shared" si="0"/>
        <v>7991337.3941998994</v>
      </c>
      <c r="P12" s="89">
        <f t="shared" si="0"/>
        <v>8191120.8290548958</v>
      </c>
      <c r="Q12" s="89">
        <f t="shared" si="0"/>
        <v>8395898.8497812673</v>
      </c>
      <c r="R12" s="89">
        <f t="shared" si="0"/>
        <v>8605796.3210257981</v>
      </c>
      <c r="S12" s="90">
        <f t="shared" si="0"/>
        <v>8820941.2290514428</v>
      </c>
      <c r="T12" s="89">
        <f t="shared" si="0"/>
        <v>9041464.7597777285</v>
      </c>
      <c r="U12" s="89">
        <f t="shared" si="0"/>
        <v>9267501.3787721712</v>
      </c>
      <c r="V12" s="89">
        <f t="shared" si="0"/>
        <v>9499188.913241474</v>
      </c>
      <c r="W12" s="89">
        <f t="shared" si="0"/>
        <v>9736668.6360725109</v>
      </c>
      <c r="X12" s="89">
        <f t="shared" si="0"/>
        <v>9980085.3519743234</v>
      </c>
      <c r="Y12" s="89">
        <f t="shared" si="0"/>
        <v>10229587.485773681</v>
      </c>
      <c r="Z12" s="89">
        <f t="shared" si="0"/>
        <v>10485327.172918022</v>
      </c>
      <c r="AA12" s="89">
        <f t="shared" si="0"/>
        <v>10747460.352240972</v>
      </c>
      <c r="AB12" s="89">
        <f t="shared" si="0"/>
        <v>11016146.861046996</v>
      </c>
      <c r="AC12" s="89">
        <f t="shared" si="0"/>
        <v>11291550.532573169</v>
      </c>
      <c r="AD12" s="89">
        <f t="shared" si="0"/>
        <v>11573839.295887498</v>
      </c>
      <c r="AE12" s="89">
        <f t="shared" si="0"/>
        <v>11863185.278284684</v>
      </c>
      <c r="AF12" s="89">
        <f t="shared" si="0"/>
        <v>12159764.910241799</v>
      </c>
      <c r="AG12" s="89">
        <f t="shared" si="0"/>
        <v>12463759.032997843</v>
      </c>
      <c r="AH12" s="89">
        <f t="shared" si="0"/>
        <v>12775353.008822788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-312420</v>
      </c>
      <c r="F14" s="100">
        <f t="shared" ref="F14:AH14" si="2">-((F12+F13)*$C$14)</f>
        <v>-320230.5</v>
      </c>
      <c r="G14" s="100">
        <f t="shared" si="2"/>
        <v>-328236.26249999995</v>
      </c>
      <c r="H14" s="100">
        <f t="shared" si="2"/>
        <v>-336442.16906249989</v>
      </c>
      <c r="I14" s="100">
        <f t="shared" si="2"/>
        <v>-344853.22328906239</v>
      </c>
      <c r="J14" s="100">
        <f t="shared" si="2"/>
        <v>-353474.5538712889</v>
      </c>
      <c r="K14" s="100">
        <f t="shared" si="2"/>
        <v>-362311.41771807108</v>
      </c>
      <c r="L14" s="100">
        <f t="shared" si="2"/>
        <v>-371369.20316102286</v>
      </c>
      <c r="M14" s="100">
        <f t="shared" si="2"/>
        <v>-380653.43324004841</v>
      </c>
      <c r="N14" s="100">
        <f t="shared" si="2"/>
        <v>-390169.76907104952</v>
      </c>
      <c r="O14" s="100">
        <f t="shared" si="2"/>
        <v>-399924.01329782582</v>
      </c>
      <c r="P14" s="100">
        <f t="shared" si="2"/>
        <v>-409922.11363027134</v>
      </c>
      <c r="Q14" s="100">
        <f t="shared" si="2"/>
        <v>-420170.16647102806</v>
      </c>
      <c r="R14" s="100">
        <f t="shared" si="2"/>
        <v>-430674.42063280375</v>
      </c>
      <c r="S14" s="101">
        <f t="shared" si="2"/>
        <v>-441441.28114862391</v>
      </c>
      <c r="T14" s="100">
        <f t="shared" si="2"/>
        <v>-452477.31317733938</v>
      </c>
      <c r="U14" s="100">
        <f t="shared" si="2"/>
        <v>-463789.24600677285</v>
      </c>
      <c r="V14" s="100">
        <f t="shared" si="2"/>
        <v>-475383.97715694207</v>
      </c>
      <c r="W14" s="100">
        <f t="shared" si="2"/>
        <v>-487268.5765858657</v>
      </c>
      <c r="X14" s="100">
        <f t="shared" si="2"/>
        <v>-499450.29100051225</v>
      </c>
      <c r="Y14" s="100">
        <f t="shared" si="2"/>
        <v>-511936.54827552504</v>
      </c>
      <c r="Z14" s="100">
        <f t="shared" si="2"/>
        <v>-524734.96198241308</v>
      </c>
      <c r="AA14" s="100">
        <f t="shared" si="2"/>
        <v>-537853.33603197348</v>
      </c>
      <c r="AB14" s="100">
        <f t="shared" si="2"/>
        <v>-551299.66943277279</v>
      </c>
      <c r="AC14" s="100">
        <f t="shared" si="2"/>
        <v>-565082.16116859193</v>
      </c>
      <c r="AD14" s="100">
        <f t="shared" si="2"/>
        <v>-579209.21519780683</v>
      </c>
      <c r="AE14" s="100">
        <f t="shared" si="2"/>
        <v>-593689.44557775185</v>
      </c>
      <c r="AF14" s="100">
        <f t="shared" si="2"/>
        <v>-608531.68171719555</v>
      </c>
      <c r="AG14" s="100">
        <f t="shared" si="2"/>
        <v>-623744.97376012546</v>
      </c>
      <c r="AH14" s="100">
        <f t="shared" si="2"/>
        <v>-639338.5981041285</v>
      </c>
    </row>
    <row r="15" spans="1:34">
      <c r="A15" s="76"/>
      <c r="B15" s="102" t="s">
        <v>311</v>
      </c>
      <c r="C15" s="76"/>
      <c r="D15" s="76"/>
      <c r="E15" s="95">
        <f>SUM(E12:E14)</f>
        <v>5935980</v>
      </c>
      <c r="F15" s="95">
        <f t="shared" ref="F15:AH15" si="3">SUM(F12:F14)</f>
        <v>6084379.4999999991</v>
      </c>
      <c r="G15" s="103">
        <f t="shared" si="3"/>
        <v>6236488.987499998</v>
      </c>
      <c r="H15" s="104">
        <f t="shared" si="3"/>
        <v>6392401.2121874979</v>
      </c>
      <c r="I15" s="104">
        <f t="shared" si="3"/>
        <v>6552211.242492185</v>
      </c>
      <c r="J15" s="95">
        <f t="shared" si="3"/>
        <v>6716016.5235544881</v>
      </c>
      <c r="K15" s="103">
        <f t="shared" si="3"/>
        <v>6883916.9366433499</v>
      </c>
      <c r="L15" s="95">
        <f t="shared" si="3"/>
        <v>7056014.8600594336</v>
      </c>
      <c r="M15" s="95">
        <f t="shared" si="3"/>
        <v>7232415.2315609194</v>
      </c>
      <c r="N15" s="95">
        <f t="shared" si="3"/>
        <v>7413225.6123499405</v>
      </c>
      <c r="O15" s="95">
        <f t="shared" si="3"/>
        <v>7598556.2526586894</v>
      </c>
      <c r="P15" s="95">
        <f t="shared" si="3"/>
        <v>7788520.1589751551</v>
      </c>
      <c r="Q15" s="95">
        <f t="shared" si="3"/>
        <v>7983233.1629495332</v>
      </c>
      <c r="R15" s="95">
        <f t="shared" si="3"/>
        <v>8182813.9920232706</v>
      </c>
      <c r="S15" s="96">
        <f t="shared" si="3"/>
        <v>8387384.3418238536</v>
      </c>
      <c r="T15" s="95">
        <f t="shared" si="3"/>
        <v>8597068.9503694475</v>
      </c>
      <c r="U15" s="95">
        <f t="shared" si="3"/>
        <v>8811995.6741286851</v>
      </c>
      <c r="V15" s="95">
        <f t="shared" si="3"/>
        <v>9032295.5659818985</v>
      </c>
      <c r="W15" s="95">
        <f t="shared" si="3"/>
        <v>9258102.9551314469</v>
      </c>
      <c r="X15" s="95">
        <f t="shared" si="3"/>
        <v>9489555.5290097333</v>
      </c>
      <c r="Y15" s="95">
        <f t="shared" si="3"/>
        <v>9726794.4172349758</v>
      </c>
      <c r="Z15" s="95">
        <f t="shared" si="3"/>
        <v>9969964.2776658498</v>
      </c>
      <c r="AA15" s="95">
        <f t="shared" si="3"/>
        <v>10219213.384607496</v>
      </c>
      <c r="AB15" s="95">
        <f t="shared" si="3"/>
        <v>10474693.719222683</v>
      </c>
      <c r="AC15" s="95">
        <f t="shared" si="3"/>
        <v>10736561.062203247</v>
      </c>
      <c r="AD15" s="95">
        <f t="shared" si="3"/>
        <v>11004975.088758329</v>
      </c>
      <c r="AE15" s="95">
        <f t="shared" si="3"/>
        <v>11280099.465977285</v>
      </c>
      <c r="AF15" s="95">
        <f t="shared" si="3"/>
        <v>11562101.952626716</v>
      </c>
      <c r="AG15" s="95">
        <f t="shared" si="3"/>
        <v>11851154.501442382</v>
      </c>
      <c r="AH15" s="95">
        <f t="shared" si="3"/>
        <v>12147433.36397844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184">
        <v>6000</v>
      </c>
      <c r="D18" s="88">
        <v>3.5000000000000003E-2</v>
      </c>
      <c r="E18" s="95">
        <f>-C18*'Rental Income'!D15</f>
        <v>-912000</v>
      </c>
      <c r="F18" s="89">
        <f>E18*(1+$D$18)</f>
        <v>-943919.99999999988</v>
      </c>
      <c r="G18" s="94">
        <f t="shared" ref="G18:AH18" si="5">F18*(1+$D$18)</f>
        <v>-976957.19999999984</v>
      </c>
      <c r="H18" s="106">
        <f t="shared" si="5"/>
        <v>-1011150.7019999997</v>
      </c>
      <c r="I18" s="106">
        <f t="shared" si="5"/>
        <v>-1046540.9765699996</v>
      </c>
      <c r="J18" s="89">
        <f t="shared" si="5"/>
        <v>-1083169.9107499495</v>
      </c>
      <c r="K18" s="94">
        <f t="shared" si="5"/>
        <v>-1121080.8576261976</v>
      </c>
      <c r="L18" s="89">
        <f t="shared" si="5"/>
        <v>-1160318.6876431145</v>
      </c>
      <c r="M18" s="89">
        <f t="shared" si="5"/>
        <v>-1200929.8417106234</v>
      </c>
      <c r="N18" s="89">
        <f t="shared" si="5"/>
        <v>-1242962.3861704951</v>
      </c>
      <c r="O18" s="89">
        <f t="shared" si="5"/>
        <v>-1286466.0696864624</v>
      </c>
      <c r="P18" s="89">
        <f t="shared" si="5"/>
        <v>-1331492.3821254885</v>
      </c>
      <c r="Q18" s="89">
        <f t="shared" si="5"/>
        <v>-1378094.6154998804</v>
      </c>
      <c r="R18" s="89">
        <f t="shared" si="5"/>
        <v>-1426327.927042376</v>
      </c>
      <c r="S18" s="90">
        <f t="shared" si="5"/>
        <v>-1476249.404488859</v>
      </c>
      <c r="T18" s="89">
        <f t="shared" si="5"/>
        <v>-1527918.133645969</v>
      </c>
      <c r="U18" s="89">
        <f t="shared" si="5"/>
        <v>-1581395.2683235777</v>
      </c>
      <c r="V18" s="89">
        <f t="shared" si="5"/>
        <v>-1636744.1027149027</v>
      </c>
      <c r="W18" s="89">
        <f t="shared" si="5"/>
        <v>-1694030.1463099241</v>
      </c>
      <c r="X18" s="89">
        <f t="shared" si="5"/>
        <v>-1753321.2014307713</v>
      </c>
      <c r="Y18" s="89">
        <f t="shared" si="5"/>
        <v>-1814687.4434808481</v>
      </c>
      <c r="Z18" s="89">
        <f t="shared" si="5"/>
        <v>-1878201.5040026777</v>
      </c>
      <c r="AA18" s="89">
        <f t="shared" si="5"/>
        <v>-1943938.5566427712</v>
      </c>
      <c r="AB18" s="89">
        <f t="shared" si="5"/>
        <v>-2011976.406125268</v>
      </c>
      <c r="AC18" s="89">
        <f t="shared" si="5"/>
        <v>-2082395.5803396523</v>
      </c>
      <c r="AD18" s="89">
        <f t="shared" si="5"/>
        <v>-2155279.42565154</v>
      </c>
      <c r="AE18" s="89">
        <f t="shared" si="5"/>
        <v>-2230714.205549344</v>
      </c>
      <c r="AF18" s="89">
        <f t="shared" si="5"/>
        <v>-2308789.2027435708</v>
      </c>
      <c r="AG18" s="89">
        <f t="shared" si="5"/>
        <v>-2389596.8248395957</v>
      </c>
      <c r="AH18" s="89">
        <f t="shared" si="5"/>
        <v>-2473232.7137089814</v>
      </c>
    </row>
    <row r="19" spans="1:34">
      <c r="A19" s="86"/>
      <c r="B19" s="87" t="s">
        <v>314</v>
      </c>
      <c r="C19" s="1557" t="s">
        <v>1099</v>
      </c>
      <c r="D19" s="88">
        <v>1.2500000000000001E-2</v>
      </c>
      <c r="E19" s="95">
        <f>IF(C19="Abatement", 0, -'Tax Calc'!B10)</f>
        <v>-565107.06554108229</v>
      </c>
      <c r="F19" s="89">
        <f>E19*(1+$D$19)</f>
        <v>-572170.90386034583</v>
      </c>
      <c r="G19" s="89">
        <f t="shared" ref="G19:AH19" si="6">F19*(1+$D$19)</f>
        <v>-579323.04015860008</v>
      </c>
      <c r="H19" s="89">
        <f t="shared" si="6"/>
        <v>-586564.57816058258</v>
      </c>
      <c r="I19" s="89">
        <f t="shared" si="6"/>
        <v>-593896.63538758981</v>
      </c>
      <c r="J19" s="89">
        <f t="shared" si="6"/>
        <v>-601320.34332993464</v>
      </c>
      <c r="K19" s="89">
        <f t="shared" si="6"/>
        <v>-608836.84762155882</v>
      </c>
      <c r="L19" s="89">
        <f t="shared" si="6"/>
        <v>-616447.30821682827</v>
      </c>
      <c r="M19" s="89">
        <f t="shared" si="6"/>
        <v>-624152.89956953865</v>
      </c>
      <c r="N19" s="89">
        <f t="shared" si="6"/>
        <v>-631954.81081415783</v>
      </c>
      <c r="O19" s="89">
        <f t="shared" si="6"/>
        <v>-639854.24594933481</v>
      </c>
      <c r="P19" s="89">
        <f t="shared" si="6"/>
        <v>-647852.42402370146</v>
      </c>
      <c r="Q19" s="89">
        <f t="shared" si="6"/>
        <v>-655950.57932399772</v>
      </c>
      <c r="R19" s="89">
        <f t="shared" si="6"/>
        <v>-664149.96156554762</v>
      </c>
      <c r="S19" s="90">
        <f t="shared" si="6"/>
        <v>-672451.83608511696</v>
      </c>
      <c r="T19" s="89">
        <f t="shared" si="6"/>
        <v>-680857.48403618089</v>
      </c>
      <c r="U19" s="89">
        <f t="shared" si="6"/>
        <v>-689368.20258663315</v>
      </c>
      <c r="V19" s="89">
        <f t="shared" si="6"/>
        <v>-697985.30511896603</v>
      </c>
      <c r="W19" s="89">
        <f t="shared" si="6"/>
        <v>-706710.12143295305</v>
      </c>
      <c r="X19" s="89">
        <f t="shared" si="6"/>
        <v>-715543.99795086496</v>
      </c>
      <c r="Y19" s="89">
        <f t="shared" si="6"/>
        <v>-724488.29792525072</v>
      </c>
      <c r="Z19" s="89">
        <f t="shared" si="6"/>
        <v>-733544.40164931631</v>
      </c>
      <c r="AA19" s="89">
        <f t="shared" si="6"/>
        <v>-742713.7066699327</v>
      </c>
      <c r="AB19" s="89">
        <f t="shared" si="6"/>
        <v>-751997.6280033068</v>
      </c>
      <c r="AC19" s="89">
        <f t="shared" si="6"/>
        <v>-761397.59835334809</v>
      </c>
      <c r="AD19" s="89">
        <f t="shared" si="6"/>
        <v>-770915.0683327649</v>
      </c>
      <c r="AE19" s="89">
        <f t="shared" si="6"/>
        <v>-780551.50668692437</v>
      </c>
      <c r="AF19" s="89">
        <f t="shared" si="6"/>
        <v>-790308.40052051086</v>
      </c>
      <c r="AG19" s="89">
        <f t="shared" si="6"/>
        <v>-800187.25552701717</v>
      </c>
      <c r="AH19" s="89">
        <f t="shared" si="6"/>
        <v>-810189.59622110485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-45600</v>
      </c>
      <c r="F20" s="108">
        <f>+E20</f>
        <v>-45600</v>
      </c>
      <c r="G20" s="108">
        <f>F20</f>
        <v>-45600</v>
      </c>
      <c r="H20" s="108">
        <f>G20</f>
        <v>-45600</v>
      </c>
      <c r="I20" s="108">
        <f>H20</f>
        <v>-45600</v>
      </c>
      <c r="J20" s="108">
        <f t="shared" ref="J20:AH20" si="7">I20</f>
        <v>-45600</v>
      </c>
      <c r="K20" s="108">
        <f t="shared" si="7"/>
        <v>-45600</v>
      </c>
      <c r="L20" s="108">
        <f t="shared" si="7"/>
        <v>-45600</v>
      </c>
      <c r="M20" s="108">
        <f t="shared" si="7"/>
        <v>-45600</v>
      </c>
      <c r="N20" s="108">
        <f t="shared" si="7"/>
        <v>-45600</v>
      </c>
      <c r="O20" s="108">
        <f>N20</f>
        <v>-45600</v>
      </c>
      <c r="P20" s="108">
        <f t="shared" si="7"/>
        <v>-45600</v>
      </c>
      <c r="Q20" s="108">
        <f t="shared" si="7"/>
        <v>-45600</v>
      </c>
      <c r="R20" s="108">
        <f t="shared" si="7"/>
        <v>-45600</v>
      </c>
      <c r="S20" s="109">
        <f t="shared" si="7"/>
        <v>-45600</v>
      </c>
      <c r="T20" s="108">
        <f t="shared" si="7"/>
        <v>-45600</v>
      </c>
      <c r="U20" s="108">
        <f t="shared" si="7"/>
        <v>-45600</v>
      </c>
      <c r="V20" s="108">
        <f t="shared" si="7"/>
        <v>-45600</v>
      </c>
      <c r="W20" s="108">
        <f t="shared" si="7"/>
        <v>-45600</v>
      </c>
      <c r="X20" s="108">
        <f t="shared" si="7"/>
        <v>-45600</v>
      </c>
      <c r="Y20" s="108">
        <f t="shared" si="7"/>
        <v>-45600</v>
      </c>
      <c r="Z20" s="108">
        <f t="shared" si="7"/>
        <v>-45600</v>
      </c>
      <c r="AA20" s="108">
        <f t="shared" si="7"/>
        <v>-45600</v>
      </c>
      <c r="AB20" s="108">
        <f t="shared" si="7"/>
        <v>-45600</v>
      </c>
      <c r="AC20" s="108">
        <f t="shared" si="7"/>
        <v>-45600</v>
      </c>
      <c r="AD20" s="108">
        <f t="shared" si="7"/>
        <v>-45600</v>
      </c>
      <c r="AE20" s="108">
        <f t="shared" si="7"/>
        <v>-45600</v>
      </c>
      <c r="AF20" s="108">
        <f t="shared" si="7"/>
        <v>-45600</v>
      </c>
      <c r="AG20" s="108">
        <f t="shared" si="7"/>
        <v>-45600</v>
      </c>
      <c r="AH20" s="108">
        <f t="shared" si="7"/>
        <v>-45600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4413272.9344589179</v>
      </c>
      <c r="F21" s="95">
        <f t="shared" si="8"/>
        <v>4522688.5961396536</v>
      </c>
      <c r="G21" s="95">
        <f t="shared" si="8"/>
        <v>4634608.7473413981</v>
      </c>
      <c r="H21" s="95">
        <f t="shared" si="8"/>
        <v>4749085.9320269153</v>
      </c>
      <c r="I21" s="95">
        <f t="shared" si="8"/>
        <v>4866173.6305345949</v>
      </c>
      <c r="J21" s="95">
        <f t="shared" si="8"/>
        <v>4985926.2694746042</v>
      </c>
      <c r="K21" s="95">
        <f t="shared" si="8"/>
        <v>5108399.2313955929</v>
      </c>
      <c r="L21" s="95">
        <f t="shared" si="8"/>
        <v>5233648.8641994912</v>
      </c>
      <c r="M21" s="95">
        <f t="shared" si="8"/>
        <v>5361732.4902807577</v>
      </c>
      <c r="N21" s="95">
        <f t="shared" si="8"/>
        <v>5492708.4153652871</v>
      </c>
      <c r="O21" s="95">
        <f t="shared" si="8"/>
        <v>5626635.9370228928</v>
      </c>
      <c r="P21" s="95">
        <f t="shared" si="8"/>
        <v>5763575.3528259648</v>
      </c>
      <c r="Q21" s="95">
        <f t="shared" si="8"/>
        <v>5903587.9681256553</v>
      </c>
      <c r="R21" s="95">
        <f t="shared" si="8"/>
        <v>6046736.1034153467</v>
      </c>
      <c r="S21" s="96">
        <f t="shared" si="8"/>
        <v>6193083.1012498774</v>
      </c>
      <c r="T21" s="95">
        <f t="shared" si="8"/>
        <v>6342693.3326872978</v>
      </c>
      <c r="U21" s="95">
        <f t="shared" si="8"/>
        <v>6495632.2032184741</v>
      </c>
      <c r="V21" s="95">
        <f t="shared" si="8"/>
        <v>6651966.1581480298</v>
      </c>
      <c r="W21" s="95">
        <f t="shared" si="8"/>
        <v>6811762.6873885691</v>
      </c>
      <c r="X21" s="95">
        <f t="shared" si="8"/>
        <v>6975090.3296280969</v>
      </c>
      <c r="Y21" s="95">
        <f t="shared" si="8"/>
        <v>7142018.6758288769</v>
      </c>
      <c r="Z21" s="95">
        <f t="shared" si="8"/>
        <v>7312618.3720138557</v>
      </c>
      <c r="AA21" s="95">
        <f t="shared" si="8"/>
        <v>7486961.1212947927</v>
      </c>
      <c r="AB21" s="95">
        <f t="shared" si="8"/>
        <v>7665119.6850941088</v>
      </c>
      <c r="AC21" s="95">
        <f t="shared" si="8"/>
        <v>7847167.8835102478</v>
      </c>
      <c r="AD21" s="95">
        <f t="shared" si="8"/>
        <v>8033180.5947740227</v>
      </c>
      <c r="AE21" s="95">
        <f t="shared" si="8"/>
        <v>8223233.7537410166</v>
      </c>
      <c r="AF21" s="95">
        <f t="shared" si="8"/>
        <v>8417404.3493626341</v>
      </c>
      <c r="AG21" s="95">
        <f t="shared" si="8"/>
        <v>8615770.4210757688</v>
      </c>
      <c r="AH21" s="95">
        <f t="shared" si="8"/>
        <v>8818411.0540483538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-3677727.4453824316</v>
      </c>
      <c r="F22" s="95">
        <f t="shared" ref="F22:AH22" si="9">$E$22</f>
        <v>-3677727.4453824316</v>
      </c>
      <c r="G22" s="95">
        <f t="shared" si="9"/>
        <v>-3677727.4453824316</v>
      </c>
      <c r="H22" s="95">
        <f t="shared" si="9"/>
        <v>-3677727.4453824316</v>
      </c>
      <c r="I22" s="95">
        <f t="shared" si="9"/>
        <v>-3677727.4453824316</v>
      </c>
      <c r="J22" s="95">
        <f t="shared" si="9"/>
        <v>-3677727.4453824316</v>
      </c>
      <c r="K22" s="95">
        <f t="shared" si="9"/>
        <v>-3677727.4453824316</v>
      </c>
      <c r="L22" s="95">
        <f t="shared" si="9"/>
        <v>-3677727.4453824316</v>
      </c>
      <c r="M22" s="95">
        <f t="shared" si="9"/>
        <v>-3677727.4453824316</v>
      </c>
      <c r="N22" s="95">
        <f t="shared" si="9"/>
        <v>-3677727.4453824316</v>
      </c>
      <c r="O22" s="95">
        <f t="shared" si="9"/>
        <v>-3677727.4453824316</v>
      </c>
      <c r="P22" s="95">
        <f t="shared" si="9"/>
        <v>-3677727.4453824316</v>
      </c>
      <c r="Q22" s="95">
        <f t="shared" si="9"/>
        <v>-3677727.4453824316</v>
      </c>
      <c r="R22" s="95">
        <f t="shared" si="9"/>
        <v>-3677727.4453824316</v>
      </c>
      <c r="S22" s="96">
        <f t="shared" si="9"/>
        <v>-3677727.4453824316</v>
      </c>
      <c r="T22" s="95">
        <f t="shared" si="9"/>
        <v>-3677727.4453824316</v>
      </c>
      <c r="U22" s="95">
        <f t="shared" si="9"/>
        <v>-3677727.4453824316</v>
      </c>
      <c r="V22" s="95">
        <f t="shared" si="9"/>
        <v>-3677727.4453824316</v>
      </c>
      <c r="W22" s="95">
        <f t="shared" si="9"/>
        <v>-3677727.4453824316</v>
      </c>
      <c r="X22" s="95">
        <f t="shared" si="9"/>
        <v>-3677727.4453824316</v>
      </c>
      <c r="Y22" s="95">
        <f t="shared" si="9"/>
        <v>-3677727.4453824316</v>
      </c>
      <c r="Z22" s="95">
        <f t="shared" si="9"/>
        <v>-3677727.4453824316</v>
      </c>
      <c r="AA22" s="95">
        <f t="shared" si="9"/>
        <v>-3677727.4453824316</v>
      </c>
      <c r="AB22" s="95">
        <f t="shared" si="9"/>
        <v>-3677727.4453824316</v>
      </c>
      <c r="AC22" s="95">
        <f t="shared" si="9"/>
        <v>-3677727.4453824316</v>
      </c>
      <c r="AD22" s="95">
        <f t="shared" si="9"/>
        <v>-3677727.4453824316</v>
      </c>
      <c r="AE22" s="95">
        <f t="shared" si="9"/>
        <v>-3677727.4453824316</v>
      </c>
      <c r="AF22" s="95">
        <f t="shared" si="9"/>
        <v>-3677727.4453824316</v>
      </c>
      <c r="AG22" s="95">
        <f t="shared" si="9"/>
        <v>-3677727.4453824316</v>
      </c>
      <c r="AH22" s="95">
        <f t="shared" si="9"/>
        <v>-3677727.4453824316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735545.48907648632</v>
      </c>
      <c r="F25" s="119">
        <f t="shared" ref="F25:AH25" si="11">+F21+F22+F23</f>
        <v>844961.15075722197</v>
      </c>
      <c r="G25" s="119">
        <f t="shared" si="11"/>
        <v>956881.30195896653</v>
      </c>
      <c r="H25" s="119">
        <f t="shared" si="11"/>
        <v>1071358.4866444836</v>
      </c>
      <c r="I25" s="119">
        <f t="shared" si="11"/>
        <v>1188446.1851521633</v>
      </c>
      <c r="J25" s="119">
        <f t="shared" si="11"/>
        <v>1308198.8240921726</v>
      </c>
      <c r="K25" s="119">
        <f t="shared" si="11"/>
        <v>1430671.7860131613</v>
      </c>
      <c r="L25" s="119">
        <f t="shared" si="11"/>
        <v>1555921.4188170596</v>
      </c>
      <c r="M25" s="119">
        <f t="shared" si="11"/>
        <v>1684005.044898326</v>
      </c>
      <c r="N25" s="119">
        <f t="shared" si="11"/>
        <v>1814980.9699828555</v>
      </c>
      <c r="O25" s="119">
        <f t="shared" si="11"/>
        <v>1948908.4916404611</v>
      </c>
      <c r="P25" s="119">
        <f t="shared" si="11"/>
        <v>2085847.9074435332</v>
      </c>
      <c r="Q25" s="119">
        <f t="shared" si="11"/>
        <v>2225860.5227432237</v>
      </c>
      <c r="R25" s="119">
        <f t="shared" si="11"/>
        <v>2369008.6580329151</v>
      </c>
      <c r="S25" s="160">
        <f t="shared" si="11"/>
        <v>2515355.6558674457</v>
      </c>
      <c r="T25" s="119">
        <f t="shared" si="11"/>
        <v>2664965.8873048662</v>
      </c>
      <c r="U25" s="119">
        <f t="shared" si="11"/>
        <v>2817904.7578360424</v>
      </c>
      <c r="V25" s="119">
        <f t="shared" si="11"/>
        <v>2974238.7127655982</v>
      </c>
      <c r="W25" s="119">
        <f t="shared" si="11"/>
        <v>3134035.2420061375</v>
      </c>
      <c r="X25" s="119">
        <f t="shared" si="11"/>
        <v>3297362.8842456653</v>
      </c>
      <c r="Y25" s="119">
        <f t="shared" si="11"/>
        <v>3464291.2304464453</v>
      </c>
      <c r="Z25" s="119">
        <f t="shared" si="11"/>
        <v>3634890.9266314241</v>
      </c>
      <c r="AA25" s="119">
        <f t="shared" si="11"/>
        <v>3809233.6759123611</v>
      </c>
      <c r="AB25" s="119">
        <f t="shared" si="11"/>
        <v>3987392.2397116772</v>
      </c>
      <c r="AC25" s="119">
        <f t="shared" si="11"/>
        <v>4169440.4381278162</v>
      </c>
      <c r="AD25" s="119">
        <f t="shared" si="11"/>
        <v>4355453.1493915915</v>
      </c>
      <c r="AE25" s="119">
        <f t="shared" si="11"/>
        <v>4545506.3083585855</v>
      </c>
      <c r="AF25" s="119">
        <f t="shared" si="11"/>
        <v>4739676.903980203</v>
      </c>
      <c r="AG25" s="119">
        <f t="shared" si="11"/>
        <v>4938042.9756933376</v>
      </c>
      <c r="AH25" s="119">
        <f t="shared" si="11"/>
        <v>5140683.6086659227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1.2297508891851441</v>
      </c>
      <c r="G27" s="122">
        <f t="shared" si="12"/>
        <v>1.2601827667138243</v>
      </c>
      <c r="H27" s="122">
        <f t="shared" si="12"/>
        <v>1.2913099196596602</v>
      </c>
      <c r="I27" s="122">
        <f t="shared" si="12"/>
        <v>1.3231468897034</v>
      </c>
      <c r="J27" s="122">
        <f t="shared" si="12"/>
        <v>1.3557084758237539</v>
      </c>
      <c r="K27" s="122">
        <f t="shared" si="12"/>
        <v>1.3890097369258401</v>
      </c>
      <c r="L27" s="122">
        <f t="shared" si="12"/>
        <v>1.4230659944011337</v>
      </c>
      <c r="M27" s="122">
        <f t="shared" si="12"/>
        <v>1.4578928346124935</v>
      </c>
      <c r="N27" s="122">
        <f t="shared" si="12"/>
        <v>1.4935061112975225</v>
      </c>
      <c r="O27" s="122">
        <f t="shared" si="12"/>
        <v>1.5299219478831723</v>
      </c>
      <c r="P27" s="122">
        <f t="shared" si="12"/>
        <v>1.5671567397041393</v>
      </c>
      <c r="Q27" s="122">
        <f t="shared" si="12"/>
        <v>1.6052271561172651</v>
      </c>
      <c r="R27" s="122">
        <f t="shared" si="12"/>
        <v>1.6441501425037144</v>
      </c>
      <c r="S27" s="161">
        <f t="shared" si="12"/>
        <v>1.6839429221503619</v>
      </c>
      <c r="T27" s="122">
        <f t="shared" si="12"/>
        <v>1.7246229980013508</v>
      </c>
      <c r="U27" s="122">
        <f t="shared" si="12"/>
        <v>1.7662081542703936</v>
      </c>
      <c r="V27" s="122">
        <f t="shared" si="12"/>
        <v>1.808716457903889</v>
      </c>
      <c r="W27" s="122">
        <f t="shared" si="12"/>
        <v>1.8521662598845039</v>
      </c>
      <c r="X27" s="122">
        <f t="shared" si="12"/>
        <v>1.8965761963643246</v>
      </c>
      <c r="Y27" s="122">
        <f t="shared" si="12"/>
        <v>1.9419651896162218</v>
      </c>
      <c r="Z27" s="122">
        <f t="shared" si="12"/>
        <v>1.9883524487914974</v>
      </c>
      <c r="AA27" s="122">
        <f t="shared" si="12"/>
        <v>2.0357574704713484</v>
      </c>
      <c r="AB27" s="122">
        <f t="shared" si="12"/>
        <v>2.0842000389990956</v>
      </c>
      <c r="AC27" s="122">
        <f t="shared" si="12"/>
        <v>2.1337002265795295</v>
      </c>
      <c r="AD27" s="122">
        <f t="shared" si="12"/>
        <v>2.1842783931310836</v>
      </c>
      <c r="AE27" s="122">
        <f t="shared" si="12"/>
        <v>2.2359551858759117</v>
      </c>
      <c r="AF27" s="122">
        <f t="shared" si="12"/>
        <v>2.2887515386522459</v>
      </c>
      <c r="AG27" s="122">
        <f t="shared" si="12"/>
        <v>2.3426886709327235</v>
      </c>
      <c r="AH27" s="122">
        <f t="shared" si="12"/>
        <v>2.3977880865316172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735545.48907648632</v>
      </c>
      <c r="F41" s="129">
        <f t="shared" ref="F41:S41" si="20">F25+F37</f>
        <v>844961.15075722197</v>
      </c>
      <c r="G41" s="129">
        <f t="shared" si="20"/>
        <v>956881.30195896653</v>
      </c>
      <c r="H41" s="129">
        <f t="shared" si="20"/>
        <v>1071358.4866444836</v>
      </c>
      <c r="I41" s="129">
        <f t="shared" si="20"/>
        <v>1188446.1851521633</v>
      </c>
      <c r="J41" s="129">
        <f t="shared" si="20"/>
        <v>1308198.8240921726</v>
      </c>
      <c r="K41" s="129">
        <f t="shared" si="20"/>
        <v>1430671.7860131613</v>
      </c>
      <c r="L41" s="129">
        <f t="shared" si="20"/>
        <v>1555921.4188170596</v>
      </c>
      <c r="M41" s="129">
        <f t="shared" si="20"/>
        <v>1684005.044898326</v>
      </c>
      <c r="N41" s="129">
        <f t="shared" si="20"/>
        <v>1814980.9699828555</v>
      </c>
      <c r="O41" s="129">
        <f t="shared" si="20"/>
        <v>1948908.4916404611</v>
      </c>
      <c r="P41" s="129">
        <f t="shared" si="20"/>
        <v>2085847.9074435332</v>
      </c>
      <c r="Q41" s="129">
        <f t="shared" si="20"/>
        <v>2225860.5227432237</v>
      </c>
      <c r="R41" s="129">
        <f t="shared" si="20"/>
        <v>2369008.6580329151</v>
      </c>
      <c r="S41" s="130">
        <f t="shared" si="20"/>
        <v>2515355.6558674457</v>
      </c>
      <c r="T41" s="130">
        <f t="shared" ref="T41:AH41" si="21">T25+T37</f>
        <v>2664965.8873048662</v>
      </c>
      <c r="U41" s="130">
        <f t="shared" si="21"/>
        <v>2817904.7578360424</v>
      </c>
      <c r="V41" s="130">
        <f t="shared" si="21"/>
        <v>2974238.7127655982</v>
      </c>
      <c r="W41" s="130">
        <f t="shared" si="21"/>
        <v>3134035.2420061375</v>
      </c>
      <c r="X41" s="130">
        <f t="shared" si="21"/>
        <v>3297362.8842456653</v>
      </c>
      <c r="Y41" s="130">
        <f t="shared" si="21"/>
        <v>3464291.2304464453</v>
      </c>
      <c r="Z41" s="130">
        <f t="shared" si="21"/>
        <v>3634890.9266314241</v>
      </c>
      <c r="AA41" s="130">
        <f t="shared" si="21"/>
        <v>3809233.6759123611</v>
      </c>
      <c r="AB41" s="130">
        <f t="shared" si="21"/>
        <v>3987392.2397116772</v>
      </c>
      <c r="AC41" s="130">
        <f t="shared" si="21"/>
        <v>4169440.4381278162</v>
      </c>
      <c r="AD41" s="130">
        <f t="shared" si="21"/>
        <v>4355453.1493915915</v>
      </c>
      <c r="AE41" s="130">
        <f t="shared" si="21"/>
        <v>4545506.3083585855</v>
      </c>
      <c r="AF41" s="130">
        <f t="shared" si="21"/>
        <v>4739676.903980203</v>
      </c>
      <c r="AG41" s="130">
        <f t="shared" si="21"/>
        <v>4938042.9756933376</v>
      </c>
      <c r="AH41" s="130">
        <f t="shared" si="21"/>
        <v>5140683.6086659227</v>
      </c>
    </row>
    <row r="42" spans="1:34">
      <c r="A42" s="86"/>
      <c r="B42" s="110" t="s">
        <v>329</v>
      </c>
      <c r="C42" s="323">
        <f>GapCalc!I33</f>
        <v>0.85</v>
      </c>
      <c r="D42" s="131" t="s">
        <v>1048</v>
      </c>
      <c r="E42" s="129">
        <f>((E41*$C$42))</f>
        <v>625213.6657150134</v>
      </c>
      <c r="F42" s="129">
        <f t="shared" ref="F42:S42" si="22">((F41*$C$42))</f>
        <v>718216.9781436387</v>
      </c>
      <c r="G42" s="129">
        <f t="shared" si="22"/>
        <v>813349.10666512151</v>
      </c>
      <c r="H42" s="129">
        <f t="shared" si="22"/>
        <v>910654.71364781109</v>
      </c>
      <c r="I42" s="129">
        <f t="shared" si="22"/>
        <v>1010179.2573793387</v>
      </c>
      <c r="J42" s="129">
        <f t="shared" si="22"/>
        <v>1111969.0004783466</v>
      </c>
      <c r="K42" s="129">
        <f t="shared" si="22"/>
        <v>1216071.018111187</v>
      </c>
      <c r="L42" s="129">
        <f t="shared" si="22"/>
        <v>1322533.2059945005</v>
      </c>
      <c r="M42" s="129">
        <f t="shared" si="22"/>
        <v>1431404.2881635772</v>
      </c>
      <c r="N42" s="129">
        <f t="shared" si="22"/>
        <v>1542733.8244854272</v>
      </c>
      <c r="O42" s="129">
        <f t="shared" si="22"/>
        <v>1656572.2178943919</v>
      </c>
      <c r="P42" s="129">
        <f t="shared" si="22"/>
        <v>1772970.7213270031</v>
      </c>
      <c r="Q42" s="129">
        <f t="shared" si="22"/>
        <v>1891981.44433174</v>
      </c>
      <c r="R42" s="129">
        <f t="shared" si="22"/>
        <v>2013657.3593279778</v>
      </c>
      <c r="S42" s="129">
        <f t="shared" si="22"/>
        <v>2138052.307487329</v>
      </c>
      <c r="T42" s="129">
        <f t="shared" ref="T42:AH42" si="23">((T41*$C$42))</f>
        <v>2265221.0042091361</v>
      </c>
      <c r="U42" s="129">
        <f t="shared" si="23"/>
        <v>2395219.0441606361</v>
      </c>
      <c r="V42" s="129">
        <f t="shared" si="23"/>
        <v>2528102.9058507583</v>
      </c>
      <c r="W42" s="129">
        <f t="shared" si="23"/>
        <v>2663929.9557052166</v>
      </c>
      <c r="X42" s="129">
        <f t="shared" si="23"/>
        <v>2802758.4516088152</v>
      </c>
      <c r="Y42" s="129">
        <f t="shared" si="23"/>
        <v>2944647.5458794786</v>
      </c>
      <c r="Z42" s="129">
        <f t="shared" si="23"/>
        <v>3089657.2876367103</v>
      </c>
      <c r="AA42" s="129">
        <f t="shared" si="23"/>
        <v>3237848.624525507</v>
      </c>
      <c r="AB42" s="129">
        <f t="shared" si="23"/>
        <v>3389283.4037549254</v>
      </c>
      <c r="AC42" s="129">
        <f t="shared" si="23"/>
        <v>3544024.3724086438</v>
      </c>
      <c r="AD42" s="129">
        <f t="shared" si="23"/>
        <v>3702135.1769828526</v>
      </c>
      <c r="AE42" s="129">
        <f t="shared" si="23"/>
        <v>3863680.3621047977</v>
      </c>
      <c r="AF42" s="129">
        <f t="shared" si="23"/>
        <v>4028725.3683831724</v>
      </c>
      <c r="AG42" s="129">
        <f t="shared" si="23"/>
        <v>4197336.5293393368</v>
      </c>
      <c r="AH42" s="129">
        <f t="shared" si="23"/>
        <v>4369581.0673660338</v>
      </c>
    </row>
    <row r="43" spans="1:34">
      <c r="A43" s="86"/>
      <c r="B43" s="132" t="s">
        <v>330</v>
      </c>
      <c r="C43" s="324">
        <f>GapCalc!I32</f>
        <v>0.15000000000000002</v>
      </c>
      <c r="D43" s="133" t="s">
        <v>1048</v>
      </c>
      <c r="E43" s="108">
        <f>$C$43*(E41)</f>
        <v>110331.82336147297</v>
      </c>
      <c r="F43" s="108">
        <f t="shared" ref="F43:S43" si="24">$C$43*(F41)</f>
        <v>126744.17261358332</v>
      </c>
      <c r="G43" s="108">
        <f t="shared" si="24"/>
        <v>143532.195293845</v>
      </c>
      <c r="H43" s="108">
        <f t="shared" si="24"/>
        <v>160703.77299667257</v>
      </c>
      <c r="I43" s="108">
        <f t="shared" si="24"/>
        <v>178266.92777282451</v>
      </c>
      <c r="J43" s="108">
        <f t="shared" si="24"/>
        <v>196229.82361382592</v>
      </c>
      <c r="K43" s="108">
        <f t="shared" si="24"/>
        <v>214600.76790197424</v>
      </c>
      <c r="L43" s="108">
        <f t="shared" si="24"/>
        <v>233388.21282255897</v>
      </c>
      <c r="M43" s="108">
        <f t="shared" si="24"/>
        <v>252600.75673474895</v>
      </c>
      <c r="N43" s="108">
        <f t="shared" si="24"/>
        <v>272247.14549742837</v>
      </c>
      <c r="O43" s="108">
        <f t="shared" si="24"/>
        <v>292336.27374606923</v>
      </c>
      <c r="P43" s="108">
        <f t="shared" si="24"/>
        <v>312877.18611653004</v>
      </c>
      <c r="Q43" s="108">
        <f t="shared" si="24"/>
        <v>333879.07841148361</v>
      </c>
      <c r="R43" s="108">
        <f t="shared" si="24"/>
        <v>355351.29870493733</v>
      </c>
      <c r="S43" s="108">
        <f t="shared" si="24"/>
        <v>377303.34838011692</v>
      </c>
      <c r="T43" s="108">
        <f t="shared" ref="T43:AH43" si="25">$C$43*(T41)</f>
        <v>399744.88309572998</v>
      </c>
      <c r="U43" s="108">
        <f t="shared" si="25"/>
        <v>422685.71367540641</v>
      </c>
      <c r="V43" s="108">
        <f t="shared" si="25"/>
        <v>446135.80691483978</v>
      </c>
      <c r="W43" s="108">
        <f t="shared" si="25"/>
        <v>470105.28630092071</v>
      </c>
      <c r="X43" s="108">
        <f t="shared" si="25"/>
        <v>494604.43263684987</v>
      </c>
      <c r="Y43" s="108">
        <f t="shared" si="25"/>
        <v>519643.6845669669</v>
      </c>
      <c r="Z43" s="108">
        <f t="shared" si="25"/>
        <v>545233.63899471366</v>
      </c>
      <c r="AA43" s="108">
        <f t="shared" si="25"/>
        <v>571385.05138685426</v>
      </c>
      <c r="AB43" s="108">
        <f t="shared" si="25"/>
        <v>598108.83595675172</v>
      </c>
      <c r="AC43" s="108">
        <f t="shared" si="25"/>
        <v>625416.06571917247</v>
      </c>
      <c r="AD43" s="108">
        <f t="shared" si="25"/>
        <v>653317.9724087388</v>
      </c>
      <c r="AE43" s="108">
        <f t="shared" si="25"/>
        <v>681825.94625378796</v>
      </c>
      <c r="AF43" s="108">
        <f t="shared" si="25"/>
        <v>710951.53559703054</v>
      </c>
      <c r="AG43" s="108">
        <f t="shared" si="25"/>
        <v>740706.44635400071</v>
      </c>
      <c r="AH43" s="108">
        <f t="shared" si="25"/>
        <v>771102.54129988851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374">
        <f>E21/Data!$C$38</f>
        <v>7.2962684614927539E-2</v>
      </c>
      <c r="F46" s="1374">
        <f>F21/Data!$C$38</f>
        <v>7.4771605235451968E-2</v>
      </c>
      <c r="G46" s="1374">
        <f>G21/Data!$C$38</f>
        <v>7.6621931470756313E-2</v>
      </c>
      <c r="H46" s="1374">
        <f>H21/Data!$C$38</f>
        <v>7.8514532006879328E-2</v>
      </c>
      <c r="I46" s="1374">
        <f>I21/Data!$C$38</f>
        <v>8.0450291010542893E-2</v>
      </c>
      <c r="J46" s="1374">
        <f>J21/Data!$C$38</f>
        <v>8.2430108292760554E-2</v>
      </c>
      <c r="K46" s="1374">
        <f>K21/Data!$C$38</f>
        <v>8.4454899468652936E-2</v>
      </c>
      <c r="L46" s="1374">
        <f>L21/Data!$C$38</f>
        <v>8.6525596113098457E-2</v>
      </c>
      <c r="M46" s="1374">
        <f>M21/Data!$C$38</f>
        <v>8.8643145911828397E-2</v>
      </c>
      <c r="N46" s="1374">
        <f>N21/Data!$C$38</f>
        <v>9.0808512807556668E-2</v>
      </c>
      <c r="O46" s="1374">
        <f>O21/Data!$C$38</f>
        <v>9.3022677140712912E-2</v>
      </c>
      <c r="P46" s="1374">
        <f>P21/Data!$C$38</f>
        <v>9.5286635784326001E-2</v>
      </c>
      <c r="Q46" s="1374">
        <f>Q21/Data!$C$38</f>
        <v>9.7601402272584223E-2</v>
      </c>
      <c r="R46" s="1374">
        <f>R21/Data!$C$38</f>
        <v>9.9968006922572239E-2</v>
      </c>
      <c r="S46" s="1374">
        <f>S21/Data!$C$38</f>
        <v>0.1023874969486636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3.069043957325971E-2</v>
      </c>
      <c r="F47" s="142">
        <f>F41/GapCalc!$H$33</f>
        <v>3.5255778907196757E-2</v>
      </c>
      <c r="G47" s="142">
        <f>G41/GapCalc!$H$33</f>
        <v>3.9925617399170776E-2</v>
      </c>
      <c r="H47" s="142">
        <f>H41/GapCalc!$H$33</f>
        <v>4.4702147432029722E-2</v>
      </c>
      <c r="I47" s="142">
        <f>I41/GapCalc!$H$33</f>
        <v>4.9587600458645076E-2</v>
      </c>
      <c r="J47" s="142">
        <f>J41/GapCalc!$H$33</f>
        <v>5.4584247414826148E-2</v>
      </c>
      <c r="K47" s="142">
        <f>K41/GapCalc!$H$33</f>
        <v>5.9694399122660745E-2</v>
      </c>
      <c r="L47" s="142">
        <f>L41/GapCalc!$H$33</f>
        <v>6.492040668334513E-2</v>
      </c>
      <c r="M47" s="142">
        <f>M41/GapCalc!$H$33</f>
        <v>7.026466185851668E-2</v>
      </c>
      <c r="N47" s="142">
        <f>N41/GapCalc!$H$33</f>
        <v>7.5729597439054983E-2</v>
      </c>
      <c r="O47" s="142">
        <f>O41/GapCalc!$H$33</f>
        <v>8.1317687600262895E-2</v>
      </c>
      <c r="P47" s="142">
        <f>P41/GapCalc!$H$33</f>
        <v>8.7031448242284384E-2</v>
      </c>
      <c r="Q47" s="142">
        <f>Q41/GapCalc!$H$33</f>
        <v>9.2873437314563739E-2</v>
      </c>
      <c r="R47" s="142">
        <f>R41/GapCalc!$H$33</f>
        <v>9.8846255123084412E-2</v>
      </c>
      <c r="S47" s="142">
        <f>S41/GapCalc!$H$33</f>
        <v>0.10495254461907176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2.6086873637270757E-2</v>
      </c>
      <c r="F48" s="142">
        <f>F43/GapCalc!$H$32</f>
        <v>2.9967412071117246E-2</v>
      </c>
      <c r="G48" s="142">
        <f>G43/GapCalc!$H$32</f>
        <v>3.3936774789295167E-2</v>
      </c>
      <c r="H48" s="142">
        <f>H43/GapCalc!$H$32</f>
        <v>3.7996825317225265E-2</v>
      </c>
      <c r="I48" s="142">
        <f>I43/GapCalc!$H$32</f>
        <v>4.2149460389848313E-2</v>
      </c>
      <c r="J48" s="142">
        <f>J43/GapCalc!$H$32</f>
        <v>4.6396610302602233E-2</v>
      </c>
      <c r="K48" s="142">
        <f>K43/GapCalc!$H$32</f>
        <v>5.0740239254261639E-2</v>
      </c>
      <c r="L48" s="142">
        <f>L43/GapCalc!$H$32</f>
        <v>5.5182345680843362E-2</v>
      </c>
      <c r="M48" s="142">
        <f>M43/GapCalc!$H$32</f>
        <v>5.972496257973918E-2</v>
      </c>
      <c r="N48" s="142">
        <f>N43/GapCalc!$H$32</f>
        <v>6.4370157823196744E-2</v>
      </c>
      <c r="O48" s="142">
        <f>O43/GapCalc!$H$32</f>
        <v>6.9120034460223481E-2</v>
      </c>
      <c r="P48" s="142">
        <f>P43/GapCalc!$H$32</f>
        <v>7.3976731005941737E-2</v>
      </c>
      <c r="Q48" s="142">
        <f>Q43/GapCalc!$H$32</f>
        <v>7.8942421717379183E-2</v>
      </c>
      <c r="R48" s="142">
        <f>R43/GapCalc!$H$32</f>
        <v>8.4019316854621759E-2</v>
      </c>
      <c r="S48" s="142">
        <f>S43/GapCalc!$H$32</f>
        <v>8.9209662926211006E-2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483"/>
      <c r="C50" s="1484"/>
      <c r="D50" s="1484"/>
      <c r="E50" s="1406">
        <v>1</v>
      </c>
      <c r="F50" s="1406">
        <v>2</v>
      </c>
      <c r="G50" s="1407">
        <v>3</v>
      </c>
      <c r="H50" s="1407">
        <v>4</v>
      </c>
      <c r="I50" s="1408">
        <v>5</v>
      </c>
      <c r="J50" s="1408">
        <v>6</v>
      </c>
      <c r="K50" s="1407">
        <v>7</v>
      </c>
      <c r="L50" s="1407">
        <v>8</v>
      </c>
      <c r="M50" s="1408">
        <v>9</v>
      </c>
      <c r="N50" s="1408">
        <v>10</v>
      </c>
      <c r="O50" s="1407">
        <v>11</v>
      </c>
      <c r="P50" s="1407">
        <v>12</v>
      </c>
      <c r="Q50" s="1408">
        <v>13</v>
      </c>
      <c r="R50" s="1408">
        <v>14</v>
      </c>
      <c r="S50" s="1407">
        <v>15</v>
      </c>
      <c r="T50" s="1408">
        <v>16</v>
      </c>
      <c r="U50" s="1408">
        <v>17</v>
      </c>
      <c r="V50" s="1407">
        <v>18</v>
      </c>
      <c r="W50" s="1408">
        <v>19</v>
      </c>
      <c r="X50" s="1408">
        <v>20</v>
      </c>
      <c r="Y50" s="1407">
        <v>21</v>
      </c>
      <c r="Z50" s="1408">
        <v>22</v>
      </c>
      <c r="AA50" s="1408">
        <v>23</v>
      </c>
      <c r="AB50" s="1407">
        <v>24</v>
      </c>
      <c r="AC50" s="1408">
        <v>25</v>
      </c>
      <c r="AD50" s="1408">
        <v>26</v>
      </c>
      <c r="AE50" s="1407">
        <v>27</v>
      </c>
      <c r="AF50" s="1408">
        <v>28</v>
      </c>
      <c r="AG50" s="1408">
        <v>29</v>
      </c>
      <c r="AH50" s="1407">
        <v>30</v>
      </c>
    </row>
    <row r="51" spans="1:34">
      <c r="A51" s="76"/>
      <c r="B51" s="1380"/>
      <c r="C51" s="1384"/>
      <c r="D51" s="1485"/>
      <c r="G51" s="1380"/>
      <c r="H51" s="1381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380"/>
      <c r="C52" s="1384"/>
      <c r="D52" s="1486"/>
      <c r="G52" s="1380"/>
      <c r="H52" s="1382"/>
    </row>
    <row r="53" spans="1:34">
      <c r="B53" s="1380"/>
      <c r="C53" s="1384"/>
      <c r="D53" s="1486"/>
      <c r="G53" s="1383"/>
      <c r="H53" s="1382"/>
    </row>
    <row r="54" spans="1:34">
      <c r="B54" s="1380"/>
      <c r="C54" s="1384"/>
      <c r="D54" s="1487"/>
      <c r="G54" s="1380"/>
      <c r="H54" s="1384"/>
    </row>
    <row r="55" spans="1:34">
      <c r="B55" s="1385"/>
      <c r="C55" s="1384"/>
      <c r="D55" s="1486"/>
      <c r="G55" s="1385"/>
      <c r="H55" s="1384"/>
    </row>
    <row r="56" spans="1:34">
      <c r="B56" s="1385"/>
      <c r="C56" s="1488"/>
      <c r="D56" s="1485"/>
      <c r="G56" s="1385"/>
      <c r="H56" s="1386"/>
    </row>
    <row r="57" spans="1:34">
      <c r="B57" s="1380"/>
      <c r="C57" s="1489"/>
      <c r="D57" s="1383"/>
      <c r="G57" s="1380"/>
      <c r="H57" s="1387"/>
    </row>
    <row r="58" spans="1:34">
      <c r="B58" s="1385"/>
      <c r="C58" s="1387"/>
      <c r="D58" s="1383"/>
      <c r="G58" s="1380"/>
      <c r="H58" s="1387"/>
    </row>
    <row r="59" spans="1:34">
      <c r="B59" s="1484"/>
      <c r="C59" s="1484"/>
      <c r="D59" s="1383"/>
      <c r="G59" s="1383"/>
      <c r="H59" s="1383"/>
    </row>
    <row r="61" spans="1:34">
      <c r="C61" s="1482"/>
    </row>
    <row r="64" spans="1:34" ht="13.5" thickBot="1">
      <c r="B64" s="70" t="s">
        <v>1057</v>
      </c>
      <c r="G64" s="70" t="s">
        <v>1069</v>
      </c>
    </row>
    <row r="65" spans="2:10" ht="13.5" thickBot="1">
      <c r="B65" s="1363" t="s">
        <v>1039</v>
      </c>
      <c r="C65" s="1364"/>
      <c r="D65" s="1388"/>
      <c r="E65" s="70" t="s">
        <v>1055</v>
      </c>
      <c r="G65" s="1363" t="s">
        <v>1039</v>
      </c>
      <c r="H65" s="1364"/>
      <c r="I65" s="1388"/>
      <c r="J65" s="70" t="s">
        <v>1055</v>
      </c>
    </row>
    <row r="66" spans="2:10">
      <c r="B66" s="1365" t="s">
        <v>1053</v>
      </c>
      <c r="C66" s="1410">
        <f>C70/1.63</f>
        <v>24102952.647632722</v>
      </c>
      <c r="D66" s="1389"/>
      <c r="E66" s="1409" t="s">
        <v>284</v>
      </c>
      <c r="G66" s="1365" t="s">
        <v>1072</v>
      </c>
      <c r="H66" s="1410">
        <f>H70/1.63</f>
        <v>4253462.2319351872</v>
      </c>
      <c r="I66" s="1389"/>
      <c r="J66" s="1409" t="s">
        <v>284</v>
      </c>
    </row>
    <row r="67" spans="2:10" ht="15">
      <c r="B67" s="1366" t="s">
        <v>1054</v>
      </c>
      <c r="C67" s="1425">
        <f>SUMIFS(E42:AH42, E50:AH50, "&lt;=" &amp; VALUE(RIGHT(E66, LEN(E66)-FIND(" ", E66))))</f>
        <v>6405653.7401404567</v>
      </c>
      <c r="D67" s="1390" t="s">
        <v>67</v>
      </c>
      <c r="G67" s="1366" t="s">
        <v>1073</v>
      </c>
      <c r="H67" s="1405">
        <f>SUMIFS(E43:AH43, E50:AH50, "&lt;=" &amp; VALUE(RIGHT(E66, LEN(E66)-FIND(" ", E66))))</f>
        <v>1130409.4835541986</v>
      </c>
      <c r="I67" s="1390" t="s">
        <v>67</v>
      </c>
    </row>
    <row r="68" spans="2:10">
      <c r="B68" s="1366" t="s">
        <v>1077</v>
      </c>
      <c r="C68" s="1413">
        <f>IF(GapCalc!D41*C42&lt; 0,0,GapCalc!D41*C42)</f>
        <v>6904305.7057053577</v>
      </c>
      <c r="D68" s="1390" t="s">
        <v>67</v>
      </c>
      <c r="G68" s="1366" t="s">
        <v>1078</v>
      </c>
      <c r="H68" s="1413">
        <f>IF(GapCalc!D41*C43&lt; 0,0,GapCalc!D41*C43)</f>
        <v>1218406.8892421222</v>
      </c>
      <c r="I68" s="1390" t="s">
        <v>67</v>
      </c>
    </row>
    <row r="69" spans="2:10">
      <c r="B69" s="1366" t="s">
        <v>1058</v>
      </c>
      <c r="C69" s="1413">
        <f>'Debt Calc'!E60</f>
        <v>25977853.369795524</v>
      </c>
      <c r="D69" s="1391">
        <v>0.9</v>
      </c>
      <c r="G69" s="1366" t="s">
        <v>1074</v>
      </c>
      <c r="H69" s="1413">
        <f>'Debt Calc'!E59*C43</f>
        <v>4584327.0652580345</v>
      </c>
      <c r="I69" s="1391">
        <v>0.9</v>
      </c>
    </row>
    <row r="70" spans="2:10">
      <c r="B70" s="1368" t="s">
        <v>1041</v>
      </c>
      <c r="C70" s="1422">
        <f>C67+C68+C69</f>
        <v>39287812.815641336</v>
      </c>
      <c r="D70" s="1390" t="s">
        <v>67</v>
      </c>
      <c r="G70" s="1368" t="s">
        <v>1041</v>
      </c>
      <c r="H70" s="1422">
        <f>H67+H68+H69</f>
        <v>6933143.4380543549</v>
      </c>
      <c r="I70" s="1390" t="s">
        <v>67</v>
      </c>
    </row>
    <row r="71" spans="2:10">
      <c r="B71" s="1368" t="s">
        <v>1042</v>
      </c>
      <c r="C71" s="1416">
        <f>C70/C66</f>
        <v>1.63</v>
      </c>
      <c r="D71" s="1392"/>
      <c r="G71" s="1368" t="s">
        <v>1042</v>
      </c>
      <c r="H71" s="1416">
        <f>H70/H66</f>
        <v>1.63</v>
      </c>
      <c r="I71" s="1392"/>
    </row>
    <row r="72" spans="2:10">
      <c r="B72" s="1366" t="s">
        <v>1043</v>
      </c>
      <c r="C72" s="1369">
        <f>(C70-C66)/C66</f>
        <v>0.63</v>
      </c>
      <c r="D72" s="1393"/>
      <c r="G72" s="1366" t="s">
        <v>1043</v>
      </c>
      <c r="H72" s="1369">
        <f>(H70-H66)/H66</f>
        <v>0.62999999999999989</v>
      </c>
      <c r="I72" s="1393"/>
    </row>
    <row r="73" spans="2:10">
      <c r="B73" s="1368" t="s">
        <v>1044</v>
      </c>
      <c r="C73" s="1411">
        <f>C72/7</f>
        <v>0.09</v>
      </c>
      <c r="D73" s="1393"/>
      <c r="G73" s="1368" t="s">
        <v>1044</v>
      </c>
      <c r="H73" s="1411">
        <f>H72/7</f>
        <v>8.9999999999999983E-2</v>
      </c>
      <c r="I73" s="1393"/>
    </row>
    <row r="74" spans="2:10" ht="13.5" thickBot="1">
      <c r="B74" s="1423" t="s">
        <v>1079</v>
      </c>
      <c r="C74" s="1426">
        <f>GapCalc!H33</f>
        <v>23966600.000000004</v>
      </c>
      <c r="D74" s="1394"/>
      <c r="F74" s="1404"/>
      <c r="G74" s="1423" t="s">
        <v>1081</v>
      </c>
      <c r="H74" s="1426">
        <f>GapCalc!H32</f>
        <v>4229400.0000000009</v>
      </c>
      <c r="I74" s="1394"/>
    </row>
    <row r="75" spans="2:10">
      <c r="B75" s="70" t="s">
        <v>1080</v>
      </c>
      <c r="C75" s="1424">
        <f>(C70-C74)/C74</f>
        <v>0.63927352297119033</v>
      </c>
      <c r="G75" s="70" t="s">
        <v>1080</v>
      </c>
      <c r="H75" s="1424">
        <f>(H70-H74)/H74</f>
        <v>0.63927352297119056</v>
      </c>
    </row>
    <row r="76" spans="2:10">
      <c r="B76" s="70" t="s">
        <v>1044</v>
      </c>
      <c r="C76" s="1424">
        <f>C75/7</f>
        <v>9.1324788995884337E-2</v>
      </c>
      <c r="G76" s="70" t="s">
        <v>1044</v>
      </c>
      <c r="H76" s="1424">
        <f>H75/7</f>
        <v>9.1324788995884365E-2</v>
      </c>
    </row>
    <row r="78" spans="2:10" ht="13.5" thickBot="1">
      <c r="B78" s="70" t="s">
        <v>1060</v>
      </c>
    </row>
    <row r="79" spans="2:10" ht="13.5" thickBot="1">
      <c r="B79" s="1363" t="s">
        <v>1039</v>
      </c>
      <c r="C79" s="1364"/>
      <c r="D79" s="1388"/>
      <c r="E79" s="70" t="s">
        <v>1055</v>
      </c>
    </row>
    <row r="80" spans="2:10">
      <c r="B80" s="1365" t="s">
        <v>1053</v>
      </c>
      <c r="C80" s="1410">
        <f>C84/1.8</f>
        <v>9781461.5358274002</v>
      </c>
      <c r="D80" s="1389"/>
      <c r="E80" s="1409" t="s">
        <v>287</v>
      </c>
    </row>
    <row r="81" spans="2:10" ht="15">
      <c r="B81" s="1366" t="s">
        <v>1054</v>
      </c>
      <c r="C81" s="1405">
        <f>SUMIFS(E42:AH42, E50:AH50, "&lt;=" &amp; VALUE(RIGHT(E80, LEN(E80)-FIND(" ", E80))))</f>
        <v>10702325.058783961</v>
      </c>
      <c r="D81" s="1390" t="s">
        <v>67</v>
      </c>
    </row>
    <row r="82" spans="2:10">
      <c r="B82" s="1366" t="s">
        <v>1058</v>
      </c>
      <c r="C82" s="1413">
        <f>C68</f>
        <v>6904305.7057053577</v>
      </c>
      <c r="D82" s="1390" t="s">
        <v>67</v>
      </c>
    </row>
    <row r="83" spans="2:10">
      <c r="B83" s="1366" t="s">
        <v>1040</v>
      </c>
      <c r="C83" s="1367"/>
      <c r="D83" s="1391">
        <v>0.9</v>
      </c>
    </row>
    <row r="84" spans="2:10">
      <c r="B84" s="1368" t="s">
        <v>1041</v>
      </c>
      <c r="C84" s="1422">
        <f>C81+C82+C83</f>
        <v>17606630.764489319</v>
      </c>
      <c r="D84" s="1390" t="s">
        <v>67</v>
      </c>
    </row>
    <row r="85" spans="2:10">
      <c r="B85" s="1368" t="s">
        <v>1042</v>
      </c>
      <c r="C85" s="1412">
        <v>1.8</v>
      </c>
      <c r="D85" s="1392"/>
    </row>
    <row r="86" spans="2:10">
      <c r="B86" s="1366" t="s">
        <v>1043</v>
      </c>
      <c r="C86" s="1369">
        <f>(C84-C80)/C80</f>
        <v>0.79999999999999993</v>
      </c>
      <c r="D86" s="1393"/>
    </row>
    <row r="87" spans="2:10">
      <c r="B87" s="1368" t="s">
        <v>1044</v>
      </c>
      <c r="C87" s="1411">
        <f>C86/10</f>
        <v>7.9999999999999988E-2</v>
      </c>
      <c r="D87" s="1393"/>
    </row>
    <row r="88" spans="2:10" ht="13.5" thickBot="1">
      <c r="B88" s="1370"/>
      <c r="C88" s="1371"/>
      <c r="D88" s="1394"/>
    </row>
    <row r="91" spans="2:10" ht="13.5" thickBot="1">
      <c r="B91" s="70" t="s">
        <v>1057</v>
      </c>
      <c r="G91" s="70" t="s">
        <v>1069</v>
      </c>
    </row>
    <row r="92" spans="2:10" ht="13.5" thickBot="1">
      <c r="B92" s="1363" t="s">
        <v>1039</v>
      </c>
      <c r="C92" s="1364"/>
      <c r="D92" s="1388"/>
      <c r="E92" s="70" t="s">
        <v>1055</v>
      </c>
      <c r="G92" s="1363" t="s">
        <v>1039</v>
      </c>
      <c r="H92" s="1364"/>
      <c r="I92" s="1388"/>
      <c r="J92" s="70" t="s">
        <v>1055</v>
      </c>
    </row>
    <row r="93" spans="2:10">
      <c r="B93" s="1365" t="s">
        <v>1053</v>
      </c>
      <c r="C93" s="1410">
        <f>C97/1.63</f>
        <v>33523548.809998233</v>
      </c>
      <c r="D93" s="1389"/>
      <c r="E93" s="1409" t="s">
        <v>287</v>
      </c>
      <c r="G93" s="1365" t="s">
        <v>1072</v>
      </c>
      <c r="H93" s="1410">
        <f>H97/1.63</f>
        <v>4718637.7626436148</v>
      </c>
      <c r="I93" s="1389"/>
      <c r="J93" s="1409" t="s">
        <v>287</v>
      </c>
    </row>
    <row r="94" spans="2:10" ht="15">
      <c r="B94" s="1366" t="s">
        <v>1054</v>
      </c>
      <c r="C94" s="1425">
        <f>SUMIFS(E42:AH42, E50:AH50, "&lt;=" &amp; VALUE(RIGHT(E93, LEN(E93)-FIND(" ", E93))))</f>
        <v>10702325.058783961</v>
      </c>
      <c r="D94" s="1390" t="s">
        <v>67</v>
      </c>
      <c r="G94" s="1366" t="s">
        <v>1073</v>
      </c>
      <c r="H94" s="1405">
        <f>SUMIFS(E43:AH43, E50:AH50, "&lt;=" &amp; VALUE(RIGHT(J93, LEN(J93)-FIND(" ", J93))))</f>
        <v>1888645.5986089348</v>
      </c>
      <c r="I94" s="1390" t="s">
        <v>67</v>
      </c>
    </row>
    <row r="95" spans="2:10">
      <c r="B95" s="1366" t="s">
        <v>1077</v>
      </c>
      <c r="C95" s="1413">
        <f>IF(GapCalc!D41*C42&lt; 0,0,GapCalc!D41*C42)</f>
        <v>6904305.7057053577</v>
      </c>
      <c r="D95" s="1390" t="s">
        <v>67</v>
      </c>
      <c r="G95" s="1366" t="s">
        <v>1078</v>
      </c>
      <c r="H95" s="1413">
        <f>IF(GapCalc!D41*C43&lt; 0,0,GapCalc!D41*C43)</f>
        <v>1218406.8892421222</v>
      </c>
      <c r="I95" s="1390" t="s">
        <v>67</v>
      </c>
    </row>
    <row r="96" spans="2:10">
      <c r="B96" s="1366" t="s">
        <v>1058</v>
      </c>
      <c r="C96" s="1413">
        <f>'Debt Calc'!H60</f>
        <v>37036753.795807794</v>
      </c>
      <c r="D96" s="1391">
        <v>0.9</v>
      </c>
      <c r="G96" s="1366" t="s">
        <v>1074</v>
      </c>
      <c r="H96" s="1413">
        <f>'Debt Calc'!E59*C43</f>
        <v>4584327.0652580345</v>
      </c>
      <c r="I96" s="1391">
        <v>0.9</v>
      </c>
    </row>
    <row r="97" spans="2:9">
      <c r="B97" s="1368" t="s">
        <v>1041</v>
      </c>
      <c r="C97" s="1422">
        <f>C94+C95+C96</f>
        <v>54643384.560297117</v>
      </c>
      <c r="D97" s="1390" t="s">
        <v>67</v>
      </c>
      <c r="G97" s="1368" t="s">
        <v>1041</v>
      </c>
      <c r="H97" s="1422">
        <f>H94+H95+H96</f>
        <v>7691379.5531090917</v>
      </c>
      <c r="I97" s="1390" t="s">
        <v>67</v>
      </c>
    </row>
    <row r="98" spans="2:9">
      <c r="B98" s="1368" t="s">
        <v>1042</v>
      </c>
      <c r="C98" s="1416">
        <f>C97/C93</f>
        <v>1.63</v>
      </c>
      <c r="D98" s="1392"/>
      <c r="G98" s="1368" t="s">
        <v>1042</v>
      </c>
      <c r="H98" s="1416">
        <f>H97/H93</f>
        <v>1.63</v>
      </c>
      <c r="I98" s="1392"/>
    </row>
    <row r="99" spans="2:9">
      <c r="B99" s="1366" t="s">
        <v>1043</v>
      </c>
      <c r="C99" s="1369">
        <f>(C97-C93)/C93</f>
        <v>0.62999999999999989</v>
      </c>
      <c r="D99" s="1393"/>
      <c r="G99" s="1366" t="s">
        <v>1043</v>
      </c>
      <c r="H99" s="1369">
        <f>(H97-H93)/H93</f>
        <v>0.62999999999999989</v>
      </c>
      <c r="I99" s="1393"/>
    </row>
    <row r="100" spans="2:9">
      <c r="B100" s="1368" t="s">
        <v>1044</v>
      </c>
      <c r="C100" s="1411">
        <f>C99/7</f>
        <v>8.9999999999999983E-2</v>
      </c>
      <c r="D100" s="1393"/>
      <c r="G100" s="1368" t="s">
        <v>1044</v>
      </c>
      <c r="H100" s="1411">
        <f>H99/7</f>
        <v>8.9999999999999983E-2</v>
      </c>
      <c r="I100" s="1393"/>
    </row>
    <row r="101" spans="2:9" ht="13.5" thickBot="1">
      <c r="B101" s="1423" t="s">
        <v>1079</v>
      </c>
      <c r="C101" s="1426">
        <f>GapCalc!H33</f>
        <v>23966600.000000004</v>
      </c>
      <c r="D101" s="1394"/>
      <c r="G101" s="1423" t="s">
        <v>1081</v>
      </c>
      <c r="H101" s="1426">
        <f>GapCalc!H32</f>
        <v>4229400.0000000009</v>
      </c>
      <c r="I101" s="1394"/>
    </row>
    <row r="102" spans="2:9">
      <c r="B102" s="70" t="s">
        <v>1080</v>
      </c>
      <c r="C102" s="1424">
        <f>(C97-C101)/C101</f>
        <v>1.2799806631018629</v>
      </c>
      <c r="G102" s="70" t="s">
        <v>1080</v>
      </c>
      <c r="H102" s="1424">
        <f>(H97-H101)/H101</f>
        <v>0.81855098905496992</v>
      </c>
    </row>
    <row r="103" spans="2:9">
      <c r="B103" s="70" t="s">
        <v>1044</v>
      </c>
      <c r="C103" s="1424">
        <f>C102/10</f>
        <v>0.12799806631018629</v>
      </c>
      <c r="G103" s="70" t="s">
        <v>1044</v>
      </c>
      <c r="H103" s="1424">
        <f>H102/10</f>
        <v>8.1855098905496998E-2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45"/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6"/>
      <c r="N1" s="846"/>
      <c r="O1" s="845"/>
      <c r="P1" s="845"/>
      <c r="Q1" s="845"/>
      <c r="R1" s="845"/>
    </row>
    <row r="2" spans="1:18">
      <c r="A2" s="847"/>
      <c r="B2" s="847"/>
      <c r="C2" s="847"/>
      <c r="D2" s="847"/>
      <c r="E2" s="847"/>
      <c r="F2" s="847"/>
      <c r="G2" s="847"/>
      <c r="H2" s="847"/>
      <c r="I2" s="847"/>
      <c r="J2" s="848"/>
      <c r="K2" s="845"/>
      <c r="L2" s="845"/>
      <c r="M2" s="846"/>
      <c r="N2" s="846"/>
      <c r="O2" s="845"/>
      <c r="P2" s="845"/>
      <c r="Q2" s="845"/>
      <c r="R2" s="845"/>
    </row>
    <row r="3" spans="1:18">
      <c r="A3" s="849" t="str">
        <f>GapCalc!A1</f>
        <v>Generic Template Non-LIHTC</v>
      </c>
      <c r="B3" s="850"/>
      <c r="C3" s="850"/>
      <c r="D3" s="851"/>
      <c r="E3" s="851"/>
      <c r="F3" s="851"/>
      <c r="G3" s="851"/>
      <c r="H3" s="851"/>
      <c r="I3" s="851"/>
      <c r="J3" s="852"/>
      <c r="K3" s="853"/>
      <c r="L3" s="854"/>
      <c r="M3" s="846"/>
      <c r="N3" s="846"/>
      <c r="O3" s="845"/>
      <c r="P3" s="845"/>
      <c r="Q3" s="845"/>
      <c r="R3" s="845"/>
    </row>
    <row r="4" spans="1:18">
      <c r="A4" s="855" t="s">
        <v>649</v>
      </c>
      <c r="B4" s="851"/>
      <c r="C4" s="851"/>
      <c r="D4" s="851"/>
      <c r="E4" s="851"/>
      <c r="F4" s="851"/>
      <c r="G4" s="851"/>
      <c r="H4" s="851"/>
      <c r="I4" s="851"/>
      <c r="J4" s="852"/>
      <c r="K4" s="845"/>
      <c r="L4" s="845"/>
      <c r="M4" s="846"/>
      <c r="N4" s="846"/>
      <c r="O4" s="845"/>
      <c r="P4" s="845"/>
      <c r="Q4" s="845"/>
      <c r="R4" s="845"/>
    </row>
    <row r="5" spans="1:18">
      <c r="A5" s="856"/>
      <c r="B5" s="856"/>
      <c r="C5" s="856"/>
      <c r="D5" s="856"/>
      <c r="E5" s="856"/>
      <c r="F5" s="856"/>
      <c r="G5" s="856"/>
      <c r="H5" s="856"/>
      <c r="I5" s="856"/>
      <c r="J5" s="857"/>
      <c r="K5" s="845"/>
      <c r="L5" s="845"/>
      <c r="M5" s="846"/>
      <c r="N5" s="846"/>
      <c r="O5" s="845"/>
      <c r="P5" s="845"/>
      <c r="Q5" s="845"/>
      <c r="R5" s="845"/>
    </row>
    <row r="6" spans="1:18">
      <c r="A6" s="858"/>
      <c r="B6" s="845"/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6"/>
      <c r="N6" s="846"/>
      <c r="O6" s="845"/>
      <c r="P6" s="845"/>
      <c r="Q6" s="845"/>
      <c r="R6" s="845"/>
    </row>
    <row r="7" spans="1:18">
      <c r="A7" s="859"/>
      <c r="B7" s="859"/>
      <c r="C7" s="859"/>
      <c r="D7" s="859"/>
      <c r="E7" s="859"/>
      <c r="F7" s="859"/>
      <c r="G7" s="859"/>
      <c r="H7" s="859"/>
      <c r="I7" s="859"/>
      <c r="J7" s="859"/>
      <c r="K7" s="845"/>
      <c r="L7" s="845"/>
      <c r="M7" s="846"/>
      <c r="N7" s="846"/>
      <c r="O7" s="845"/>
      <c r="P7" s="845"/>
      <c r="Q7" s="845"/>
      <c r="R7" s="845"/>
    </row>
    <row r="8" spans="1:18">
      <c r="A8" s="860" t="s">
        <v>650</v>
      </c>
      <c r="B8" s="859"/>
      <c r="C8" s="859"/>
      <c r="D8" s="859"/>
      <c r="E8" s="859"/>
      <c r="F8" s="859"/>
      <c r="G8" s="859"/>
      <c r="H8" s="859"/>
      <c r="I8" s="859"/>
      <c r="J8" s="859"/>
      <c r="K8" s="845"/>
      <c r="L8" s="845"/>
      <c r="M8" s="846"/>
      <c r="N8" s="846"/>
      <c r="O8" s="845"/>
      <c r="P8" s="845"/>
      <c r="Q8" s="845"/>
      <c r="R8" s="845"/>
    </row>
    <row r="9" spans="1:18">
      <c r="A9" s="861"/>
      <c r="B9" s="859"/>
      <c r="C9" s="859"/>
      <c r="D9" s="859"/>
      <c r="E9" s="859"/>
      <c r="F9" s="859"/>
      <c r="G9" s="859"/>
      <c r="H9" s="859"/>
      <c r="I9" s="859"/>
      <c r="J9" s="859"/>
      <c r="K9" s="845"/>
      <c r="L9" s="845"/>
      <c r="M9" s="846"/>
      <c r="N9" s="846"/>
      <c r="O9" s="845"/>
      <c r="P9" s="845"/>
      <c r="Q9" s="845"/>
      <c r="R9" s="845"/>
    </row>
    <row r="10" spans="1:18">
      <c r="A10" s="858" t="s">
        <v>651</v>
      </c>
      <c r="B10" s="845"/>
      <c r="C10" s="845"/>
      <c r="D10" s="845"/>
      <c r="E10" s="1395"/>
      <c r="F10" s="845"/>
      <c r="G10" s="934"/>
      <c r="H10" s="862"/>
      <c r="I10" s="1396"/>
      <c r="J10" s="845"/>
      <c r="K10" s="845"/>
      <c r="L10" s="863"/>
      <c r="M10" s="863"/>
      <c r="N10" s="863"/>
      <c r="O10" s="845"/>
      <c r="P10" s="845"/>
      <c r="Q10" s="845"/>
      <c r="R10" s="845"/>
    </row>
    <row r="11" spans="1:18">
      <c r="A11" s="845"/>
      <c r="B11" s="864" t="s">
        <v>652</v>
      </c>
      <c r="C11" s="865">
        <f>'Rental Income'!E17</f>
        <v>123620</v>
      </c>
      <c r="D11" s="866"/>
      <c r="E11" s="858"/>
      <c r="F11" s="845"/>
      <c r="G11" s="865"/>
      <c r="H11" s="845"/>
      <c r="I11" s="845"/>
      <c r="J11" s="845"/>
      <c r="K11" s="845"/>
      <c r="L11" s="846"/>
      <c r="M11" s="867"/>
      <c r="N11" s="868"/>
      <c r="O11" s="845"/>
      <c r="P11" s="845"/>
      <c r="Q11" s="869"/>
      <c r="R11" s="870"/>
    </row>
    <row r="12" spans="1:18">
      <c r="A12" s="845"/>
      <c r="B12" s="864" t="s">
        <v>653</v>
      </c>
      <c r="C12" s="871"/>
      <c r="D12" s="872"/>
      <c r="E12" s="845"/>
      <c r="F12" s="845"/>
      <c r="G12" s="1397"/>
      <c r="H12" s="845"/>
      <c r="I12" s="845"/>
      <c r="J12" s="845"/>
      <c r="K12" s="845"/>
      <c r="L12" s="846"/>
      <c r="M12" s="867"/>
      <c r="N12" s="868"/>
      <c r="O12" s="845"/>
      <c r="P12" s="845"/>
      <c r="Q12" s="869"/>
      <c r="R12" s="870"/>
    </row>
    <row r="13" spans="1:18">
      <c r="A13" s="845"/>
      <c r="B13" s="864" t="s">
        <v>654</v>
      </c>
      <c r="C13" s="865">
        <f>SUM(C11:C12)*D13</f>
        <v>24724</v>
      </c>
      <c r="D13" s="873">
        <v>0.2</v>
      </c>
      <c r="E13" s="874"/>
      <c r="F13" s="864"/>
      <c r="G13" s="845"/>
      <c r="H13" s="862"/>
      <c r="I13" s="864"/>
      <c r="J13" s="845"/>
      <c r="K13" s="845"/>
      <c r="L13" s="846"/>
      <c r="M13" s="867"/>
      <c r="N13" s="868"/>
      <c r="O13" s="845"/>
      <c r="P13" s="845"/>
      <c r="Q13" s="869"/>
      <c r="R13" s="870"/>
    </row>
    <row r="14" spans="1:18">
      <c r="A14" s="845"/>
      <c r="B14" s="875" t="s">
        <v>655</v>
      </c>
      <c r="C14" s="876">
        <f>SUM(C11:C13)</f>
        <v>148344</v>
      </c>
      <c r="D14" s="874"/>
      <c r="E14" s="845"/>
      <c r="F14" s="845"/>
      <c r="G14" s="845"/>
      <c r="H14" s="862"/>
      <c r="I14" s="1398"/>
      <c r="J14" s="845"/>
      <c r="K14" s="845"/>
      <c r="L14" s="846"/>
      <c r="M14" s="867"/>
      <c r="N14" s="868"/>
      <c r="O14" s="845"/>
      <c r="P14" s="845"/>
      <c r="Q14" s="845"/>
      <c r="R14" s="845"/>
    </row>
    <row r="15" spans="1:18">
      <c r="A15" s="845"/>
      <c r="B15" s="888"/>
      <c r="C15" s="877">
        <v>0</v>
      </c>
      <c r="D15" s="845"/>
      <c r="E15" s="845"/>
      <c r="F15" s="878"/>
      <c r="G15" s="879"/>
      <c r="H15" s="862"/>
      <c r="I15" s="864"/>
      <c r="J15" s="845"/>
      <c r="K15" s="845"/>
      <c r="L15" s="846"/>
      <c r="M15" s="867"/>
      <c r="N15" s="868"/>
      <c r="O15" s="845"/>
      <c r="P15" s="845"/>
      <c r="Q15" s="845"/>
      <c r="R15" s="845"/>
    </row>
    <row r="16" spans="1:18">
      <c r="A16" s="845"/>
      <c r="B16" s="864"/>
      <c r="C16" s="877">
        <v>0</v>
      </c>
      <c r="D16" s="845"/>
      <c r="E16" s="845"/>
      <c r="F16" s="845"/>
      <c r="G16" s="845"/>
      <c r="H16" s="845"/>
      <c r="I16" s="845"/>
      <c r="J16" s="845"/>
      <c r="K16" s="845"/>
      <c r="L16" s="863"/>
      <c r="M16" s="880"/>
      <c r="N16" s="881"/>
      <c r="O16" s="845"/>
      <c r="P16" s="845"/>
      <c r="Q16" s="1602"/>
      <c r="R16" s="1602"/>
    </row>
    <row r="17" spans="1:18">
      <c r="A17" s="845"/>
      <c r="B17" s="845"/>
      <c r="C17" s="882">
        <v>0</v>
      </c>
      <c r="D17" s="845"/>
      <c r="E17" s="845"/>
      <c r="F17" s="879"/>
      <c r="G17" s="879"/>
      <c r="H17" s="862"/>
      <c r="I17" s="1399"/>
      <c r="J17" s="845"/>
      <c r="K17" s="845"/>
      <c r="L17" s="1603"/>
      <c r="M17" s="867"/>
      <c r="N17" s="845"/>
      <c r="O17" s="874"/>
      <c r="P17" s="845"/>
      <c r="Q17" s="869"/>
      <c r="R17" s="870"/>
    </row>
    <row r="18" spans="1:18">
      <c r="A18" s="845"/>
      <c r="B18" s="883" t="s">
        <v>656</v>
      </c>
      <c r="C18" s="884">
        <f>SUM(C15:C17)</f>
        <v>0</v>
      </c>
      <c r="D18" s="845"/>
      <c r="E18" s="845"/>
      <c r="F18" s="845"/>
      <c r="G18" s="845"/>
      <c r="H18" s="862"/>
      <c r="I18" s="1396"/>
      <c r="J18" s="845"/>
      <c r="K18" s="845"/>
      <c r="L18" s="1604"/>
      <c r="M18" s="885"/>
      <c r="N18" s="845"/>
      <c r="O18" s="910"/>
      <c r="P18" s="845"/>
      <c r="Q18" s="869"/>
      <c r="R18" s="870"/>
    </row>
    <row r="19" spans="1:18">
      <c r="A19" s="845"/>
      <c r="B19" s="878" t="s">
        <v>657</v>
      </c>
      <c r="C19" s="887">
        <f>SUM(C14:C16)</f>
        <v>148344</v>
      </c>
      <c r="D19" s="845"/>
      <c r="E19" s="845"/>
      <c r="F19" s="845"/>
      <c r="G19" s="845"/>
      <c r="H19" s="862"/>
      <c r="I19" s="1400"/>
      <c r="J19" s="845"/>
      <c r="K19" s="845"/>
      <c r="L19" s="845"/>
      <c r="M19" s="846"/>
      <c r="N19" s="846"/>
      <c r="O19" s="910"/>
      <c r="P19" s="845"/>
      <c r="Q19" s="869"/>
      <c r="R19" s="870"/>
    </row>
    <row r="20" spans="1:18">
      <c r="A20" s="845"/>
      <c r="B20" s="878"/>
      <c r="C20" s="887"/>
      <c r="D20" s="845"/>
      <c r="E20" s="845"/>
      <c r="F20" s="845"/>
      <c r="G20" s="845"/>
      <c r="H20" s="862"/>
      <c r="I20" s="888"/>
      <c r="J20" s="845"/>
      <c r="K20" s="845"/>
      <c r="L20" s="845"/>
      <c r="M20" s="846"/>
      <c r="N20" s="846"/>
      <c r="O20" s="886"/>
      <c r="P20" s="845"/>
      <c r="Q20" s="869"/>
      <c r="R20" s="870"/>
    </row>
    <row r="21" spans="1:18">
      <c r="A21" s="845"/>
      <c r="B21" s="878" t="s">
        <v>658</v>
      </c>
      <c r="C21" s="889">
        <f>C14/C19</f>
        <v>1</v>
      </c>
      <c r="D21" s="845"/>
      <c r="E21" s="845"/>
      <c r="F21" s="845"/>
      <c r="G21" s="845"/>
      <c r="H21" s="845"/>
      <c r="I21" s="864"/>
      <c r="J21" s="845"/>
      <c r="K21" s="845"/>
      <c r="L21" s="845"/>
      <c r="M21" s="846"/>
      <c r="N21" s="846"/>
      <c r="O21" s="886"/>
      <c r="P21" s="845"/>
      <c r="Q21" s="869"/>
      <c r="R21" s="870"/>
    </row>
    <row r="22" spans="1:18">
      <c r="A22" s="845"/>
      <c r="B22" s="878" t="s">
        <v>659</v>
      </c>
      <c r="C22" s="889">
        <f>1-C21</f>
        <v>0</v>
      </c>
      <c r="D22" s="890"/>
      <c r="E22" s="845"/>
      <c r="F22" s="845"/>
      <c r="G22" s="845"/>
      <c r="H22" s="862"/>
      <c r="I22" s="888"/>
      <c r="J22" s="845"/>
      <c r="K22" s="845"/>
      <c r="L22" s="845"/>
      <c r="M22" s="846"/>
      <c r="N22" s="846"/>
      <c r="O22" s="886"/>
      <c r="P22" s="845"/>
      <c r="Q22" s="869"/>
      <c r="R22" s="870"/>
    </row>
    <row r="23" spans="1:18">
      <c r="A23" s="845"/>
      <c r="B23" s="878"/>
      <c r="C23" s="887"/>
      <c r="D23" s="845"/>
      <c r="E23" s="845"/>
      <c r="F23" s="845"/>
      <c r="G23" s="845"/>
      <c r="H23" s="862"/>
      <c r="I23" s="888"/>
      <c r="J23" s="845"/>
      <c r="K23" s="845"/>
      <c r="L23" s="845"/>
      <c r="M23" s="846"/>
      <c r="N23" s="846"/>
      <c r="O23" s="886"/>
      <c r="P23" s="845"/>
      <c r="Q23" s="869"/>
      <c r="R23" s="870"/>
    </row>
    <row r="24" spans="1:18">
      <c r="A24" s="858" t="s">
        <v>660</v>
      </c>
      <c r="B24" s="878"/>
      <c r="C24" s="887"/>
      <c r="D24" s="845"/>
      <c r="E24" s="858"/>
      <c r="F24" s="845"/>
      <c r="G24" s="845"/>
      <c r="H24" s="862"/>
      <c r="I24" s="888"/>
      <c r="J24" s="845"/>
      <c r="K24" s="845"/>
      <c r="L24" s="845"/>
      <c r="M24" s="846"/>
      <c r="N24" s="846"/>
      <c r="O24" s="886"/>
      <c r="P24" s="845"/>
      <c r="Q24" s="869"/>
      <c r="R24" s="870"/>
    </row>
    <row r="25" spans="1:18">
      <c r="A25" s="845"/>
      <c r="B25" s="878" t="s">
        <v>652</v>
      </c>
      <c r="C25" s="891">
        <v>0</v>
      </c>
      <c r="D25" s="845"/>
      <c r="E25" s="858"/>
      <c r="F25" s="845"/>
      <c r="G25" s="910"/>
      <c r="H25" s="862"/>
      <c r="I25" s="888"/>
      <c r="J25" s="845"/>
      <c r="K25" s="845"/>
      <c r="L25" s="845"/>
      <c r="M25" s="846"/>
      <c r="N25" s="846"/>
      <c r="O25" s="886"/>
      <c r="P25" s="845"/>
      <c r="Q25" s="869"/>
      <c r="R25" s="870"/>
    </row>
    <row r="26" spans="1:18">
      <c r="A26" s="845"/>
      <c r="B26" s="878" t="s">
        <v>654</v>
      </c>
      <c r="C26" s="891">
        <v>0</v>
      </c>
      <c r="D26" s="845"/>
      <c r="E26" s="858"/>
      <c r="F26" s="845"/>
      <c r="G26" s="845"/>
      <c r="H26" s="862"/>
      <c r="I26" s="888"/>
      <c r="J26" s="845"/>
      <c r="K26" s="845"/>
      <c r="L26" s="845"/>
      <c r="M26" s="846"/>
      <c r="N26" s="846"/>
      <c r="O26" s="886"/>
      <c r="P26" s="845"/>
      <c r="Q26" s="869"/>
      <c r="R26" s="870"/>
    </row>
    <row r="27" spans="1:18">
      <c r="A27" s="845"/>
      <c r="B27" s="878" t="s">
        <v>661</v>
      </c>
      <c r="C27" s="891">
        <v>0</v>
      </c>
      <c r="D27" s="845"/>
      <c r="E27" s="858"/>
      <c r="F27" s="845"/>
      <c r="G27" s="845"/>
      <c r="H27" s="862"/>
      <c r="I27" s="888"/>
      <c r="J27" s="845"/>
      <c r="K27" s="845"/>
      <c r="L27" s="845"/>
      <c r="M27" s="846"/>
      <c r="N27" s="846"/>
      <c r="O27" s="886"/>
      <c r="P27" s="845"/>
      <c r="Q27" s="869"/>
      <c r="R27" s="870"/>
    </row>
    <row r="28" spans="1:18">
      <c r="A28" s="845"/>
      <c r="B28" s="883" t="s">
        <v>655</v>
      </c>
      <c r="C28" s="892">
        <f>SUM(C25:C27)</f>
        <v>0</v>
      </c>
      <c r="D28" s="845"/>
      <c r="E28" s="845"/>
      <c r="F28" s="845"/>
      <c r="G28" s="845"/>
      <c r="H28" s="862"/>
      <c r="I28" s="888"/>
      <c r="J28" s="845"/>
      <c r="K28" s="845"/>
      <c r="L28" s="845"/>
      <c r="M28" s="846"/>
      <c r="N28" s="846"/>
      <c r="O28" s="886"/>
      <c r="P28" s="845"/>
      <c r="Q28" s="869"/>
      <c r="R28" s="870"/>
    </row>
    <row r="29" spans="1:18">
      <c r="A29" s="845"/>
      <c r="B29" s="878" t="s">
        <v>662</v>
      </c>
      <c r="C29" s="891">
        <v>0</v>
      </c>
      <c r="D29" s="845"/>
      <c r="E29" s="845"/>
      <c r="F29" s="845"/>
      <c r="G29" s="845"/>
      <c r="H29" s="862"/>
      <c r="I29" s="888"/>
      <c r="J29" s="845"/>
      <c r="K29" s="845"/>
      <c r="L29" s="845"/>
      <c r="M29" s="846"/>
      <c r="N29" s="846"/>
      <c r="O29" s="886"/>
      <c r="P29" s="845"/>
      <c r="Q29" s="869"/>
      <c r="R29" s="870"/>
    </row>
    <row r="30" spans="1:18">
      <c r="A30" s="845"/>
      <c r="B30" s="878" t="s">
        <v>663</v>
      </c>
      <c r="C30" s="891">
        <v>0</v>
      </c>
      <c r="D30" s="845"/>
      <c r="E30" s="845"/>
      <c r="F30" s="845"/>
      <c r="G30" s="845"/>
      <c r="H30" s="862"/>
      <c r="I30" s="888"/>
      <c r="J30" s="845"/>
      <c r="K30" s="845"/>
      <c r="L30" s="845"/>
      <c r="M30" s="846"/>
      <c r="N30" s="846"/>
      <c r="O30" s="886"/>
      <c r="P30" s="845"/>
      <c r="Q30" s="869"/>
      <c r="R30" s="870"/>
    </row>
    <row r="31" spans="1:18">
      <c r="A31" s="845"/>
      <c r="B31" s="883" t="s">
        <v>656</v>
      </c>
      <c r="C31" s="892">
        <f>SUM(C29:C30)</f>
        <v>0</v>
      </c>
      <c r="D31" s="845"/>
      <c r="E31" s="845"/>
      <c r="F31" s="845"/>
      <c r="G31" s="845"/>
      <c r="H31" s="862"/>
      <c r="I31" s="888"/>
      <c r="J31" s="845"/>
      <c r="K31" s="845"/>
      <c r="L31" s="845"/>
      <c r="M31" s="846"/>
      <c r="N31" s="846"/>
      <c r="O31" s="886"/>
      <c r="P31" s="845"/>
      <c r="Q31" s="869"/>
      <c r="R31" s="870"/>
    </row>
    <row r="32" spans="1:18">
      <c r="A32" s="845"/>
      <c r="B32" s="878" t="s">
        <v>657</v>
      </c>
      <c r="C32" s="887">
        <f>C28+C31</f>
        <v>0</v>
      </c>
      <c r="D32" s="845"/>
      <c r="E32" s="845"/>
      <c r="F32" s="845"/>
      <c r="G32" s="845"/>
      <c r="H32" s="862"/>
      <c r="I32" s="888"/>
      <c r="J32" s="845"/>
      <c r="K32" s="845"/>
      <c r="L32" s="845"/>
      <c r="M32" s="846"/>
      <c r="N32" s="846"/>
      <c r="O32" s="886"/>
      <c r="P32" s="845"/>
      <c r="Q32" s="869"/>
      <c r="R32" s="870"/>
    </row>
    <row r="33" spans="1:18">
      <c r="A33" s="845"/>
      <c r="B33" s="878"/>
      <c r="C33" s="887"/>
      <c r="D33" s="845"/>
      <c r="E33" s="845"/>
      <c r="F33" s="845"/>
      <c r="G33" s="845"/>
      <c r="H33" s="862"/>
      <c r="I33" s="888"/>
      <c r="J33" s="845"/>
      <c r="K33" s="845"/>
      <c r="L33" s="845"/>
      <c r="M33" s="846"/>
      <c r="N33" s="846"/>
      <c r="O33" s="886"/>
      <c r="P33" s="845"/>
      <c r="Q33" s="869"/>
      <c r="R33" s="870"/>
    </row>
    <row r="34" spans="1:18">
      <c r="A34" s="845"/>
      <c r="B34" s="893" t="s">
        <v>664</v>
      </c>
      <c r="C34" s="894">
        <f>C19+C32</f>
        <v>148344</v>
      </c>
      <c r="D34" s="845"/>
      <c r="E34" s="845"/>
      <c r="F34" s="845"/>
      <c r="G34" s="845"/>
      <c r="H34" s="862"/>
      <c r="I34" s="888"/>
      <c r="J34" s="845"/>
      <c r="K34" s="845"/>
      <c r="L34" s="845"/>
      <c r="M34" s="846"/>
      <c r="N34" s="846"/>
      <c r="O34" s="886"/>
      <c r="P34" s="845"/>
      <c r="Q34" s="869"/>
      <c r="R34" s="870"/>
    </row>
    <row r="35" spans="1:18">
      <c r="A35" s="845"/>
      <c r="B35" s="895" t="s">
        <v>665</v>
      </c>
      <c r="C35" s="896">
        <f>C19/C34</f>
        <v>1</v>
      </c>
      <c r="D35" s="845"/>
      <c r="E35" s="845"/>
      <c r="F35" s="845"/>
      <c r="G35" s="845"/>
      <c r="H35" s="862"/>
      <c r="I35" s="888"/>
      <c r="J35" s="845"/>
      <c r="K35" s="845"/>
      <c r="L35" s="845"/>
      <c r="M35" s="846"/>
      <c r="N35" s="846"/>
      <c r="O35" s="886"/>
      <c r="P35" s="845"/>
      <c r="Q35" s="869"/>
      <c r="R35" s="870"/>
    </row>
    <row r="36" spans="1:18">
      <c r="A36" s="845"/>
      <c r="B36" s="897" t="s">
        <v>666</v>
      </c>
      <c r="C36" s="896">
        <f>C32/C19</f>
        <v>0</v>
      </c>
      <c r="D36" s="845"/>
      <c r="E36" s="845"/>
      <c r="F36" s="845"/>
      <c r="G36" s="845"/>
      <c r="H36" s="862"/>
      <c r="I36" s="888"/>
      <c r="J36" s="845"/>
      <c r="K36" s="845"/>
      <c r="L36" s="845"/>
      <c r="M36" s="846"/>
      <c r="N36" s="846"/>
      <c r="O36" s="886"/>
      <c r="P36" s="845"/>
      <c r="Q36" s="869"/>
      <c r="R36" s="870"/>
    </row>
    <row r="37" spans="1:18">
      <c r="A37" s="845"/>
      <c r="B37" s="897"/>
      <c r="C37" s="898"/>
      <c r="D37" s="845"/>
      <c r="E37" s="845"/>
      <c r="F37" s="845"/>
      <c r="G37" s="845"/>
      <c r="H37" s="862"/>
      <c r="I37" s="888"/>
      <c r="J37" s="845"/>
      <c r="K37" s="845"/>
      <c r="L37" s="845"/>
      <c r="M37" s="846"/>
      <c r="N37" s="846"/>
      <c r="O37" s="886"/>
      <c r="P37" s="845"/>
      <c r="Q37" s="869"/>
      <c r="R37" s="870"/>
    </row>
    <row r="38" spans="1:18">
      <c r="A38" s="845"/>
      <c r="B38" s="897" t="s">
        <v>667</v>
      </c>
      <c r="C38" s="899" t="s">
        <v>668</v>
      </c>
      <c r="D38" s="845"/>
      <c r="E38" s="845"/>
      <c r="F38" s="845"/>
      <c r="G38" s="845"/>
      <c r="H38" s="862"/>
      <c r="I38" s="888"/>
      <c r="J38" s="845"/>
      <c r="K38" s="845"/>
      <c r="L38" s="845"/>
      <c r="M38" s="846"/>
      <c r="N38" s="846"/>
      <c r="O38" s="886"/>
      <c r="P38" s="845"/>
      <c r="Q38" s="869"/>
      <c r="R38" s="870"/>
    </row>
    <row r="39" spans="1:18">
      <c r="A39" s="845"/>
      <c r="B39" s="897" t="s">
        <v>669</v>
      </c>
      <c r="C39" s="896">
        <f>C14/C19</f>
        <v>1</v>
      </c>
      <c r="D39" s="845"/>
      <c r="E39" s="845"/>
      <c r="F39" s="845"/>
      <c r="G39" s="845"/>
      <c r="H39" s="862"/>
      <c r="I39" s="874"/>
      <c r="J39" s="845"/>
      <c r="K39" s="845"/>
      <c r="L39" s="845"/>
      <c r="M39" s="846"/>
      <c r="N39" s="846"/>
      <c r="O39" s="886"/>
      <c r="P39" s="845"/>
      <c r="Q39" s="869"/>
      <c r="R39" s="870"/>
    </row>
    <row r="40" spans="1:18">
      <c r="A40" s="845"/>
      <c r="B40" s="900" t="s">
        <v>605</v>
      </c>
      <c r="C40" s="901">
        <f>1-C39</f>
        <v>0</v>
      </c>
      <c r="D40" s="845"/>
      <c r="E40" s="845"/>
      <c r="F40" s="845"/>
      <c r="G40" s="845"/>
      <c r="H40" s="862"/>
      <c r="I40" s="874"/>
      <c r="J40" s="845"/>
      <c r="K40" s="845"/>
      <c r="L40" s="845"/>
      <c r="M40" s="846"/>
      <c r="N40" s="846"/>
      <c r="O40" s="886"/>
      <c r="P40" s="845"/>
      <c r="Q40" s="869"/>
      <c r="R40" s="870"/>
    </row>
    <row r="41" spans="1:18">
      <c r="A41" s="859"/>
      <c r="B41" s="859"/>
      <c r="C41" s="859"/>
      <c r="D41" s="859"/>
      <c r="E41" s="859"/>
      <c r="F41" s="859"/>
      <c r="G41" s="859"/>
      <c r="H41" s="859"/>
      <c r="I41" s="859"/>
      <c r="J41" s="859"/>
      <c r="K41" s="845"/>
      <c r="L41" s="845"/>
      <c r="M41" s="846"/>
      <c r="N41" s="846"/>
      <c r="O41" s="845"/>
      <c r="P41" s="845"/>
      <c r="Q41" s="845"/>
      <c r="R41" s="870"/>
    </row>
    <row r="42" spans="1:18">
      <c r="A42" s="860" t="s">
        <v>670</v>
      </c>
      <c r="B42" s="859"/>
      <c r="C42" s="859"/>
      <c r="D42" s="859"/>
      <c r="E42" s="859"/>
      <c r="F42" s="859"/>
      <c r="G42" s="859"/>
      <c r="H42" s="859"/>
      <c r="I42" s="859"/>
      <c r="J42" s="859"/>
      <c r="K42" s="845"/>
      <c r="L42" s="845"/>
      <c r="M42" s="846"/>
      <c r="N42" s="846"/>
      <c r="O42" s="845"/>
      <c r="P42" s="845"/>
      <c r="Q42" s="845"/>
    </row>
    <row r="43" spans="1:18">
      <c r="A43" s="859"/>
      <c r="B43" s="859"/>
      <c r="C43" s="859"/>
      <c r="D43" s="859"/>
      <c r="E43" s="859"/>
      <c r="F43" s="859"/>
      <c r="G43" s="859"/>
      <c r="H43" s="859"/>
      <c r="I43" s="859"/>
      <c r="J43" s="859"/>
      <c r="K43" s="845"/>
      <c r="L43" s="845"/>
      <c r="M43" s="846"/>
      <c r="N43" s="846"/>
      <c r="O43" s="845"/>
      <c r="P43" s="845"/>
      <c r="Q43" s="845"/>
    </row>
    <row r="44" spans="1:18">
      <c r="A44" s="845"/>
      <c r="B44" s="845"/>
      <c r="C44" s="845"/>
      <c r="D44" s="845"/>
      <c r="E44" s="845"/>
      <c r="F44" s="845"/>
      <c r="G44" s="845"/>
      <c r="H44" s="845"/>
      <c r="I44" s="845"/>
      <c r="J44" s="845"/>
      <c r="K44" s="845"/>
      <c r="L44" s="845"/>
      <c r="M44" s="846"/>
      <c r="N44" s="846"/>
      <c r="O44" s="845"/>
      <c r="P44" s="845"/>
      <c r="Q44" s="845"/>
    </row>
    <row r="45" spans="1:18">
      <c r="A45" s="902" t="s">
        <v>429</v>
      </c>
      <c r="B45" s="903"/>
      <c r="C45" s="903"/>
      <c r="D45" s="903"/>
      <c r="E45" s="903"/>
      <c r="F45" s="903"/>
      <c r="G45" s="903"/>
      <c r="H45" s="903"/>
      <c r="I45" s="903"/>
      <c r="J45" s="904"/>
      <c r="K45" s="845"/>
      <c r="L45" s="1238"/>
      <c r="M45" s="1238"/>
      <c r="N45" s="1238"/>
      <c r="O45" s="1238"/>
      <c r="P45" s="1238"/>
      <c r="Q45" s="845"/>
    </row>
    <row r="46" spans="1:18">
      <c r="A46" s="878" t="s">
        <v>671</v>
      </c>
      <c r="B46" s="845"/>
      <c r="C46" s="845"/>
      <c r="D46" s="845"/>
      <c r="E46" s="845" t="s">
        <v>672</v>
      </c>
      <c r="F46" s="905"/>
      <c r="G46" s="845"/>
      <c r="H46" s="845"/>
      <c r="I46" s="845"/>
      <c r="J46" s="845"/>
      <c r="K46" s="845"/>
      <c r="L46" s="1242" t="s">
        <v>969</v>
      </c>
      <c r="M46" s="1244">
        <f>'Rental Income'!D15</f>
        <v>152</v>
      </c>
      <c r="N46" s="1239"/>
      <c r="O46" s="1239"/>
      <c r="P46" s="1239"/>
      <c r="Q46" s="845"/>
    </row>
    <row r="47" spans="1:18">
      <c r="A47" s="879"/>
      <c r="B47" s="878" t="s">
        <v>673</v>
      </c>
      <c r="C47" s="906">
        <f>ROUNDDOWN(M46*M47,1)</f>
        <v>76</v>
      </c>
      <c r="D47" s="866"/>
      <c r="E47" s="907"/>
      <c r="F47" s="908"/>
      <c r="G47" s="863" t="s">
        <v>674</v>
      </c>
      <c r="H47" s="909" t="s">
        <v>675</v>
      </c>
      <c r="I47" s="863" t="s">
        <v>676</v>
      </c>
      <c r="J47" s="863" t="s">
        <v>677</v>
      </c>
      <c r="K47" s="845"/>
      <c r="L47" s="1243" t="s">
        <v>970</v>
      </c>
      <c r="M47" s="1245">
        <v>0.5</v>
      </c>
      <c r="N47" s="1240"/>
      <c r="O47" s="1241"/>
      <c r="P47" s="1240"/>
      <c r="Q47" s="910"/>
    </row>
    <row r="48" spans="1:18">
      <c r="A48" s="879"/>
      <c r="B48" s="911" t="s">
        <v>605</v>
      </c>
      <c r="C48" s="912">
        <f>P65</f>
        <v>0</v>
      </c>
      <c r="D48" s="866"/>
      <c r="E48" s="845" t="s">
        <v>678</v>
      </c>
      <c r="F48" s="845"/>
      <c r="G48" s="913">
        <v>90</v>
      </c>
      <c r="H48" s="874">
        <f>C52*D52</f>
        <v>0</v>
      </c>
      <c r="I48" s="874">
        <f>G48*H48</f>
        <v>0</v>
      </c>
      <c r="J48" s="914">
        <f>IFERROR(I48/C52,0)</f>
        <v>0</v>
      </c>
      <c r="K48" s="845"/>
      <c r="L48" s="1570"/>
      <c r="M48" s="846"/>
      <c r="N48" s="1571"/>
      <c r="O48" s="885"/>
      <c r="P48" s="1571"/>
      <c r="Q48" s="845"/>
    </row>
    <row r="49" spans="1:17">
      <c r="A49" s="879"/>
      <c r="B49" s="878" t="s">
        <v>679</v>
      </c>
      <c r="C49" s="906">
        <f>SUM(C47:C48)</f>
        <v>76</v>
      </c>
      <c r="D49" s="866"/>
      <c r="E49" s="845" t="s">
        <v>576</v>
      </c>
      <c r="F49" s="845"/>
      <c r="G49" s="913">
        <v>143</v>
      </c>
      <c r="H49" s="874">
        <f>C53*D53</f>
        <v>30199.769230769234</v>
      </c>
      <c r="I49" s="874">
        <f>G49*H49</f>
        <v>4318567.0000000009</v>
      </c>
      <c r="J49" s="915">
        <f>IFERROR(I49/C53,0)</f>
        <v>56823.250000000015</v>
      </c>
      <c r="K49" s="845"/>
      <c r="L49" s="1570"/>
      <c r="M49" s="846"/>
      <c r="N49" s="1571"/>
      <c r="O49" s="885"/>
      <c r="P49" s="1571"/>
      <c r="Q49" s="845"/>
    </row>
    <row r="50" spans="1:17">
      <c r="A50" s="845"/>
      <c r="B50" s="878"/>
      <c r="C50" s="870"/>
      <c r="D50" s="866"/>
      <c r="E50" s="907" t="s">
        <v>680</v>
      </c>
      <c r="F50" s="907"/>
      <c r="G50" s="916">
        <v>143</v>
      </c>
      <c r="H50" s="917">
        <f>C54*D54</f>
        <v>0</v>
      </c>
      <c r="I50" s="917">
        <f>G50*H50</f>
        <v>0</v>
      </c>
      <c r="J50" s="918">
        <f>IFERROR(I50/C54,0)</f>
        <v>0</v>
      </c>
      <c r="K50" s="845"/>
      <c r="L50" s="1570"/>
      <c r="M50" s="846"/>
      <c r="N50" s="1571"/>
      <c r="O50" s="885"/>
      <c r="P50" s="1571"/>
      <c r="Q50" s="845"/>
    </row>
    <row r="51" spans="1:17">
      <c r="A51" s="845"/>
      <c r="B51" s="907" t="s">
        <v>681</v>
      </c>
      <c r="C51" s="907"/>
      <c r="D51" s="908" t="s">
        <v>682</v>
      </c>
      <c r="E51" s="919" t="s">
        <v>59</v>
      </c>
      <c r="F51" s="919"/>
      <c r="G51" s="919"/>
      <c r="H51" s="920">
        <f>SUM(H48:H50)</f>
        <v>30199.769230769234</v>
      </c>
      <c r="I51" s="920">
        <f>SUM(I48:I50)</f>
        <v>4318567.0000000009</v>
      </c>
      <c r="J51" s="915"/>
      <c r="K51" s="845"/>
      <c r="L51" s="1570"/>
      <c r="M51" s="846"/>
      <c r="N51" s="1571"/>
      <c r="O51" s="885"/>
      <c r="P51" s="1571"/>
      <c r="Q51" s="845"/>
    </row>
    <row r="52" spans="1:17">
      <c r="A52" s="845"/>
      <c r="B52" s="845" t="s">
        <v>678</v>
      </c>
      <c r="C52" s="921">
        <v>0</v>
      </c>
      <c r="D52" s="922">
        <v>350</v>
      </c>
      <c r="E52" s="923"/>
      <c r="F52" s="845"/>
      <c r="G52" s="845"/>
      <c r="H52" s="845"/>
      <c r="I52" s="845"/>
      <c r="J52" s="874"/>
      <c r="K52" s="845"/>
      <c r="L52" s="1570"/>
      <c r="M52" s="1560"/>
      <c r="N52" s="1571"/>
      <c r="O52" s="885"/>
      <c r="P52" s="1571"/>
      <c r="Q52" s="845"/>
    </row>
    <row r="53" spans="1:17">
      <c r="A53" s="845"/>
      <c r="B53" s="845" t="s">
        <v>576</v>
      </c>
      <c r="C53" s="921">
        <v>76</v>
      </c>
      <c r="D53" s="922">
        <f>E53</f>
        <v>397.36538461538464</v>
      </c>
      <c r="E53" s="845">
        <f>36160.25/91</f>
        <v>397.36538461538464</v>
      </c>
      <c r="F53" s="845"/>
      <c r="G53" s="845"/>
      <c r="H53" s="869" t="s">
        <v>669</v>
      </c>
      <c r="I53" s="924">
        <f>I51/C49*C47</f>
        <v>4318567.0000000009</v>
      </c>
      <c r="J53" s="874"/>
      <c r="K53" s="845"/>
      <c r="L53" s="1570"/>
      <c r="M53" s="1560"/>
      <c r="N53" s="1571"/>
      <c r="O53" s="885"/>
      <c r="P53" s="1571"/>
      <c r="Q53" s="845"/>
    </row>
    <row r="54" spans="1:17">
      <c r="A54" s="845"/>
      <c r="B54" s="907" t="s">
        <v>680</v>
      </c>
      <c r="C54" s="925">
        <v>0</v>
      </c>
      <c r="D54" s="926">
        <v>425</v>
      </c>
      <c r="E54" s="845"/>
      <c r="F54" s="927"/>
      <c r="G54" s="845"/>
      <c r="H54" s="869" t="s">
        <v>683</v>
      </c>
      <c r="I54" s="927">
        <f>I51/C49*C48</f>
        <v>0</v>
      </c>
      <c r="J54" s="874"/>
      <c r="K54" s="845"/>
      <c r="L54" s="1570"/>
      <c r="M54" s="1571"/>
      <c r="N54" s="1571"/>
      <c r="O54" s="885"/>
      <c r="P54" s="1571"/>
      <c r="Q54" s="845"/>
    </row>
    <row r="55" spans="1:17">
      <c r="A55" s="928"/>
      <c r="B55" s="845" t="s">
        <v>679</v>
      </c>
      <c r="C55" s="870">
        <f>SUM(C52:C54)</f>
        <v>76</v>
      </c>
      <c r="D55" s="845"/>
      <c r="E55" s="845"/>
      <c r="F55" s="927"/>
      <c r="G55" s="845"/>
      <c r="H55" s="862" t="s">
        <v>684</v>
      </c>
      <c r="I55" s="929">
        <f>SUM(I53:I54)</f>
        <v>4318567.0000000009</v>
      </c>
      <c r="J55" s="845"/>
      <c r="K55" s="845"/>
      <c r="L55" s="1570"/>
      <c r="M55" s="1560"/>
      <c r="N55" s="1571"/>
      <c r="O55" s="885"/>
      <c r="P55" s="1571"/>
      <c r="Q55" s="845"/>
    </row>
    <row r="56" spans="1:17">
      <c r="A56" s="845"/>
      <c r="B56" s="930" t="s">
        <v>685</v>
      </c>
      <c r="C56" s="931">
        <f>C49-C55</f>
        <v>0</v>
      </c>
      <c r="D56" s="845"/>
      <c r="E56" s="845"/>
      <c r="F56" s="927"/>
      <c r="G56" s="845"/>
      <c r="H56" s="845"/>
      <c r="I56" s="874"/>
      <c r="J56" s="874"/>
      <c r="K56" s="845"/>
      <c r="L56" s="1570"/>
      <c r="M56" s="1560"/>
      <c r="N56" s="1571"/>
      <c r="O56" s="885"/>
      <c r="P56" s="1571"/>
      <c r="Q56" s="845"/>
    </row>
    <row r="57" spans="1:17">
      <c r="A57" s="932"/>
      <c r="B57" s="845"/>
      <c r="C57" s="845"/>
      <c r="D57" s="845"/>
      <c r="E57" s="845"/>
      <c r="F57" s="927"/>
      <c r="G57" s="845"/>
      <c r="H57" s="869"/>
      <c r="I57" s="933"/>
      <c r="J57" s="874"/>
      <c r="K57" s="845"/>
      <c r="L57" s="1570"/>
      <c r="M57" s="1560"/>
      <c r="N57" s="1571"/>
      <c r="O57" s="885"/>
      <c r="P57" s="1571"/>
      <c r="Q57" s="845"/>
    </row>
    <row r="58" spans="1:17">
      <c r="A58" s="1578" t="s">
        <v>686</v>
      </c>
      <c r="B58" s="1579"/>
      <c r="C58" s="1579"/>
      <c r="D58" s="1579"/>
      <c r="E58" s="1579"/>
      <c r="F58" s="1576"/>
      <c r="G58" s="1579"/>
      <c r="H58" s="1579"/>
      <c r="I58" s="1579"/>
      <c r="J58" s="1580"/>
      <c r="K58" s="1579"/>
      <c r="L58" s="1570"/>
      <c r="M58" s="846"/>
      <c r="N58" s="1571"/>
      <c r="O58" s="885"/>
      <c r="P58" s="1571"/>
      <c r="Q58" s="845"/>
    </row>
    <row r="59" spans="1:17">
      <c r="A59" s="1579" t="s">
        <v>687</v>
      </c>
      <c r="B59" s="1581"/>
      <c r="C59" s="1582"/>
      <c r="D59" s="1579"/>
      <c r="E59" s="1579"/>
      <c r="F59" s="1581"/>
      <c r="G59" s="1582"/>
      <c r="H59" s="1579"/>
      <c r="I59" s="1580"/>
      <c r="J59" s="1580"/>
      <c r="K59" s="1579"/>
      <c r="L59" s="1570"/>
      <c r="M59" s="846"/>
      <c r="N59" s="1571"/>
      <c r="O59" s="885"/>
      <c r="P59" s="1571"/>
      <c r="Q59" s="910"/>
    </row>
    <row r="60" spans="1:17">
      <c r="A60" s="1579"/>
      <c r="B60" s="1579" t="s">
        <v>688</v>
      </c>
      <c r="C60" s="1573">
        <v>33000</v>
      </c>
      <c r="D60" s="1579"/>
      <c r="E60" s="1579"/>
      <c r="F60" s="1579"/>
      <c r="G60" s="1579"/>
      <c r="H60" s="1573"/>
      <c r="I60" s="1583"/>
      <c r="J60" s="1580"/>
      <c r="K60" s="1579"/>
      <c r="L60" s="1570"/>
      <c r="M60" s="846"/>
      <c r="N60" s="1571"/>
      <c r="O60" s="885"/>
      <c r="P60" s="1571"/>
      <c r="Q60" s="910"/>
    </row>
    <row r="61" spans="1:17">
      <c r="A61" s="1579"/>
      <c r="B61" s="1579" t="s">
        <v>689</v>
      </c>
      <c r="C61" s="1574">
        <v>1</v>
      </c>
      <c r="D61" s="1579"/>
      <c r="E61" s="1579"/>
      <c r="F61" s="1581"/>
      <c r="G61" s="1579"/>
      <c r="H61" s="1575"/>
      <c r="I61" s="1580"/>
      <c r="J61" s="1584"/>
      <c r="K61" s="1579"/>
      <c r="L61" s="1570"/>
      <c r="M61" s="846"/>
      <c r="N61" s="1571"/>
      <c r="O61" s="885"/>
      <c r="P61" s="1571"/>
      <c r="Q61" s="845"/>
    </row>
    <row r="62" spans="1:17">
      <c r="A62" s="1579"/>
      <c r="B62" s="1579" t="s">
        <v>690</v>
      </c>
      <c r="C62" s="1576">
        <f>+C61*C60</f>
        <v>33000</v>
      </c>
      <c r="D62" s="1579"/>
      <c r="E62" s="1579"/>
      <c r="F62" s="1581"/>
      <c r="G62" s="1579"/>
      <c r="H62" s="1576"/>
      <c r="I62" s="1580"/>
      <c r="J62" s="1584"/>
      <c r="K62" s="1579"/>
      <c r="L62" s="864"/>
      <c r="M62" s="930"/>
      <c r="N62" s="1571"/>
      <c r="O62" s="869"/>
      <c r="P62" s="1571"/>
      <c r="Q62" s="845"/>
    </row>
    <row r="63" spans="1:17">
      <c r="A63" s="1579"/>
      <c r="B63" s="1576"/>
      <c r="C63" s="1579"/>
      <c r="D63" s="1579"/>
      <c r="E63" s="1585"/>
      <c r="F63" s="1579"/>
      <c r="G63" s="1579"/>
      <c r="H63" s="1579"/>
      <c r="I63" s="1579"/>
      <c r="J63" s="1579"/>
      <c r="K63" s="1579"/>
      <c r="L63" s="864"/>
      <c r="M63" s="846"/>
      <c r="N63" s="846"/>
      <c r="O63" s="869"/>
      <c r="P63" s="846"/>
      <c r="Q63" s="845"/>
    </row>
    <row r="64" spans="1:17">
      <c r="A64" s="1586" t="s">
        <v>692</v>
      </c>
      <c r="B64" s="1587"/>
      <c r="C64" s="1587"/>
      <c r="D64" s="1587"/>
      <c r="E64" s="1588"/>
      <c r="F64" s="1587"/>
      <c r="G64" s="1587"/>
      <c r="H64" s="1587"/>
      <c r="I64" s="1587"/>
      <c r="J64" s="1579"/>
      <c r="K64" s="1579"/>
      <c r="L64" s="864"/>
      <c r="M64" s="846"/>
      <c r="N64" s="1571"/>
      <c r="O64" s="869"/>
      <c r="P64" s="846"/>
      <c r="Q64" s="1572"/>
    </row>
    <row r="65" spans="1:17">
      <c r="A65" s="1579"/>
      <c r="B65" s="1589" t="s">
        <v>693</v>
      </c>
      <c r="C65" s="1587"/>
      <c r="D65" s="1587"/>
      <c r="E65" s="1579"/>
      <c r="F65" s="1589" t="s">
        <v>694</v>
      </c>
      <c r="G65" s="1587"/>
      <c r="H65" s="1587"/>
      <c r="I65" s="1587"/>
      <c r="J65" s="1579"/>
      <c r="K65" s="1579"/>
      <c r="L65" s="845"/>
      <c r="M65" s="846"/>
      <c r="N65" s="846"/>
      <c r="O65" s="869"/>
      <c r="P65" s="846"/>
      <c r="Q65" s="845"/>
    </row>
    <row r="66" spans="1:17">
      <c r="A66" s="1579"/>
      <c r="B66" s="1581" t="s">
        <v>695</v>
      </c>
      <c r="C66" s="1580">
        <f>2000+1000</f>
        <v>3000</v>
      </c>
      <c r="D66" s="1579"/>
      <c r="E66" s="1579"/>
      <c r="F66" s="1581" t="s">
        <v>696</v>
      </c>
      <c r="G66" s="1579"/>
      <c r="H66" s="1576">
        <v>0</v>
      </c>
      <c r="I66" s="1579">
        <v>3.5E-4</v>
      </c>
      <c r="J66" s="1579"/>
      <c r="K66" s="1579"/>
      <c r="L66" s="845"/>
      <c r="M66" s="846"/>
      <c r="N66" s="846"/>
      <c r="O66" s="869"/>
      <c r="P66" s="846"/>
      <c r="Q66" s="845"/>
    </row>
    <row r="67" spans="1:17">
      <c r="A67" s="1579"/>
      <c r="B67" s="1581" t="s">
        <v>697</v>
      </c>
      <c r="C67" s="1580">
        <v>0</v>
      </c>
      <c r="D67" s="1577">
        <v>0.04</v>
      </c>
      <c r="E67" s="1579"/>
      <c r="F67" s="1581" t="s">
        <v>698</v>
      </c>
      <c r="G67" s="1579"/>
      <c r="H67" s="1576">
        <v>0</v>
      </c>
      <c r="I67" s="1590">
        <v>5.0000000000000001E-3</v>
      </c>
      <c r="J67" s="1576"/>
      <c r="K67" s="1579"/>
      <c r="L67" s="845"/>
      <c r="M67" s="846"/>
      <c r="N67" s="846"/>
      <c r="O67" s="869"/>
      <c r="P67" s="845"/>
      <c r="Q67" s="845"/>
    </row>
    <row r="68" spans="1:17">
      <c r="A68" s="1579"/>
      <c r="B68" s="1581" t="s">
        <v>698</v>
      </c>
      <c r="C68" s="1580">
        <v>0</v>
      </c>
      <c r="D68" s="1577">
        <v>0.04</v>
      </c>
      <c r="E68" s="1579"/>
      <c r="F68" s="1579" t="s">
        <v>59</v>
      </c>
      <c r="G68" s="1579"/>
      <c r="H68" s="1580">
        <f>SUM(H66:H67)</f>
        <v>0</v>
      </c>
      <c r="I68" s="1579"/>
      <c r="J68" s="1579"/>
      <c r="K68" s="1579"/>
      <c r="L68" s="845"/>
      <c r="M68" s="846"/>
      <c r="N68" s="846"/>
      <c r="O68" s="845"/>
      <c r="P68" s="845"/>
      <c r="Q68" s="845"/>
    </row>
    <row r="69" spans="1:17">
      <c r="A69" s="1579"/>
      <c r="B69" s="1581" t="s">
        <v>699</v>
      </c>
      <c r="C69" s="1580">
        <v>5330</v>
      </c>
      <c r="D69" s="1591">
        <v>410</v>
      </c>
      <c r="E69" s="1579"/>
      <c r="F69" s="1579"/>
      <c r="G69" s="1579"/>
      <c r="H69" s="1579"/>
      <c r="I69" s="1579"/>
      <c r="J69" s="1579"/>
      <c r="K69" s="1579"/>
      <c r="L69" s="845"/>
      <c r="M69" s="846"/>
      <c r="N69" s="846"/>
      <c r="O69" s="845"/>
      <c r="P69" s="845"/>
      <c r="Q69" s="845"/>
    </row>
    <row r="70" spans="1:17">
      <c r="A70" s="1579"/>
      <c r="B70" s="1579" t="s">
        <v>59</v>
      </c>
      <c r="C70" s="1580">
        <f>SUM(C66:C69)</f>
        <v>8330</v>
      </c>
      <c r="D70" s="1592"/>
      <c r="E70" s="1579"/>
      <c r="F70" s="1593" t="s">
        <v>700</v>
      </c>
      <c r="G70" s="1594" t="s">
        <v>701</v>
      </c>
      <c r="H70" s="1579"/>
      <c r="I70" s="1579"/>
      <c r="J70" s="1579"/>
      <c r="K70" s="1579"/>
      <c r="L70" s="845"/>
      <c r="M70" s="846"/>
      <c r="N70" s="846"/>
      <c r="O70" s="845"/>
      <c r="P70" s="845"/>
      <c r="Q70" s="845"/>
    </row>
    <row r="71" spans="1:17">
      <c r="A71" s="1579"/>
      <c r="B71" s="1581"/>
      <c r="C71" s="1595"/>
      <c r="D71" s="1592"/>
      <c r="E71" s="1579"/>
      <c r="F71" s="1579"/>
      <c r="G71" s="1579"/>
      <c r="H71" s="1579"/>
      <c r="I71" s="1579"/>
      <c r="J71" s="1579"/>
      <c r="K71" s="1579"/>
      <c r="L71" s="845"/>
      <c r="M71" s="846"/>
      <c r="N71" s="846"/>
      <c r="O71" s="845"/>
      <c r="P71" s="845"/>
      <c r="Q71" s="845"/>
    </row>
    <row r="72" spans="1:17">
      <c r="A72" s="1579"/>
      <c r="B72" s="1589" t="s">
        <v>702</v>
      </c>
      <c r="C72" s="1587"/>
      <c r="D72" s="1592"/>
      <c r="E72" s="1579"/>
      <c r="F72" s="1579"/>
      <c r="G72" s="1579"/>
      <c r="H72" s="1579"/>
      <c r="I72" s="1579"/>
      <c r="J72" s="1579"/>
      <c r="K72" s="1579"/>
      <c r="L72" s="845"/>
      <c r="M72" s="846"/>
      <c r="N72" s="846"/>
      <c r="O72" s="845"/>
      <c r="P72" s="845"/>
      <c r="Q72" s="845"/>
    </row>
    <row r="73" spans="1:17">
      <c r="A73" s="1579"/>
      <c r="B73" s="1581" t="s">
        <v>695</v>
      </c>
      <c r="C73" s="1580">
        <v>1000</v>
      </c>
      <c r="D73" s="1592" t="s">
        <v>703</v>
      </c>
      <c r="E73" s="1579"/>
      <c r="F73" s="1579"/>
      <c r="G73" s="1579"/>
      <c r="H73" s="1579"/>
      <c r="I73" s="1579"/>
      <c r="J73" s="1579"/>
      <c r="K73" s="1579"/>
      <c r="L73" s="845"/>
      <c r="M73" s="846"/>
      <c r="N73" s="846"/>
      <c r="O73" s="845"/>
      <c r="P73" s="845"/>
      <c r="Q73" s="845"/>
    </row>
    <row r="74" spans="1:17">
      <c r="A74" s="1579"/>
      <c r="B74" s="1581" t="s">
        <v>704</v>
      </c>
      <c r="C74" s="1576">
        <v>0</v>
      </c>
      <c r="D74" s="1577">
        <v>0.01</v>
      </c>
      <c r="E74" s="1579"/>
      <c r="F74" s="1579"/>
      <c r="G74" s="1579"/>
      <c r="H74" s="1579"/>
      <c r="I74" s="1579"/>
      <c r="J74" s="1579"/>
      <c r="K74" s="1579"/>
      <c r="L74" s="845"/>
      <c r="M74" s="846"/>
      <c r="N74" s="846"/>
      <c r="O74" s="845"/>
      <c r="P74" s="845"/>
      <c r="Q74" s="845"/>
    </row>
    <row r="75" spans="1:17">
      <c r="A75" s="1579"/>
      <c r="B75" s="1581" t="s">
        <v>698</v>
      </c>
      <c r="C75" s="1576">
        <v>0</v>
      </c>
      <c r="D75" s="1577">
        <v>0.02</v>
      </c>
      <c r="E75" s="1579" t="s">
        <v>705</v>
      </c>
      <c r="F75" s="1579"/>
      <c r="G75" s="1579"/>
      <c r="H75" s="1579"/>
      <c r="I75" s="1579"/>
      <c r="J75" s="1579"/>
      <c r="K75" s="1579"/>
      <c r="L75" s="845"/>
      <c r="M75" s="846"/>
      <c r="N75" s="846"/>
      <c r="O75" s="845"/>
      <c r="P75" s="845"/>
      <c r="Q75" s="845"/>
    </row>
    <row r="76" spans="1:17">
      <c r="A76" s="1579"/>
      <c r="B76" s="1581" t="s">
        <v>699</v>
      </c>
      <c r="C76" s="1580">
        <v>5330</v>
      </c>
      <c r="D76" s="1591">
        <v>410</v>
      </c>
      <c r="E76" s="1579"/>
      <c r="F76" s="1579"/>
      <c r="G76" s="1579"/>
      <c r="H76" s="1579"/>
      <c r="I76" s="1579"/>
      <c r="J76" s="1579"/>
      <c r="K76" s="1579"/>
      <c r="L76" s="845"/>
      <c r="M76" s="846"/>
      <c r="N76" s="846"/>
      <c r="O76" s="845"/>
      <c r="P76" s="845"/>
      <c r="Q76" s="845"/>
    </row>
    <row r="77" spans="1:17">
      <c r="A77" s="1579"/>
      <c r="B77" s="1579" t="s">
        <v>59</v>
      </c>
      <c r="C77" s="1580">
        <f>SUM(C73:C76)</f>
        <v>6330</v>
      </c>
      <c r="D77" s="1579"/>
      <c r="E77" s="1579"/>
      <c r="F77" s="1579"/>
      <c r="G77" s="1579"/>
      <c r="H77" s="1579"/>
      <c r="I77" s="1579"/>
      <c r="J77" s="1579"/>
      <c r="K77" s="1579"/>
      <c r="L77" s="845"/>
      <c r="M77" s="846"/>
      <c r="N77" s="846"/>
      <c r="O77" s="845"/>
      <c r="P77" s="845"/>
      <c r="Q77" s="845"/>
    </row>
    <row r="78" spans="1:17">
      <c r="A78" s="1579"/>
      <c r="B78" s="1579"/>
      <c r="C78" s="1579"/>
      <c r="D78" s="1579"/>
      <c r="E78" s="1579"/>
      <c r="F78" s="1579"/>
      <c r="G78" s="1579"/>
      <c r="H78" s="1579"/>
      <c r="I78" s="1579"/>
      <c r="J78" s="1579"/>
      <c r="K78" s="1579"/>
      <c r="L78" s="845"/>
      <c r="M78" s="846"/>
      <c r="N78" s="846"/>
      <c r="O78" s="845"/>
      <c r="P78" s="845"/>
      <c r="Q78" s="845"/>
    </row>
    <row r="79" spans="1:17">
      <c r="A79" s="1593" t="s">
        <v>700</v>
      </c>
      <c r="B79" s="1596" t="s">
        <v>706</v>
      </c>
      <c r="C79" s="1579"/>
      <c r="D79" s="1579"/>
      <c r="E79" s="1579"/>
      <c r="F79" s="1579"/>
      <c r="G79" s="1579"/>
      <c r="H79" s="1579"/>
      <c r="I79" s="1579"/>
      <c r="J79" s="1579"/>
      <c r="K79" s="1579"/>
      <c r="L79" s="845"/>
      <c r="M79" s="846"/>
      <c r="N79" s="846"/>
      <c r="O79" s="845"/>
      <c r="P79" s="845"/>
      <c r="Q79" s="845"/>
    </row>
    <row r="80" spans="1:17">
      <c r="A80" s="1579"/>
      <c r="B80" s="1581"/>
      <c r="C80" s="1595"/>
      <c r="D80" s="1579"/>
      <c r="E80" s="1579"/>
      <c r="F80" s="1579"/>
      <c r="G80" s="1579"/>
      <c r="H80" s="1579"/>
      <c r="I80" s="1579"/>
      <c r="J80" s="1579"/>
      <c r="K80" s="1579"/>
      <c r="L80" s="845"/>
      <c r="M80" s="846"/>
      <c r="N80" s="846"/>
      <c r="O80" s="845"/>
    </row>
    <row r="81" spans="1:15">
      <c r="A81" s="1578"/>
      <c r="B81" s="1578"/>
      <c r="C81" s="1579"/>
      <c r="D81" s="1579"/>
      <c r="E81" s="1579"/>
      <c r="F81" s="1579"/>
      <c r="G81" s="1579"/>
      <c r="H81" s="1579"/>
      <c r="I81" s="1579"/>
      <c r="J81" s="1579"/>
      <c r="K81" s="1579"/>
      <c r="L81" s="845"/>
      <c r="M81" s="846"/>
      <c r="N81" s="846"/>
      <c r="O81" s="845"/>
    </row>
    <row r="82" spans="1:15">
      <c r="A82" s="845"/>
      <c r="B82" s="845"/>
      <c r="C82" s="846"/>
      <c r="D82" s="845"/>
      <c r="E82" s="845"/>
      <c r="F82" s="846"/>
      <c r="G82" s="846"/>
      <c r="H82" s="845"/>
      <c r="I82" s="845"/>
      <c r="J82" s="845"/>
      <c r="K82" s="845"/>
      <c r="L82" s="845"/>
      <c r="M82" s="846"/>
      <c r="N82" s="846"/>
      <c r="O82" s="845"/>
    </row>
    <row r="83" spans="1:15">
      <c r="A83" s="858"/>
      <c r="B83" s="845"/>
      <c r="C83" s="1561"/>
      <c r="D83" s="886"/>
      <c r="E83" s="845"/>
      <c r="F83" s="846"/>
      <c r="G83" s="846"/>
      <c r="H83" s="845"/>
      <c r="I83" s="845"/>
      <c r="J83" s="845"/>
      <c r="K83" s="845"/>
      <c r="L83" s="845"/>
      <c r="M83" s="846"/>
      <c r="N83" s="846"/>
      <c r="O83" s="845"/>
    </row>
    <row r="84" spans="1:15">
      <c r="A84" s="869"/>
      <c r="B84" s="845"/>
      <c r="C84" s="846"/>
      <c r="D84" s="927"/>
      <c r="E84" s="845"/>
      <c r="F84" s="936"/>
      <c r="G84" s="927"/>
      <c r="H84" s="1562"/>
      <c r="I84" s="927"/>
      <c r="J84" s="845"/>
      <c r="K84" s="845"/>
      <c r="L84" s="845"/>
      <c r="M84" s="846"/>
      <c r="N84" s="846"/>
      <c r="O84" s="845"/>
    </row>
    <row r="85" spans="1:15">
      <c r="A85" s="845"/>
      <c r="B85" s="869"/>
      <c r="C85" s="937"/>
      <c r="D85" s="845"/>
      <c r="E85" s="845"/>
      <c r="F85" s="936"/>
      <c r="G85" s="927"/>
      <c r="H85" s="1562"/>
      <c r="I85" s="927"/>
      <c r="J85" s="845"/>
      <c r="K85" s="845"/>
      <c r="L85" s="845"/>
      <c r="M85" s="846"/>
      <c r="N85" s="846"/>
      <c r="O85" s="845"/>
    </row>
    <row r="86" spans="1:15">
      <c r="A86" s="845"/>
      <c r="B86" s="869"/>
      <c r="C86" s="937"/>
      <c r="D86" s="845"/>
      <c r="E86" s="845"/>
      <c r="F86" s="936"/>
      <c r="G86" s="927"/>
      <c r="H86" s="1562"/>
      <c r="I86" s="927"/>
      <c r="J86" s="845"/>
      <c r="K86" s="845"/>
      <c r="L86" s="845"/>
      <c r="M86" s="846"/>
      <c r="N86" s="846"/>
      <c r="O86" s="845"/>
    </row>
    <row r="87" spans="1:15">
      <c r="A87" s="845"/>
      <c r="B87" s="845"/>
      <c r="C87" s="937"/>
      <c r="D87" s="845"/>
      <c r="E87" s="845"/>
      <c r="F87" s="936"/>
      <c r="G87" s="938"/>
      <c r="H87" s="1563"/>
      <c r="I87" s="846"/>
      <c r="J87" s="845"/>
      <c r="K87" s="845"/>
      <c r="L87" s="845"/>
      <c r="M87" s="846"/>
      <c r="N87" s="846"/>
      <c r="O87" s="845"/>
    </row>
    <row r="88" spans="1:15">
      <c r="A88" s="869"/>
      <c r="B88" s="845"/>
      <c r="C88" s="869"/>
      <c r="D88" s="845"/>
      <c r="E88" s="845"/>
      <c r="F88" s="936"/>
      <c r="G88" s="938"/>
      <c r="H88" s="1563"/>
      <c r="I88" s="846"/>
      <c r="J88" s="845"/>
      <c r="K88" s="845"/>
      <c r="L88" s="845"/>
      <c r="M88" s="846"/>
      <c r="N88" s="846"/>
      <c r="O88" s="845"/>
    </row>
    <row r="89" spans="1:15">
      <c r="A89" s="845"/>
      <c r="B89" s="869"/>
      <c r="C89" s="882"/>
      <c r="D89" s="845"/>
      <c r="E89" s="845"/>
      <c r="F89" s="936"/>
      <c r="G89" s="845"/>
      <c r="H89" s="845"/>
      <c r="I89" s="846"/>
      <c r="J89" s="845"/>
      <c r="K89" s="845"/>
      <c r="L89" s="845"/>
      <c r="M89" s="846"/>
      <c r="N89" s="846"/>
      <c r="O89" s="845"/>
    </row>
    <row r="90" spans="1:15">
      <c r="A90" s="845"/>
      <c r="B90" s="869"/>
      <c r="C90" s="882"/>
      <c r="D90" s="935"/>
      <c r="E90" s="845"/>
      <c r="F90" s="936"/>
      <c r="G90" s="938"/>
      <c r="H90" s="1563"/>
      <c r="I90" s="846"/>
      <c r="J90" s="845"/>
      <c r="K90" s="845"/>
      <c r="L90" s="845"/>
      <c r="M90" s="846"/>
      <c r="N90" s="846"/>
      <c r="O90" s="845"/>
    </row>
    <row r="91" spans="1:15">
      <c r="A91" s="845"/>
      <c r="B91" s="845"/>
      <c r="C91" s="882"/>
      <c r="D91" s="845"/>
      <c r="E91" s="845"/>
      <c r="F91" s="936"/>
      <c r="G91" s="938"/>
      <c r="H91" s="1563"/>
      <c r="I91" s="846"/>
      <c r="J91" s="845"/>
      <c r="K91" s="845"/>
      <c r="L91" s="845"/>
      <c r="M91" s="846"/>
      <c r="N91" s="846"/>
      <c r="O91" s="845"/>
    </row>
    <row r="92" spans="1:15">
      <c r="A92" s="869"/>
      <c r="B92" s="845"/>
      <c r="C92" s="882"/>
      <c r="D92" s="1605"/>
      <c r="E92" s="1605"/>
      <c r="F92" s="936"/>
      <c r="G92" s="938"/>
      <c r="H92" s="1563"/>
      <c r="I92" s="846"/>
      <c r="J92" s="845"/>
      <c r="K92" s="845"/>
      <c r="L92" s="845"/>
      <c r="M92" s="846"/>
      <c r="N92" s="846"/>
      <c r="O92" s="845"/>
    </row>
    <row r="93" spans="1:15">
      <c r="A93" s="845"/>
      <c r="B93" s="845"/>
      <c r="C93" s="845"/>
      <c r="D93" s="845"/>
      <c r="E93" s="845"/>
      <c r="F93" s="936"/>
      <c r="G93" s="938"/>
      <c r="H93" s="1563"/>
      <c r="I93" s="846"/>
      <c r="J93" s="845"/>
      <c r="K93" s="845"/>
      <c r="L93" s="845"/>
      <c r="M93" s="846"/>
      <c r="N93" s="846"/>
      <c r="O93" s="845"/>
    </row>
    <row r="94" spans="1:15">
      <c r="A94" s="845"/>
      <c r="B94" s="845"/>
      <c r="C94" s="845"/>
      <c r="D94" s="845"/>
      <c r="E94" s="845"/>
      <c r="F94" s="936"/>
      <c r="G94" s="938"/>
      <c r="H94" s="1563"/>
      <c r="I94" s="846"/>
      <c r="J94" s="845"/>
      <c r="K94" s="845"/>
      <c r="L94" s="845"/>
      <c r="M94" s="846"/>
      <c r="N94" s="846"/>
      <c r="O94" s="845"/>
    </row>
    <row r="95" spans="1:15">
      <c r="A95" s="845"/>
      <c r="B95" s="869"/>
      <c r="C95" s="870"/>
      <c r="D95" s="845"/>
      <c r="E95" s="845"/>
      <c r="F95" s="936"/>
      <c r="G95" s="938"/>
      <c r="H95" s="1563"/>
      <c r="I95" s="846"/>
      <c r="J95" s="845"/>
      <c r="K95" s="845"/>
      <c r="L95" s="845"/>
      <c r="M95" s="846"/>
      <c r="N95" s="846"/>
      <c r="O95" s="845"/>
    </row>
    <row r="96" spans="1:15">
      <c r="A96" s="845"/>
      <c r="B96" s="845"/>
      <c r="C96" s="845"/>
      <c r="D96" s="845"/>
      <c r="E96" s="845"/>
      <c r="F96" s="936"/>
      <c r="G96" s="938"/>
      <c r="H96" s="1563"/>
      <c r="I96" s="846"/>
      <c r="J96" s="845"/>
      <c r="K96" s="845"/>
      <c r="L96" s="845"/>
      <c r="M96" s="846"/>
      <c r="N96" s="846"/>
      <c r="O96" s="845"/>
    </row>
    <row r="97" spans="1:15">
      <c r="A97" s="845"/>
      <c r="B97" s="869"/>
      <c r="C97" s="870"/>
      <c r="D97" s="845"/>
      <c r="E97" s="845"/>
      <c r="F97" s="936"/>
      <c r="G97" s="938"/>
      <c r="H97" s="1563"/>
      <c r="I97" s="846"/>
      <c r="J97" s="845"/>
      <c r="K97" s="845"/>
      <c r="L97" s="845"/>
      <c r="M97" s="846"/>
      <c r="N97" s="846"/>
      <c r="O97" s="845"/>
    </row>
    <row r="98" spans="1:15">
      <c r="A98" s="845"/>
      <c r="B98" s="845"/>
      <c r="C98" s="846"/>
      <c r="D98" s="845"/>
      <c r="E98" s="845"/>
      <c r="F98" s="936"/>
      <c r="G98" s="938"/>
      <c r="H98" s="1563"/>
      <c r="I98" s="846"/>
      <c r="J98" s="845"/>
      <c r="K98" s="845"/>
      <c r="L98" s="845"/>
      <c r="M98" s="846"/>
      <c r="N98" s="846"/>
      <c r="O98" s="845"/>
    </row>
    <row r="99" spans="1:15">
      <c r="A99" s="845"/>
      <c r="B99" s="845"/>
      <c r="C99" s="846"/>
      <c r="D99" s="845"/>
      <c r="E99" s="845"/>
      <c r="F99" s="936"/>
      <c r="G99" s="938"/>
      <c r="H99" s="1563"/>
      <c r="I99" s="846"/>
      <c r="J99" s="845"/>
      <c r="K99" s="845"/>
      <c r="L99" s="845"/>
      <c r="M99" s="846"/>
      <c r="N99" s="846"/>
      <c r="O99" s="845"/>
    </row>
    <row r="100" spans="1:15">
      <c r="A100" s="845"/>
      <c r="B100" s="845"/>
      <c r="C100" s="846"/>
      <c r="D100" s="845"/>
      <c r="E100" s="845"/>
      <c r="F100" s="936"/>
      <c r="G100" s="938"/>
      <c r="H100" s="1563"/>
      <c r="I100" s="846"/>
      <c r="J100" s="845"/>
      <c r="K100" s="845"/>
      <c r="L100" s="845"/>
      <c r="M100" s="846"/>
      <c r="N100" s="846"/>
      <c r="O100" s="845"/>
    </row>
    <row r="101" spans="1:15">
      <c r="A101" s="845"/>
      <c r="B101" s="845"/>
      <c r="C101" s="846"/>
      <c r="D101" s="1564"/>
      <c r="E101" s="845"/>
      <c r="F101" s="936"/>
      <c r="G101" s="938"/>
      <c r="H101" s="1563"/>
      <c r="I101" s="846"/>
      <c r="J101" s="845"/>
      <c r="K101" s="845"/>
      <c r="L101" s="845"/>
      <c r="M101" s="846"/>
      <c r="N101" s="846"/>
      <c r="O101" s="845"/>
    </row>
    <row r="102" spans="1:15">
      <c r="A102" s="845"/>
      <c r="B102" s="845"/>
      <c r="C102" s="846"/>
      <c r="D102" s="1564"/>
      <c r="E102" s="935"/>
      <c r="F102" s="936"/>
      <c r="G102" s="938"/>
      <c r="H102" s="1563"/>
      <c r="I102" s="846"/>
      <c r="J102" s="845"/>
      <c r="K102" s="845"/>
      <c r="L102" s="845"/>
      <c r="M102" s="846"/>
      <c r="N102" s="846"/>
      <c r="O102" s="845"/>
    </row>
    <row r="103" spans="1:15">
      <c r="A103" s="845"/>
      <c r="B103" s="845"/>
      <c r="C103" s="846"/>
      <c r="D103" s="1564"/>
      <c r="E103" s="845"/>
      <c r="F103" s="936"/>
      <c r="G103" s="938"/>
      <c r="H103" s="1563"/>
      <c r="I103" s="846"/>
      <c r="J103" s="845"/>
      <c r="K103" s="845"/>
      <c r="L103" s="845"/>
      <c r="M103" s="846"/>
      <c r="N103" s="846"/>
      <c r="O103" s="845"/>
    </row>
    <row r="104" spans="1:15">
      <c r="A104" s="845"/>
      <c r="B104" s="845"/>
      <c r="C104" s="846"/>
      <c r="D104" s="1564"/>
      <c r="E104" s="845"/>
      <c r="F104" s="936"/>
      <c r="G104" s="938"/>
      <c r="H104" s="1563"/>
      <c r="I104" s="846"/>
      <c r="J104" s="845"/>
      <c r="K104" s="845"/>
      <c r="L104" s="845"/>
      <c r="M104" s="846"/>
      <c r="N104" s="846"/>
      <c r="O104" s="845"/>
    </row>
    <row r="105" spans="1:15">
      <c r="A105" s="845"/>
      <c r="B105" s="845"/>
      <c r="C105" s="846"/>
      <c r="D105" s="1564"/>
      <c r="E105" s="845"/>
      <c r="F105" s="936"/>
      <c r="G105" s="938"/>
      <c r="H105" s="1563"/>
      <c r="I105" s="846"/>
      <c r="J105" s="845"/>
      <c r="K105" s="845"/>
      <c r="L105" s="845"/>
      <c r="M105" s="846"/>
      <c r="N105" s="846"/>
      <c r="O105" s="845"/>
    </row>
    <row r="106" spans="1:15">
      <c r="A106" s="845"/>
      <c r="B106" s="845"/>
      <c r="C106" s="845"/>
      <c r="D106" s="1564"/>
      <c r="E106" s="845"/>
      <c r="F106" s="936"/>
      <c r="G106" s="938"/>
      <c r="H106" s="1563"/>
      <c r="I106" s="846"/>
      <c r="J106" s="845"/>
      <c r="K106" s="845"/>
      <c r="L106" s="845"/>
      <c r="M106" s="846"/>
      <c r="N106" s="846"/>
      <c r="O106" s="845"/>
    </row>
    <row r="107" spans="1:15">
      <c r="A107" s="845"/>
      <c r="B107" s="845"/>
      <c r="C107" s="845"/>
      <c r="D107" s="1564"/>
      <c r="E107" s="845"/>
      <c r="F107" s="936"/>
      <c r="G107" s="938"/>
      <c r="H107" s="1563"/>
      <c r="I107" s="846"/>
      <c r="J107" s="845"/>
      <c r="K107" s="845"/>
      <c r="L107" s="845"/>
      <c r="M107" s="846"/>
      <c r="N107" s="846"/>
      <c r="O107" s="845"/>
    </row>
    <row r="108" spans="1:15">
      <c r="A108" s="845"/>
      <c r="B108" s="845"/>
      <c r="C108" s="845"/>
      <c r="D108" s="1564"/>
      <c r="E108" s="845"/>
      <c r="F108" s="936"/>
      <c r="G108" s="938"/>
      <c r="H108" s="1563"/>
      <c r="I108" s="846"/>
      <c r="J108" s="845"/>
      <c r="K108" s="845"/>
      <c r="L108" s="845"/>
      <c r="M108" s="846"/>
      <c r="N108" s="846"/>
      <c r="O108" s="845"/>
    </row>
    <row r="109" spans="1:15">
      <c r="A109" s="845"/>
      <c r="B109" s="845"/>
      <c r="C109" s="845"/>
      <c r="D109" s="1564"/>
      <c r="E109" s="845"/>
      <c r="F109" s="936"/>
      <c r="G109" s="938"/>
      <c r="H109" s="1563"/>
      <c r="I109" s="846"/>
      <c r="J109" s="845"/>
      <c r="K109" s="845"/>
      <c r="L109" s="845"/>
      <c r="M109" s="846"/>
      <c r="N109" s="846"/>
      <c r="O109" s="845"/>
    </row>
    <row r="110" spans="1:15">
      <c r="A110" s="845"/>
      <c r="B110" s="845"/>
      <c r="C110" s="845"/>
      <c r="D110" s="1564"/>
      <c r="E110" s="845"/>
      <c r="F110" s="936"/>
      <c r="G110" s="938"/>
      <c r="H110" s="1563"/>
      <c r="I110" s="846"/>
      <c r="J110" s="845"/>
      <c r="K110" s="845"/>
      <c r="L110" s="845"/>
      <c r="M110" s="846"/>
      <c r="N110" s="846"/>
      <c r="O110" s="845"/>
    </row>
    <row r="111" spans="1:15">
      <c r="A111" s="845"/>
      <c r="B111" s="845"/>
      <c r="C111" s="846"/>
      <c r="D111" s="1564"/>
      <c r="E111" s="845"/>
      <c r="F111" s="936"/>
      <c r="G111" s="938"/>
      <c r="H111" s="1563"/>
      <c r="I111" s="846"/>
      <c r="J111" s="845"/>
      <c r="K111" s="845"/>
      <c r="L111" s="845"/>
      <c r="M111" s="846"/>
      <c r="N111" s="846"/>
      <c r="O111" s="845"/>
    </row>
    <row r="112" spans="1:15">
      <c r="A112" s="845"/>
      <c r="B112" s="845"/>
      <c r="C112" s="846"/>
      <c r="D112" s="1564"/>
      <c r="E112" s="845"/>
      <c r="F112" s="936"/>
      <c r="G112" s="938"/>
      <c r="H112" s="1563"/>
      <c r="I112" s="846"/>
      <c r="J112" s="845"/>
      <c r="K112" s="845"/>
      <c r="L112" s="845"/>
      <c r="M112" s="846"/>
      <c r="N112" s="846"/>
      <c r="O112" s="845"/>
    </row>
    <row r="113" spans="1:15">
      <c r="A113" s="845"/>
      <c r="B113" s="845"/>
      <c r="C113" s="846"/>
      <c r="D113" s="1564"/>
      <c r="E113" s="845"/>
      <c r="F113" s="936"/>
      <c r="G113" s="938"/>
      <c r="H113" s="1563"/>
      <c r="I113" s="846"/>
      <c r="J113" s="845"/>
      <c r="K113" s="845"/>
      <c r="L113" s="845"/>
      <c r="M113" s="846"/>
      <c r="N113" s="846"/>
      <c r="O113" s="845"/>
    </row>
    <row r="114" spans="1:15">
      <c r="A114" s="845"/>
      <c r="B114" s="845"/>
      <c r="C114" s="846"/>
      <c r="D114" s="1564"/>
      <c r="E114" s="845"/>
      <c r="F114" s="936"/>
      <c r="G114" s="938"/>
      <c r="H114" s="1563"/>
      <c r="I114" s="846"/>
      <c r="J114" s="845"/>
      <c r="K114" s="845"/>
      <c r="L114" s="845"/>
      <c r="M114" s="846"/>
      <c r="N114" s="846"/>
      <c r="O114" s="845"/>
    </row>
    <row r="115" spans="1:15">
      <c r="A115" s="845"/>
      <c r="B115" s="845"/>
      <c r="C115" s="845"/>
      <c r="D115" s="1564"/>
      <c r="E115" s="845"/>
      <c r="F115" s="936"/>
      <c r="G115" s="938"/>
      <c r="H115" s="1563"/>
      <c r="I115" s="846"/>
      <c r="J115" s="845"/>
      <c r="K115" s="845"/>
      <c r="L115" s="845"/>
      <c r="M115" s="846"/>
      <c r="N115" s="846"/>
      <c r="O115" s="845"/>
    </row>
    <row r="116" spans="1:15">
      <c r="A116" s="845"/>
      <c r="B116" s="845"/>
      <c r="C116" s="845"/>
      <c r="D116" s="1564"/>
      <c r="E116" s="845"/>
      <c r="F116" s="936"/>
      <c r="G116" s="938"/>
      <c r="H116" s="1563"/>
      <c r="I116" s="846"/>
      <c r="J116" s="845"/>
      <c r="K116" s="845"/>
      <c r="L116" s="845"/>
      <c r="M116" s="846"/>
      <c r="N116" s="846"/>
      <c r="O116" s="845"/>
    </row>
    <row r="117" spans="1:15">
      <c r="A117" s="845"/>
      <c r="B117" s="845"/>
      <c r="C117" s="845"/>
      <c r="D117" s="1564"/>
      <c r="E117" s="845"/>
      <c r="F117" s="936"/>
      <c r="G117" s="938"/>
      <c r="H117" s="1563"/>
      <c r="I117" s="846"/>
      <c r="J117" s="845"/>
      <c r="K117" s="845"/>
      <c r="L117" s="845"/>
      <c r="M117" s="846"/>
      <c r="N117" s="846"/>
      <c r="O117" s="845"/>
    </row>
    <row r="118" spans="1:15">
      <c r="A118" s="845"/>
      <c r="B118" s="845"/>
      <c r="C118" s="845"/>
      <c r="D118" s="1564"/>
      <c r="E118" s="845"/>
      <c r="F118" s="936"/>
      <c r="G118" s="938"/>
      <c r="H118" s="1563"/>
      <c r="I118" s="846"/>
      <c r="J118" s="845"/>
      <c r="K118" s="845"/>
      <c r="L118" s="845"/>
      <c r="M118" s="846"/>
      <c r="N118" s="846"/>
      <c r="O118" s="845"/>
    </row>
    <row r="119" spans="1:15">
      <c r="A119" s="845"/>
      <c r="B119" s="845"/>
      <c r="C119" s="845"/>
      <c r="D119" s="1564"/>
      <c r="E119" s="866"/>
      <c r="F119" s="936"/>
      <c r="G119" s="938"/>
      <c r="H119" s="1563"/>
      <c r="I119" s="846"/>
      <c r="J119" s="845"/>
      <c r="K119" s="845"/>
      <c r="L119" s="845"/>
      <c r="M119" s="846"/>
      <c r="N119" s="846"/>
      <c r="O119" s="845"/>
    </row>
    <row r="120" spans="1:15">
      <c r="A120" s="845"/>
      <c r="B120" s="845"/>
      <c r="C120" s="1560"/>
      <c r="D120" s="936"/>
      <c r="E120" s="845"/>
      <c r="F120" s="936"/>
      <c r="G120" s="938"/>
      <c r="H120" s="1563"/>
      <c r="I120" s="846"/>
      <c r="J120" s="845"/>
      <c r="K120" s="845"/>
      <c r="L120" s="845"/>
      <c r="M120" s="846"/>
      <c r="N120" s="846"/>
      <c r="O120" s="845"/>
    </row>
    <row r="121" spans="1:15">
      <c r="A121" s="845"/>
      <c r="B121" s="845"/>
      <c r="C121" s="1560"/>
      <c r="D121" s="936"/>
      <c r="E121" s="845"/>
      <c r="F121" s="936"/>
      <c r="G121" s="938"/>
      <c r="H121" s="1563"/>
      <c r="I121" s="846"/>
      <c r="J121" s="845"/>
      <c r="K121" s="845"/>
      <c r="L121" s="845"/>
      <c r="M121" s="846"/>
      <c r="N121" s="846"/>
      <c r="O121" s="845"/>
    </row>
    <row r="122" spans="1:15">
      <c r="A122" s="845"/>
      <c r="B122" s="845"/>
      <c r="C122" s="1565"/>
      <c r="D122" s="936"/>
      <c r="E122" s="845"/>
      <c r="F122" s="936"/>
      <c r="G122" s="938"/>
      <c r="H122" s="1563"/>
      <c r="I122" s="846"/>
      <c r="J122" s="845"/>
      <c r="K122" s="845"/>
      <c r="L122" s="845"/>
      <c r="M122" s="846"/>
      <c r="N122" s="846"/>
      <c r="O122" s="845"/>
    </row>
    <row r="123" spans="1:15">
      <c r="A123" s="845"/>
      <c r="B123" s="845"/>
      <c r="C123" s="1566"/>
      <c r="D123" s="936"/>
      <c r="E123" s="845"/>
      <c r="F123" s="936"/>
      <c r="G123" s="938"/>
      <c r="H123" s="1563"/>
      <c r="I123" s="846"/>
      <c r="J123" s="845"/>
      <c r="K123" s="845"/>
      <c r="L123" s="845"/>
      <c r="M123" s="846"/>
      <c r="N123" s="846"/>
      <c r="O123" s="845"/>
    </row>
    <row r="124" spans="1:15">
      <c r="A124" s="845"/>
      <c r="B124" s="845"/>
      <c r="C124" s="1565"/>
      <c r="D124" s="936"/>
      <c r="E124" s="845"/>
      <c r="F124" s="936"/>
      <c r="G124" s="938"/>
      <c r="H124" s="1563"/>
      <c r="I124" s="846"/>
      <c r="J124" s="845"/>
      <c r="K124" s="845"/>
      <c r="L124" s="845"/>
      <c r="M124" s="846"/>
      <c r="N124" s="846"/>
      <c r="O124" s="845"/>
    </row>
    <row r="125" spans="1:15">
      <c r="A125" s="845"/>
      <c r="B125" s="845"/>
      <c r="C125" s="1565"/>
      <c r="D125" s="936"/>
      <c r="E125" s="845"/>
      <c r="F125" s="936"/>
      <c r="G125" s="938"/>
      <c r="H125" s="1563"/>
      <c r="I125" s="846"/>
      <c r="J125" s="845"/>
      <c r="K125" s="845"/>
      <c r="L125" s="845"/>
      <c r="M125" s="846"/>
      <c r="N125" s="846"/>
      <c r="O125" s="845"/>
    </row>
    <row r="126" spans="1:15">
      <c r="A126" s="845"/>
      <c r="B126" s="845"/>
      <c r="C126" s="846"/>
      <c r="D126" s="936"/>
      <c r="E126" s="845"/>
      <c r="F126" s="936"/>
      <c r="G126" s="938"/>
      <c r="H126" s="1563"/>
      <c r="I126" s="846"/>
      <c r="J126" s="845"/>
      <c r="K126" s="845"/>
      <c r="L126" s="845"/>
      <c r="M126" s="846"/>
      <c r="N126" s="846"/>
      <c r="O126" s="845"/>
    </row>
    <row r="127" spans="1:15">
      <c r="A127" s="845"/>
      <c r="B127" s="845"/>
      <c r="C127" s="1567"/>
      <c r="D127" s="1013"/>
      <c r="E127" s="845"/>
      <c r="F127" s="936"/>
      <c r="G127" s="938"/>
      <c r="H127" s="1563"/>
      <c r="I127" s="846"/>
      <c r="J127" s="845"/>
      <c r="K127" s="845"/>
      <c r="L127" s="845"/>
      <c r="M127" s="846"/>
      <c r="N127" s="846"/>
      <c r="O127" s="845"/>
    </row>
    <row r="128" spans="1:15">
      <c r="A128" s="845"/>
      <c r="B128" s="845"/>
      <c r="C128" s="845"/>
      <c r="D128" s="845"/>
      <c r="E128" s="845"/>
      <c r="F128" s="936"/>
      <c r="G128" s="938"/>
      <c r="H128" s="1563"/>
      <c r="I128" s="846"/>
      <c r="J128" s="845"/>
      <c r="K128" s="845"/>
      <c r="L128" s="845"/>
      <c r="M128" s="846"/>
      <c r="N128" s="846"/>
      <c r="O128" s="845"/>
    </row>
    <row r="129" spans="1:15">
      <c r="A129" s="858"/>
      <c r="B129" s="845"/>
      <c r="C129" s="845"/>
      <c r="D129" s="845"/>
      <c r="E129" s="845"/>
      <c r="F129" s="845"/>
      <c r="G129" s="845"/>
      <c r="H129" s="845"/>
      <c r="I129" s="845"/>
      <c r="J129" s="845"/>
      <c r="K129" s="845"/>
      <c r="L129" s="845"/>
      <c r="M129" s="846"/>
      <c r="N129" s="846"/>
      <c r="O129" s="845"/>
    </row>
    <row r="130" spans="1:15">
      <c r="A130" s="845"/>
      <c r="B130" s="845"/>
      <c r="C130" s="845"/>
      <c r="D130" s="845"/>
      <c r="E130" s="845"/>
      <c r="F130" s="845"/>
      <c r="G130" s="845"/>
      <c r="H130" s="845"/>
      <c r="I130" s="845"/>
      <c r="J130" s="845"/>
      <c r="K130" s="845"/>
      <c r="L130" s="845"/>
      <c r="M130" s="846"/>
      <c r="N130" s="846"/>
      <c r="O130" s="845"/>
    </row>
    <row r="131" spans="1:15">
      <c r="A131" s="858"/>
      <c r="B131" s="845"/>
      <c r="C131" s="845"/>
      <c r="D131" s="845"/>
      <c r="E131" s="845"/>
      <c r="F131" s="845"/>
      <c r="G131" s="845"/>
      <c r="H131" s="845"/>
      <c r="I131" s="845"/>
      <c r="J131" s="845"/>
      <c r="K131" s="845"/>
      <c r="L131" s="845"/>
      <c r="M131" s="846"/>
      <c r="N131" s="846"/>
      <c r="O131" s="845"/>
    </row>
    <row r="132" spans="1:15">
      <c r="A132" s="845"/>
      <c r="B132" s="845"/>
      <c r="C132" s="846"/>
      <c r="D132" s="846"/>
      <c r="E132" s="846"/>
      <c r="F132" s="846"/>
      <c r="G132" s="846"/>
      <c r="H132" s="846"/>
      <c r="I132" s="846"/>
      <c r="J132" s="845"/>
      <c r="K132" s="845"/>
      <c r="L132" s="845"/>
      <c r="M132" s="846"/>
      <c r="N132" s="846"/>
      <c r="O132" s="845"/>
    </row>
    <row r="133" spans="1:15">
      <c r="A133" s="845"/>
      <c r="B133" s="845"/>
      <c r="C133" s="845"/>
      <c r="D133" s="845"/>
      <c r="E133" s="845"/>
      <c r="F133" s="845"/>
      <c r="G133" s="845"/>
      <c r="H133" s="845"/>
      <c r="I133" s="845"/>
      <c r="J133" s="845"/>
      <c r="K133" s="845"/>
      <c r="L133" s="845"/>
      <c r="M133" s="846"/>
      <c r="N133" s="846"/>
      <c r="O133" s="845"/>
    </row>
    <row r="134" spans="1:15">
      <c r="A134" s="845"/>
      <c r="B134" s="845"/>
      <c r="C134" s="1565"/>
      <c r="D134" s="1565"/>
      <c r="E134" s="1565"/>
      <c r="F134" s="1565"/>
      <c r="G134" s="1565"/>
      <c r="H134" s="1565"/>
      <c r="I134" s="1565"/>
      <c r="J134" s="845"/>
      <c r="K134" s="845"/>
      <c r="L134" s="845"/>
      <c r="M134" s="846"/>
      <c r="N134" s="846"/>
      <c r="O134" s="845"/>
    </row>
    <row r="135" spans="1:15">
      <c r="A135" s="845"/>
      <c r="B135" s="845"/>
      <c r="C135" s="1565"/>
      <c r="D135" s="1565"/>
      <c r="E135" s="1565"/>
      <c r="F135" s="1565"/>
      <c r="G135" s="1565"/>
      <c r="H135" s="1565"/>
      <c r="I135" s="1565"/>
      <c r="J135" s="845"/>
      <c r="K135" s="845"/>
      <c r="L135" s="845"/>
      <c r="M135" s="846"/>
      <c r="N135" s="846"/>
      <c r="O135" s="845"/>
    </row>
    <row r="136" spans="1:15">
      <c r="A136" s="845"/>
      <c r="B136" s="845"/>
      <c r="C136" s="1565"/>
      <c r="D136" s="1565"/>
      <c r="E136" s="1565"/>
      <c r="F136" s="1565"/>
      <c r="G136" s="1565"/>
      <c r="H136" s="1565"/>
      <c r="I136" s="1565"/>
      <c r="J136" s="845"/>
      <c r="K136" s="845"/>
      <c r="L136" s="845"/>
      <c r="M136" s="846"/>
      <c r="N136" s="846"/>
      <c r="O136" s="845"/>
    </row>
    <row r="137" spans="1:15">
      <c r="A137" s="845"/>
      <c r="B137" s="845"/>
      <c r="C137" s="1565"/>
      <c r="D137" s="1565"/>
      <c r="E137" s="1565"/>
      <c r="F137" s="1565"/>
      <c r="G137" s="1565"/>
      <c r="H137" s="1565"/>
      <c r="I137" s="1565"/>
      <c r="J137" s="845"/>
      <c r="K137" s="845"/>
      <c r="L137" s="845"/>
      <c r="M137" s="846"/>
      <c r="N137" s="846"/>
      <c r="O137" s="845"/>
    </row>
    <row r="138" spans="1:15">
      <c r="A138" s="845"/>
      <c r="B138" s="845"/>
      <c r="C138" s="1565"/>
      <c r="D138" s="1565"/>
      <c r="E138" s="1565"/>
      <c r="F138" s="1565"/>
      <c r="G138" s="1565"/>
      <c r="H138" s="1565"/>
      <c r="I138" s="1565"/>
      <c r="J138" s="845"/>
      <c r="K138" s="845"/>
      <c r="L138" s="845"/>
      <c r="M138" s="846"/>
      <c r="N138" s="846"/>
      <c r="O138" s="845"/>
    </row>
    <row r="139" spans="1:15">
      <c r="A139" s="845"/>
      <c r="B139" s="845"/>
      <c r="C139" s="1565"/>
      <c r="D139" s="1565"/>
      <c r="E139" s="1565"/>
      <c r="F139" s="1565"/>
      <c r="G139" s="1565"/>
      <c r="H139" s="1565"/>
      <c r="I139" s="1565"/>
      <c r="J139" s="845"/>
      <c r="K139" s="845"/>
      <c r="L139" s="845"/>
      <c r="M139" s="846"/>
      <c r="N139" s="846"/>
      <c r="O139" s="845"/>
    </row>
    <row r="140" spans="1:15">
      <c r="A140" s="845"/>
      <c r="B140" s="845"/>
      <c r="C140" s="1565"/>
      <c r="D140" s="1565"/>
      <c r="E140" s="1565"/>
      <c r="F140" s="1565"/>
      <c r="G140" s="1565"/>
      <c r="H140" s="1565"/>
      <c r="I140" s="1565"/>
      <c r="J140" s="845"/>
      <c r="K140" s="845"/>
      <c r="L140" s="845"/>
      <c r="M140" s="846"/>
      <c r="N140" s="846"/>
      <c r="O140" s="845"/>
    </row>
    <row r="141" spans="1:15">
      <c r="A141" s="845"/>
      <c r="B141" s="845"/>
      <c r="C141" s="1565"/>
      <c r="D141" s="1565"/>
      <c r="E141" s="1565"/>
      <c r="F141" s="1565"/>
      <c r="G141" s="1565"/>
      <c r="H141" s="1565"/>
      <c r="I141" s="1565"/>
      <c r="J141" s="845"/>
      <c r="K141" s="845"/>
      <c r="L141" s="845"/>
      <c r="M141" s="846"/>
      <c r="N141" s="846"/>
      <c r="O141" s="845"/>
    </row>
    <row r="142" spans="1:15">
      <c r="A142" s="845"/>
      <c r="B142" s="845"/>
      <c r="C142" s="1565"/>
      <c r="D142" s="1565"/>
      <c r="E142" s="1565"/>
      <c r="F142" s="1565"/>
      <c r="G142" s="1565"/>
      <c r="H142" s="1565"/>
      <c r="I142" s="1565"/>
      <c r="J142" s="845"/>
      <c r="K142" s="845"/>
      <c r="L142" s="845"/>
      <c r="M142" s="846"/>
      <c r="N142" s="846"/>
      <c r="O142" s="845"/>
    </row>
    <row r="143" spans="1:15">
      <c r="A143" s="845"/>
      <c r="B143" s="845"/>
      <c r="C143" s="1565"/>
      <c r="D143" s="1565"/>
      <c r="E143" s="1565"/>
      <c r="F143" s="1565"/>
      <c r="G143" s="1565"/>
      <c r="H143" s="1565"/>
      <c r="I143" s="1565"/>
      <c r="J143" s="845"/>
      <c r="K143" s="845"/>
      <c r="L143" s="845"/>
      <c r="M143" s="846"/>
      <c r="N143" s="846"/>
      <c r="O143" s="845"/>
    </row>
    <row r="144" spans="1:15">
      <c r="A144" s="858"/>
      <c r="B144" s="858"/>
      <c r="C144" s="1568"/>
      <c r="D144" s="1568"/>
      <c r="E144" s="1568"/>
      <c r="F144" s="1568"/>
      <c r="G144" s="1568"/>
      <c r="H144" s="1568"/>
      <c r="I144" s="1568"/>
      <c r="J144" s="845"/>
      <c r="K144" s="845"/>
      <c r="L144" s="845"/>
      <c r="M144" s="846"/>
      <c r="N144" s="846"/>
      <c r="O144" s="845"/>
    </row>
    <row r="145" spans="1:15">
      <c r="A145" s="1569"/>
      <c r="B145" s="845"/>
      <c r="C145" s="845"/>
      <c r="D145" s="845"/>
      <c r="E145" s="845"/>
      <c r="F145" s="845"/>
      <c r="G145" s="845"/>
      <c r="H145" s="845"/>
      <c r="I145" s="845"/>
      <c r="J145" s="845"/>
      <c r="K145" s="845"/>
      <c r="L145" s="845"/>
      <c r="M145" s="846"/>
      <c r="N145" s="846"/>
      <c r="O145" s="845"/>
    </row>
    <row r="146" spans="1:15">
      <c r="A146" s="845"/>
      <c r="B146" s="845"/>
      <c r="C146" s="845"/>
      <c r="D146" s="845"/>
      <c r="E146" s="845"/>
      <c r="F146" s="845"/>
      <c r="G146" s="845"/>
      <c r="H146" s="845"/>
      <c r="I146" s="845"/>
      <c r="J146" s="845"/>
      <c r="K146" s="845"/>
      <c r="L146" s="845"/>
      <c r="M146" s="846"/>
      <c r="N146" s="846"/>
      <c r="O146" s="845"/>
    </row>
    <row r="147" spans="1:15">
      <c r="A147" s="845"/>
      <c r="B147" s="845"/>
      <c r="C147" s="845"/>
      <c r="D147" s="845"/>
      <c r="E147" s="845"/>
      <c r="F147" s="845"/>
      <c r="G147" s="845"/>
      <c r="H147" s="845"/>
      <c r="I147" s="845"/>
      <c r="J147" s="845"/>
      <c r="K147" s="845"/>
      <c r="L147" s="845"/>
      <c r="M147" s="846"/>
      <c r="N147" s="846"/>
      <c r="O147" s="845"/>
    </row>
    <row r="148" spans="1:15">
      <c r="A148" s="845"/>
      <c r="B148" s="845"/>
      <c r="C148" s="845"/>
      <c r="D148" s="845"/>
      <c r="E148" s="845"/>
      <c r="F148" s="845"/>
      <c r="G148" s="845"/>
      <c r="H148" s="845"/>
      <c r="I148" s="845"/>
      <c r="J148" s="845"/>
      <c r="K148" s="845"/>
      <c r="L148" s="845"/>
      <c r="M148" s="846"/>
      <c r="N148" s="846"/>
      <c r="O148" s="845"/>
    </row>
    <row r="149" spans="1:15">
      <c r="A149" s="845"/>
      <c r="B149" s="845"/>
      <c r="C149" s="845"/>
      <c r="D149" s="845"/>
      <c r="E149" s="845"/>
      <c r="F149" s="845"/>
      <c r="G149" s="845"/>
      <c r="H149" s="845"/>
      <c r="I149" s="845"/>
      <c r="J149" s="845"/>
      <c r="K149" s="845"/>
      <c r="L149" s="845"/>
      <c r="M149" s="846"/>
      <c r="N149" s="846"/>
      <c r="O149" s="845"/>
    </row>
    <row r="150" spans="1:15">
      <c r="A150" s="845"/>
      <c r="B150" s="845"/>
      <c r="C150" s="845"/>
      <c r="D150" s="845"/>
      <c r="E150" s="845"/>
      <c r="F150" s="845"/>
      <c r="G150" s="845"/>
      <c r="H150" s="845"/>
      <c r="I150" s="845"/>
      <c r="J150" s="845"/>
      <c r="K150" s="845"/>
      <c r="L150" s="845"/>
      <c r="M150" s="846"/>
      <c r="N150" s="846"/>
      <c r="O150" s="845"/>
    </row>
    <row r="151" spans="1:15">
      <c r="A151" s="845"/>
      <c r="B151" s="845"/>
      <c r="C151" s="845"/>
      <c r="D151" s="845"/>
      <c r="E151" s="845"/>
      <c r="F151" s="845"/>
      <c r="G151" s="845"/>
      <c r="H151" s="845"/>
      <c r="I151" s="845"/>
      <c r="J151" s="845"/>
      <c r="K151" s="845"/>
      <c r="L151" s="845"/>
      <c r="M151" s="846"/>
      <c r="N151" s="846"/>
      <c r="O151" s="845"/>
    </row>
    <row r="152" spans="1:15">
      <c r="A152" s="845"/>
      <c r="B152" s="845"/>
      <c r="C152" s="845"/>
      <c r="D152" s="845"/>
      <c r="E152" s="845"/>
      <c r="F152" s="845"/>
      <c r="G152" s="845"/>
      <c r="H152" s="845"/>
      <c r="I152" s="845"/>
      <c r="J152" s="845"/>
      <c r="K152" s="845"/>
      <c r="L152" s="845"/>
      <c r="M152" s="846"/>
      <c r="N152" s="846"/>
      <c r="O152" s="845"/>
    </row>
    <row r="153" spans="1:15">
      <c r="A153" s="845"/>
      <c r="B153" s="845"/>
      <c r="C153" s="845"/>
      <c r="D153" s="845"/>
      <c r="E153" s="845"/>
      <c r="F153" s="845"/>
      <c r="G153" s="845"/>
      <c r="H153" s="845"/>
      <c r="I153" s="845"/>
      <c r="J153" s="845"/>
      <c r="K153" s="845"/>
      <c r="L153" s="845"/>
      <c r="M153" s="846"/>
      <c r="N153" s="846"/>
      <c r="O153" s="845"/>
    </row>
    <row r="154" spans="1:15">
      <c r="A154" s="845"/>
      <c r="B154" s="845"/>
      <c r="C154" s="845"/>
      <c r="D154" s="845"/>
      <c r="E154" s="845"/>
      <c r="F154" s="845"/>
      <c r="G154" s="845"/>
      <c r="H154" s="845"/>
      <c r="I154" s="845"/>
      <c r="J154" s="845"/>
      <c r="K154" s="845"/>
      <c r="L154" s="845"/>
      <c r="M154" s="846"/>
      <c r="N154" s="846"/>
      <c r="O154" s="845"/>
    </row>
    <row r="155" spans="1:15">
      <c r="A155" s="845"/>
      <c r="B155" s="845"/>
      <c r="C155" s="845"/>
      <c r="D155" s="845"/>
      <c r="E155" s="845"/>
      <c r="F155" s="845"/>
      <c r="G155" s="845"/>
      <c r="H155" s="845"/>
      <c r="I155" s="845"/>
      <c r="J155" s="845"/>
      <c r="K155" s="845"/>
      <c r="L155" s="845"/>
      <c r="M155" s="846"/>
      <c r="N155" s="846"/>
      <c r="O155" s="845"/>
    </row>
    <row r="156" spans="1:15">
      <c r="A156" s="845"/>
      <c r="B156" s="845"/>
      <c r="C156" s="845"/>
      <c r="D156" s="845"/>
      <c r="E156" s="845"/>
      <c r="F156" s="845"/>
      <c r="G156" s="845"/>
      <c r="H156" s="845"/>
      <c r="I156" s="845"/>
      <c r="J156" s="845"/>
      <c r="K156" s="845"/>
      <c r="L156" s="845"/>
      <c r="M156" s="846"/>
      <c r="N156" s="846"/>
      <c r="O156" s="845"/>
    </row>
    <row r="157" spans="1:15">
      <c r="A157" s="845"/>
      <c r="B157" s="845"/>
      <c r="C157" s="845"/>
      <c r="D157" s="845"/>
      <c r="E157" s="845"/>
      <c r="F157" s="845"/>
      <c r="G157" s="845"/>
      <c r="H157" s="845"/>
      <c r="I157" s="845"/>
      <c r="J157" s="845"/>
      <c r="K157" s="845"/>
      <c r="L157" s="845"/>
      <c r="M157" s="846"/>
      <c r="N157" s="846"/>
      <c r="O157" s="845"/>
    </row>
    <row r="158" spans="1:15">
      <c r="A158" s="845"/>
      <c r="B158" s="845"/>
      <c r="C158" s="845"/>
      <c r="D158" s="845"/>
      <c r="E158" s="845"/>
      <c r="F158" s="845"/>
      <c r="G158" s="845"/>
      <c r="H158" s="845"/>
      <c r="I158" s="845"/>
      <c r="J158" s="845"/>
      <c r="K158" s="845"/>
      <c r="L158" s="845"/>
      <c r="M158" s="846"/>
      <c r="N158" s="846"/>
      <c r="O158" s="84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3677727.4453824316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52977555.888456948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52977500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16200264.344211835</v>
      </c>
    </row>
    <row r="15" spans="2:36">
      <c r="B15" s="556"/>
      <c r="C15" s="560" t="s">
        <v>633</v>
      </c>
      <c r="H15" s="561">
        <f>12*PMT(Data!C24/12,Data!C29*12,-'Debt Calc'!H14)</f>
        <v>3677723.5655788155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1371655.1892661527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1371655.1892661527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52977500</v>
      </c>
      <c r="E21" s="561">
        <f>$H$15</f>
        <v>3677723.5655788155</v>
      </c>
      <c r="F21" s="561">
        <f>E21-G21</f>
        <v>0</v>
      </c>
      <c r="G21" s="561">
        <f>D21-H21</f>
        <v>3677723.5655788183</v>
      </c>
      <c r="H21" s="561">
        <f>D21-E21</f>
        <v>49299776.434421182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49299776.434421182</v>
      </c>
      <c r="E22" s="561">
        <f t="shared" ref="E22:E50" si="1">$H$15</f>
        <v>3677723.5655788155</v>
      </c>
      <c r="F22" s="561">
        <f t="shared" ref="F22:F50" si="2">E22-G22</f>
        <v>0</v>
      </c>
      <c r="G22" s="561">
        <f t="shared" ref="G22:G50" si="3">D22-H22</f>
        <v>3677723.5655788183</v>
      </c>
      <c r="H22" s="561">
        <f t="shared" ref="H22:H39" si="4">D22-E22</f>
        <v>45622052.868842363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45622052.868842363</v>
      </c>
      <c r="E23" s="561">
        <f t="shared" si="1"/>
        <v>3677723.5655788155</v>
      </c>
      <c r="F23" s="561">
        <f t="shared" si="2"/>
        <v>0</v>
      </c>
      <c r="G23" s="561">
        <f t="shared" si="3"/>
        <v>3677723.5655788183</v>
      </c>
      <c r="H23" s="561">
        <f t="shared" si="4"/>
        <v>41944329.303263545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41944329.303263545</v>
      </c>
      <c r="E24" s="561">
        <f t="shared" si="1"/>
        <v>3677723.5655788155</v>
      </c>
      <c r="F24" s="561">
        <f t="shared" si="2"/>
        <v>0</v>
      </c>
      <c r="G24" s="561">
        <f t="shared" si="3"/>
        <v>3677723.5655788183</v>
      </c>
      <c r="H24" s="561">
        <f t="shared" si="4"/>
        <v>38266605.737684727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38266605.737684727</v>
      </c>
      <c r="E25" s="561">
        <f t="shared" si="1"/>
        <v>3677723.5655788155</v>
      </c>
      <c r="F25" s="561">
        <f t="shared" si="2"/>
        <v>0</v>
      </c>
      <c r="G25" s="561">
        <f t="shared" si="3"/>
        <v>3677723.5655788183</v>
      </c>
      <c r="H25" s="561">
        <f t="shared" si="4"/>
        <v>34588882.172105908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34588882.172105908</v>
      </c>
      <c r="E26" s="561">
        <f t="shared" si="1"/>
        <v>3677723.5655788155</v>
      </c>
      <c r="F26" s="561">
        <f t="shared" si="2"/>
        <v>0</v>
      </c>
      <c r="G26" s="561">
        <f t="shared" si="3"/>
        <v>3677723.5655788146</v>
      </c>
      <c r="H26" s="561">
        <f t="shared" si="4"/>
        <v>30911158.606527094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30911158.606527094</v>
      </c>
      <c r="E27" s="561">
        <f t="shared" si="1"/>
        <v>3677723.5655788155</v>
      </c>
      <c r="F27" s="561">
        <f t="shared" si="2"/>
        <v>0</v>
      </c>
      <c r="G27" s="561">
        <f t="shared" si="3"/>
        <v>3677723.5655788146</v>
      </c>
      <c r="H27" s="561">
        <f t="shared" si="4"/>
        <v>27233435.040948279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27233435.040948279</v>
      </c>
      <c r="E28" s="561">
        <f t="shared" si="1"/>
        <v>3677723.5655788155</v>
      </c>
      <c r="F28" s="561">
        <f t="shared" si="2"/>
        <v>0</v>
      </c>
      <c r="G28" s="561">
        <f t="shared" si="3"/>
        <v>3677723.5655788146</v>
      </c>
      <c r="H28" s="561">
        <f t="shared" si="4"/>
        <v>23555711.475369465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23555711.475369465</v>
      </c>
      <c r="E29" s="561">
        <f t="shared" si="1"/>
        <v>3677723.5655788155</v>
      </c>
      <c r="F29" s="561">
        <f t="shared" si="2"/>
        <v>0</v>
      </c>
      <c r="G29" s="561">
        <f t="shared" si="3"/>
        <v>3677723.5655788146</v>
      </c>
      <c r="H29" s="561">
        <f t="shared" si="4"/>
        <v>19877987.90979065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19877987.90979065</v>
      </c>
      <c r="E30" s="561">
        <f t="shared" si="1"/>
        <v>3677723.5655788155</v>
      </c>
      <c r="F30" s="561">
        <f t="shared" si="2"/>
        <v>0</v>
      </c>
      <c r="G30" s="561">
        <f t="shared" si="3"/>
        <v>3677723.5655788146</v>
      </c>
      <c r="H30" s="561">
        <f>D30-E30</f>
        <v>16200264.344211835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16200264.344211835</v>
      </c>
      <c r="E31" s="561">
        <f t="shared" si="1"/>
        <v>3677723.5655788155</v>
      </c>
      <c r="F31" s="561">
        <f t="shared" si="2"/>
        <v>0</v>
      </c>
      <c r="G31" s="561">
        <f t="shared" si="3"/>
        <v>3677723.5655788146</v>
      </c>
      <c r="H31" s="561">
        <f t="shared" si="4"/>
        <v>12522540.778633021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12522540.778633021</v>
      </c>
      <c r="E32" s="561">
        <f t="shared" si="1"/>
        <v>3677723.5655788155</v>
      </c>
      <c r="F32" s="561">
        <f t="shared" si="2"/>
        <v>0</v>
      </c>
      <c r="G32" s="561">
        <f t="shared" si="3"/>
        <v>3677723.5655788146</v>
      </c>
      <c r="H32" s="561">
        <f t="shared" si="4"/>
        <v>8844817.2130542062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8844817.2130542062</v>
      </c>
      <c r="E33" s="561">
        <f t="shared" si="1"/>
        <v>3677723.5655788155</v>
      </c>
      <c r="F33" s="561">
        <f t="shared" si="2"/>
        <v>0</v>
      </c>
      <c r="G33" s="561">
        <f t="shared" si="3"/>
        <v>3677723.5655788155</v>
      </c>
      <c r="H33" s="561">
        <f t="shared" si="4"/>
        <v>5167093.6474753907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5167093.6474753907</v>
      </c>
      <c r="E34" s="561">
        <f t="shared" si="1"/>
        <v>3677723.5655788155</v>
      </c>
      <c r="F34" s="561">
        <f t="shared" si="2"/>
        <v>0</v>
      </c>
      <c r="G34" s="561">
        <f t="shared" si="3"/>
        <v>3677723.5655788155</v>
      </c>
      <c r="H34" s="561">
        <f t="shared" si="4"/>
        <v>1489370.0818965752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1489370.0818965752</v>
      </c>
      <c r="E35" s="561">
        <f t="shared" si="1"/>
        <v>3677723.5655788155</v>
      </c>
      <c r="F35" s="561">
        <f t="shared" si="2"/>
        <v>0</v>
      </c>
      <c r="G35" s="561">
        <f t="shared" si="3"/>
        <v>3677723.5655788155</v>
      </c>
      <c r="H35" s="561">
        <f t="shared" si="4"/>
        <v>-2188353.4836822404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-2188353.4836822404</v>
      </c>
      <c r="E36" s="561">
        <f t="shared" si="1"/>
        <v>3677723.5655788155</v>
      </c>
      <c r="F36" s="561">
        <f t="shared" si="2"/>
        <v>0</v>
      </c>
      <c r="G36" s="561">
        <f t="shared" si="3"/>
        <v>3677723.5655788155</v>
      </c>
      <c r="H36" s="561">
        <f t="shared" si="4"/>
        <v>-5866077.0492610559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-5866077.0492610559</v>
      </c>
      <c r="E37" s="561">
        <f t="shared" si="1"/>
        <v>3677723.5655788155</v>
      </c>
      <c r="F37" s="561">
        <f t="shared" si="2"/>
        <v>0</v>
      </c>
      <c r="G37" s="561">
        <f t="shared" si="3"/>
        <v>3677723.5655788146</v>
      </c>
      <c r="H37" s="561">
        <f t="shared" si="4"/>
        <v>-9543800.6148398705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-9543800.6148398705</v>
      </c>
      <c r="E38" s="561">
        <f t="shared" si="1"/>
        <v>3677723.5655788155</v>
      </c>
      <c r="F38" s="561">
        <f t="shared" si="2"/>
        <v>0</v>
      </c>
      <c r="G38" s="561">
        <f t="shared" si="3"/>
        <v>3677723.5655788146</v>
      </c>
      <c r="H38" s="561">
        <f>D38-E38</f>
        <v>-13221524.180418685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-13221524.180418685</v>
      </c>
      <c r="E39" s="561">
        <f t="shared" si="1"/>
        <v>3677723.5655788155</v>
      </c>
      <c r="F39" s="561">
        <f t="shared" si="2"/>
        <v>0</v>
      </c>
      <c r="G39" s="561">
        <f t="shared" si="3"/>
        <v>3677723.5655788146</v>
      </c>
      <c r="H39" s="561">
        <f t="shared" si="4"/>
        <v>-16899247.7459975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-16899247.7459975</v>
      </c>
      <c r="E40" s="561">
        <f t="shared" si="1"/>
        <v>3677723.5655788155</v>
      </c>
      <c r="F40" s="561">
        <f t="shared" si="2"/>
        <v>20576971.311576314</v>
      </c>
      <c r="G40" s="561">
        <f t="shared" si="3"/>
        <v>-16899247.7459975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3677723.5655788155</v>
      </c>
      <c r="F41" s="561">
        <f t="shared" si="2"/>
        <v>3677723.5655788155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3677723.5655788155</v>
      </c>
      <c r="F42" s="561">
        <f t="shared" si="2"/>
        <v>3677723.5655788155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3677723.5655788155</v>
      </c>
      <c r="F43" s="561">
        <f t="shared" si="2"/>
        <v>3677723.5655788155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3677723.5655788155</v>
      </c>
      <c r="F44" s="561">
        <f t="shared" si="2"/>
        <v>3677723.5655788155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3677723.5655788155</v>
      </c>
      <c r="F45" s="561">
        <f t="shared" si="2"/>
        <v>3677723.5655788155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3677723.5655788155</v>
      </c>
      <c r="F46" s="561">
        <f t="shared" si="2"/>
        <v>3677723.5655788155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3677723.5655788155</v>
      </c>
      <c r="F47" s="561">
        <f t="shared" si="2"/>
        <v>3677723.5655788155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3677723.5655788155</v>
      </c>
      <c r="F48" s="561">
        <f t="shared" si="2"/>
        <v>3677723.5655788155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3677723.5655788155</v>
      </c>
      <c r="F49" s="561">
        <f t="shared" si="2"/>
        <v>3677723.5655788155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3677723.5655788155</v>
      </c>
      <c r="F50" s="561">
        <f t="shared" si="2"/>
        <v>3677723.5655788155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501" t="s">
        <v>1076</v>
      </c>
      <c r="E54" s="1502"/>
      <c r="F54" s="561"/>
      <c r="G54" s="1503" t="s">
        <v>1087</v>
      </c>
      <c r="H54" s="1504"/>
    </row>
    <row r="55" spans="2:28">
      <c r="D55" s="1500" t="s">
        <v>1063</v>
      </c>
      <c r="E55" s="1509">
        <f>'Cash Flow'!K15/0.05</f>
        <v>137678338.732867</v>
      </c>
      <c r="F55" s="561"/>
      <c r="G55" s="1508" t="s">
        <v>1063</v>
      </c>
      <c r="H55" s="1512">
        <f>'Cash Flow'!N15/0.05</f>
        <v>148264512.24699879</v>
      </c>
    </row>
    <row r="56" spans="2:28">
      <c r="D56" s="1498" t="s">
        <v>1064</v>
      </c>
      <c r="E56" s="1510">
        <f>'Cash Flow'!K21/1.2</f>
        <v>4256999.359496328</v>
      </c>
      <c r="F56" s="561"/>
      <c r="G56" s="1506" t="s">
        <v>1064</v>
      </c>
      <c r="H56" s="1513">
        <f>'Cash Flow'!N21/1.2</f>
        <v>4577257.0128044058</v>
      </c>
    </row>
    <row r="57" spans="2:28">
      <c r="D57" s="1498" t="s">
        <v>1065</v>
      </c>
      <c r="E57" s="1510">
        <f>E55*0.6</f>
        <v>82607003.239720196</v>
      </c>
      <c r="F57" s="561"/>
      <c r="G57" s="1506" t="s">
        <v>1065</v>
      </c>
      <c r="H57" s="1513">
        <f>H55*0.6</f>
        <v>88958707.348199263</v>
      </c>
    </row>
    <row r="58" spans="2:28">
      <c r="D58" s="1498" t="s">
        <v>1066</v>
      </c>
      <c r="E58" s="1510">
        <f>-PV(6.5%,34,E56)</f>
        <v>57795615.476001836</v>
      </c>
      <c r="F58" s="561"/>
      <c r="G58" s="1506" t="s">
        <v>1066</v>
      </c>
      <c r="H58" s="1513">
        <f>-PV(6.5%,30,H56)</f>
        <v>59772915.868691593</v>
      </c>
    </row>
    <row r="59" spans="2:28">
      <c r="D59" s="1497" t="s">
        <v>1067</v>
      </c>
      <c r="E59" s="1510">
        <f>E58-H27</f>
        <v>30562180.435053557</v>
      </c>
      <c r="F59" s="561"/>
      <c r="G59" s="1505" t="s">
        <v>1067</v>
      </c>
      <c r="H59" s="1513">
        <f>H58-H30</f>
        <v>43572651.524479762</v>
      </c>
    </row>
    <row r="60" spans="2:28" ht="13.5" thickBot="1">
      <c r="D60" s="1499" t="s">
        <v>1068</v>
      </c>
      <c r="E60" s="1511">
        <f>E59*GapCalc!I33</f>
        <v>25977853.369795524</v>
      </c>
      <c r="F60" s="561"/>
      <c r="G60" s="1507" t="s">
        <v>1068</v>
      </c>
      <c r="H60" s="1514">
        <f>H59*GapCalc!I33</f>
        <v>37036753.795807794</v>
      </c>
    </row>
    <row r="61" spans="2:28">
      <c r="E61" s="561"/>
    </row>
    <row r="62" spans="2:28">
      <c r="C62" s="1490"/>
      <c r="E62" s="561"/>
    </row>
    <row r="64" spans="2:28">
      <c r="C64" s="1491"/>
    </row>
    <row r="67" spans="3:8">
      <c r="H67" s="1492"/>
    </row>
    <row r="68" spans="3:8">
      <c r="H68" s="1493"/>
    </row>
    <row r="70" spans="3:8">
      <c r="H70" s="564"/>
    </row>
    <row r="72" spans="3:8">
      <c r="D72" s="1494"/>
      <c r="E72" s="1494"/>
      <c r="F72" s="1494"/>
      <c r="G72" s="1494"/>
      <c r="H72" s="1494"/>
    </row>
    <row r="73" spans="3:8">
      <c r="C73" s="569"/>
      <c r="D73" s="1494"/>
      <c r="E73" s="1494"/>
      <c r="F73" s="1494"/>
      <c r="G73" s="1494"/>
      <c r="H73" s="1494"/>
    </row>
    <row r="74" spans="3:8">
      <c r="C74" s="569"/>
      <c r="D74" s="564"/>
      <c r="E74" s="564"/>
      <c r="F74" s="1495"/>
      <c r="G74" s="564"/>
      <c r="H74" s="564"/>
    </row>
    <row r="75" spans="3:8">
      <c r="C75" s="569"/>
      <c r="D75" s="564"/>
      <c r="E75" s="564"/>
      <c r="F75" s="1495"/>
      <c r="G75" s="564"/>
      <c r="H75" s="564"/>
    </row>
    <row r="76" spans="3:8">
      <c r="C76" s="569"/>
      <c r="D76" s="564"/>
      <c r="E76" s="564"/>
      <c r="F76" s="1495"/>
      <c r="G76" s="564"/>
      <c r="H76" s="564"/>
    </row>
    <row r="77" spans="3:8">
      <c r="C77" s="569"/>
      <c r="D77" s="564"/>
      <c r="E77" s="564"/>
      <c r="F77" s="1495"/>
      <c r="G77" s="564"/>
      <c r="H77" s="564"/>
    </row>
    <row r="78" spans="3:8">
      <c r="C78" s="569"/>
      <c r="D78" s="564"/>
      <c r="E78" s="564"/>
      <c r="F78" s="1495"/>
      <c r="G78" s="564"/>
      <c r="H78" s="564"/>
    </row>
    <row r="79" spans="3:8">
      <c r="C79" s="569"/>
      <c r="D79" s="564"/>
      <c r="E79" s="564"/>
      <c r="F79" s="1495"/>
      <c r="G79" s="564"/>
      <c r="H79" s="564"/>
    </row>
    <row r="80" spans="3:8">
      <c r="C80" s="569"/>
      <c r="D80" s="564"/>
      <c r="E80" s="564"/>
      <c r="F80" s="1495"/>
      <c r="G80" s="564"/>
      <c r="H80" s="564"/>
    </row>
    <row r="81" spans="3:8">
      <c r="C81" s="569"/>
      <c r="D81" s="564"/>
      <c r="E81" s="564"/>
      <c r="F81" s="1495"/>
      <c r="G81" s="564"/>
      <c r="H81" s="564"/>
    </row>
    <row r="82" spans="3:8">
      <c r="C82" s="569"/>
      <c r="D82" s="564"/>
      <c r="E82" s="564"/>
      <c r="F82" s="1495"/>
      <c r="G82" s="564"/>
      <c r="H82" s="564"/>
    </row>
    <row r="83" spans="3:8">
      <c r="C83" s="569"/>
      <c r="D83" s="564"/>
      <c r="E83" s="564"/>
      <c r="F83" s="1495"/>
      <c r="G83" s="564"/>
      <c r="H83" s="564"/>
    </row>
    <row r="84" spans="3:8">
      <c r="C84" s="569"/>
      <c r="D84" s="564"/>
      <c r="E84" s="564"/>
      <c r="F84" s="1495"/>
      <c r="G84" s="564"/>
      <c r="H84" s="564"/>
    </row>
    <row r="85" spans="3:8">
      <c r="C85" s="569"/>
      <c r="D85" s="564"/>
      <c r="E85" s="564"/>
      <c r="F85" s="1495"/>
      <c r="G85" s="564"/>
      <c r="H85" s="564"/>
    </row>
    <row r="86" spans="3:8">
      <c r="C86" s="569"/>
      <c r="D86" s="564"/>
      <c r="E86" s="564"/>
      <c r="F86" s="1495"/>
      <c r="G86" s="564"/>
      <c r="H86" s="564"/>
    </row>
    <row r="87" spans="3:8">
      <c r="C87" s="569"/>
      <c r="D87" s="564"/>
      <c r="E87" s="564"/>
      <c r="F87" s="1495"/>
      <c r="G87" s="564"/>
      <c r="H87" s="564"/>
    </row>
    <row r="88" spans="3:8">
      <c r="C88" s="569"/>
      <c r="D88" s="564"/>
      <c r="E88" s="564"/>
      <c r="F88" s="1495"/>
      <c r="G88" s="564"/>
      <c r="H88" s="564"/>
    </row>
    <row r="89" spans="3:8">
      <c r="C89" s="569"/>
      <c r="D89" s="564"/>
      <c r="E89" s="564"/>
      <c r="F89" s="1495"/>
      <c r="G89" s="564"/>
      <c r="H89" s="564"/>
    </row>
    <row r="90" spans="3:8">
      <c r="C90" s="569"/>
      <c r="D90" s="564"/>
      <c r="E90" s="564"/>
      <c r="F90" s="1495"/>
      <c r="G90" s="564"/>
      <c r="H90" s="564"/>
    </row>
    <row r="91" spans="3:8">
      <c r="C91" s="569"/>
      <c r="D91" s="564"/>
      <c r="E91" s="564"/>
      <c r="F91" s="1495"/>
      <c r="G91" s="564"/>
      <c r="H91" s="564"/>
    </row>
    <row r="92" spans="3:8">
      <c r="C92" s="569"/>
      <c r="D92" s="564"/>
      <c r="E92" s="564"/>
      <c r="F92" s="1495"/>
      <c r="G92" s="564"/>
      <c r="H92" s="564"/>
    </row>
    <row r="93" spans="3:8">
      <c r="C93" s="569"/>
      <c r="D93" s="564"/>
      <c r="E93" s="564"/>
      <c r="F93" s="1495"/>
      <c r="G93" s="564"/>
      <c r="H93" s="564"/>
    </row>
    <row r="94" spans="3:8">
      <c r="C94" s="569"/>
      <c r="D94" s="564"/>
      <c r="E94" s="564"/>
      <c r="F94" s="1495"/>
      <c r="G94" s="564"/>
      <c r="H94" s="564"/>
    </row>
    <row r="95" spans="3:8">
      <c r="C95" s="569"/>
      <c r="D95" s="564"/>
      <c r="E95" s="564"/>
      <c r="F95" s="1495"/>
      <c r="G95" s="564"/>
      <c r="H95" s="564"/>
    </row>
    <row r="96" spans="3:8">
      <c r="C96" s="569"/>
      <c r="D96" s="564"/>
      <c r="E96" s="564"/>
      <c r="F96" s="1495"/>
      <c r="G96" s="564"/>
      <c r="H96" s="564"/>
    </row>
    <row r="97" spans="3:8">
      <c r="C97" s="569"/>
      <c r="D97" s="564"/>
      <c r="E97" s="564"/>
      <c r="F97" s="1495"/>
      <c r="G97" s="564"/>
      <c r="H97" s="564"/>
    </row>
    <row r="98" spans="3:8">
      <c r="C98" s="569"/>
      <c r="D98" s="564"/>
      <c r="E98" s="564"/>
      <c r="F98" s="1495"/>
      <c r="G98" s="564"/>
      <c r="H98" s="564"/>
    </row>
    <row r="99" spans="3:8">
      <c r="C99" s="569"/>
      <c r="D99" s="564"/>
      <c r="E99" s="564"/>
      <c r="F99" s="1495"/>
      <c r="G99" s="564"/>
      <c r="H99" s="564"/>
    </row>
    <row r="100" spans="3:8">
      <c r="C100" s="569"/>
      <c r="D100" s="564"/>
      <c r="E100" s="564"/>
      <c r="F100" s="1495"/>
      <c r="G100" s="564"/>
      <c r="H100" s="564"/>
    </row>
    <row r="101" spans="3:8">
      <c r="C101" s="569"/>
      <c r="D101" s="564"/>
      <c r="E101" s="564"/>
      <c r="F101" s="1495"/>
      <c r="G101" s="564"/>
      <c r="H101" s="564"/>
    </row>
    <row r="102" spans="3:8">
      <c r="C102" s="569"/>
      <c r="D102" s="564"/>
      <c r="E102" s="564"/>
      <c r="F102" s="1495"/>
      <c r="G102" s="564"/>
      <c r="H102" s="564"/>
    </row>
    <row r="103" spans="3:8">
      <c r="C103" s="569"/>
      <c r="D103" s="564"/>
      <c r="E103" s="564"/>
      <c r="F103" s="1495"/>
      <c r="G103" s="564"/>
      <c r="H103" s="564"/>
    </row>
    <row r="104" spans="3:8">
      <c r="C104" s="569"/>
      <c r="D104" s="564"/>
      <c r="E104" s="564"/>
      <c r="F104" s="1495"/>
      <c r="G104" s="564"/>
      <c r="H104" s="564"/>
    </row>
    <row r="105" spans="3:8">
      <c r="C105" s="569"/>
      <c r="D105" s="564"/>
      <c r="E105" s="564"/>
      <c r="F105" s="1495"/>
      <c r="G105" s="564"/>
      <c r="H105" s="564"/>
    </row>
    <row r="106" spans="3:8">
      <c r="C106" s="569"/>
      <c r="D106" s="564"/>
      <c r="E106" s="564"/>
      <c r="F106" s="1495"/>
      <c r="G106" s="564"/>
      <c r="H106" s="564"/>
    </row>
    <row r="107" spans="3:8">
      <c r="C107" s="569"/>
      <c r="D107" s="564"/>
      <c r="E107" s="564"/>
      <c r="F107" s="1495"/>
      <c r="G107" s="564"/>
      <c r="H107" s="564"/>
    </row>
    <row r="108" spans="3:8">
      <c r="C108" s="569"/>
      <c r="D108" s="564"/>
      <c r="E108" s="564"/>
      <c r="F108" s="1495"/>
      <c r="G108" s="564"/>
      <c r="H108" s="564"/>
    </row>
    <row r="109" spans="3:8">
      <c r="C109" s="569"/>
      <c r="D109" s="564"/>
      <c r="E109" s="564"/>
      <c r="F109" s="1495"/>
      <c r="G109" s="564"/>
      <c r="H109" s="564"/>
    </row>
    <row r="110" spans="3:8">
      <c r="C110" s="569"/>
      <c r="D110" s="564"/>
      <c r="E110" s="564"/>
      <c r="F110" s="1495"/>
      <c r="G110" s="564"/>
      <c r="H110" s="564"/>
    </row>
    <row r="111" spans="3:8">
      <c r="C111" s="569"/>
      <c r="D111" s="564"/>
      <c r="E111" s="564"/>
      <c r="F111" s="1495"/>
      <c r="G111" s="564"/>
      <c r="H111" s="564"/>
    </row>
    <row r="112" spans="3:8">
      <c r="C112" s="569"/>
      <c r="D112" s="564"/>
      <c r="E112" s="564"/>
      <c r="F112" s="1495"/>
      <c r="G112" s="564"/>
      <c r="H112" s="564"/>
    </row>
    <row r="113" spans="3:8">
      <c r="C113" s="569"/>
      <c r="D113" s="564"/>
      <c r="E113" s="564"/>
      <c r="F113" s="1495"/>
      <c r="G113" s="564"/>
      <c r="H113" s="564"/>
    </row>
    <row r="114" spans="3:8">
      <c r="C114" s="569"/>
      <c r="D114" s="564"/>
      <c r="E114" s="564"/>
      <c r="F114" s="1495"/>
      <c r="G114" s="564"/>
      <c r="H114" s="564"/>
    </row>
    <row r="115" spans="3:8">
      <c r="C115" s="569"/>
      <c r="D115" s="564"/>
      <c r="E115" s="564"/>
      <c r="F115" s="1495"/>
      <c r="G115" s="564"/>
      <c r="H115" s="564"/>
    </row>
    <row r="116" spans="3:8">
      <c r="C116" s="569"/>
      <c r="D116" s="564"/>
      <c r="E116" s="564"/>
      <c r="F116" s="1495"/>
      <c r="G116" s="564"/>
      <c r="H116" s="564"/>
    </row>
    <row r="117" spans="3:8">
      <c r="C117" s="569"/>
      <c r="D117" s="564"/>
      <c r="E117" s="564"/>
      <c r="F117" s="1495"/>
      <c r="G117" s="564"/>
      <c r="H117" s="564"/>
    </row>
    <row r="118" spans="3:8">
      <c r="C118" s="569"/>
      <c r="D118" s="564"/>
      <c r="E118" s="564"/>
      <c r="F118" s="1495"/>
      <c r="G118" s="564"/>
      <c r="H118" s="564"/>
    </row>
    <row r="119" spans="3:8">
      <c r="C119" s="569"/>
      <c r="D119" s="564"/>
      <c r="E119" s="564"/>
      <c r="F119" s="1495"/>
      <c r="G119" s="564"/>
      <c r="H119" s="564"/>
    </row>
    <row r="120" spans="3:8">
      <c r="C120" s="569"/>
      <c r="D120" s="564"/>
      <c r="E120" s="564"/>
      <c r="F120" s="1495"/>
      <c r="G120" s="564"/>
      <c r="H120" s="564"/>
    </row>
    <row r="121" spans="3:8">
      <c r="C121" s="569"/>
      <c r="D121" s="564"/>
      <c r="E121" s="564"/>
      <c r="F121" s="1495"/>
      <c r="G121" s="564"/>
      <c r="H121" s="564"/>
    </row>
    <row r="122" spans="3:8">
      <c r="C122" s="569"/>
      <c r="D122" s="564"/>
      <c r="E122" s="564"/>
      <c r="F122" s="1495"/>
      <c r="G122" s="564"/>
      <c r="H122" s="564"/>
    </row>
    <row r="123" spans="3:8">
      <c r="C123" s="569"/>
      <c r="D123" s="564"/>
      <c r="E123" s="564"/>
      <c r="F123" s="1495"/>
      <c r="G123" s="564"/>
      <c r="H123" s="564"/>
    </row>
    <row r="124" spans="3:8">
      <c r="C124" s="569"/>
      <c r="D124" s="564"/>
      <c r="E124" s="564"/>
      <c r="F124" s="1495"/>
      <c r="G124" s="564"/>
      <c r="H124" s="564"/>
    </row>
    <row r="125" spans="3:8">
      <c r="C125" s="569"/>
      <c r="D125" s="564"/>
      <c r="E125" s="564"/>
      <c r="F125" s="1495"/>
      <c r="G125" s="564"/>
      <c r="H125" s="564"/>
    </row>
    <row r="126" spans="3:8">
      <c r="C126" s="569"/>
      <c r="D126" s="564"/>
      <c r="E126" s="564"/>
      <c r="F126" s="1495"/>
      <c r="G126" s="564"/>
      <c r="H126" s="564"/>
    </row>
    <row r="127" spans="3:8">
      <c r="C127" s="569"/>
      <c r="D127" s="564"/>
      <c r="E127" s="564"/>
      <c r="F127" s="1495"/>
      <c r="G127" s="564"/>
      <c r="H127" s="564"/>
    </row>
    <row r="128" spans="3:8">
      <c r="C128" s="569"/>
      <c r="D128" s="564"/>
      <c r="E128" s="564"/>
      <c r="F128" s="1495"/>
      <c r="G128" s="564"/>
      <c r="H128" s="564"/>
    </row>
    <row r="129" spans="3:8">
      <c r="C129" s="569"/>
      <c r="D129" s="564"/>
      <c r="E129" s="564"/>
      <c r="F129" s="1495"/>
      <c r="G129" s="564"/>
      <c r="H129" s="564"/>
    </row>
    <row r="130" spans="3:8">
      <c r="C130" s="569"/>
      <c r="D130" s="564"/>
      <c r="E130" s="564"/>
      <c r="F130" s="1495"/>
      <c r="G130" s="564"/>
      <c r="H130" s="564"/>
    </row>
    <row r="131" spans="3:8">
      <c r="C131" s="569"/>
      <c r="D131" s="564"/>
      <c r="E131" s="564"/>
      <c r="F131" s="1495"/>
      <c r="G131" s="564"/>
      <c r="H131" s="564"/>
    </row>
    <row r="132" spans="3:8">
      <c r="C132" s="569"/>
      <c r="D132" s="564"/>
      <c r="E132" s="564"/>
      <c r="F132" s="1495"/>
      <c r="G132" s="564"/>
      <c r="H132" s="564"/>
    </row>
    <row r="133" spans="3:8">
      <c r="C133" s="569"/>
      <c r="D133" s="564"/>
      <c r="E133" s="564"/>
      <c r="F133" s="1495"/>
      <c r="G133" s="564"/>
      <c r="H133" s="564"/>
    </row>
    <row r="134" spans="3:8">
      <c r="C134" s="569"/>
      <c r="D134" s="564"/>
      <c r="E134" s="564"/>
      <c r="F134" s="1495"/>
      <c r="G134" s="564"/>
      <c r="H134" s="564"/>
    </row>
    <row r="135" spans="3:8">
      <c r="C135" s="569"/>
      <c r="D135" s="564"/>
      <c r="E135" s="564"/>
      <c r="F135" s="1495"/>
      <c r="G135" s="564"/>
      <c r="H135" s="564"/>
    </row>
    <row r="136" spans="3:8">
      <c r="C136" s="569"/>
      <c r="D136" s="564"/>
      <c r="E136" s="564"/>
      <c r="F136" s="1495"/>
      <c r="G136" s="564"/>
      <c r="H136" s="564"/>
    </row>
    <row r="137" spans="3:8">
      <c r="C137" s="569"/>
      <c r="D137" s="564"/>
      <c r="E137" s="564"/>
      <c r="F137" s="1495"/>
      <c r="G137" s="564"/>
      <c r="H137" s="564"/>
    </row>
    <row r="138" spans="3:8">
      <c r="C138" s="569"/>
      <c r="D138" s="564"/>
      <c r="E138" s="564"/>
      <c r="F138" s="1495"/>
      <c r="G138" s="564"/>
      <c r="H138" s="564"/>
    </row>
    <row r="139" spans="3:8">
      <c r="C139" s="569"/>
      <c r="D139" s="564"/>
      <c r="E139" s="564"/>
      <c r="F139" s="1495"/>
      <c r="G139" s="564"/>
      <c r="H139" s="564"/>
    </row>
    <row r="140" spans="3:8">
      <c r="C140" s="1496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246" t="s">
        <v>972</v>
      </c>
      <c r="C3" s="1260">
        <f>'Development Budget'!E18</f>
        <v>9880000</v>
      </c>
      <c r="D3" s="1247" t="s">
        <v>974</v>
      </c>
      <c r="E3" s="1258">
        <v>1.199398E-2</v>
      </c>
    </row>
    <row r="4" spans="1:5" ht="31.5">
      <c r="B4" s="1248" t="s">
        <v>973</v>
      </c>
      <c r="C4" s="1261">
        <f>SUM('Development Budget'!G31+'Development Budget'!G32)</f>
        <v>48821767</v>
      </c>
      <c r="D4" s="1249" t="s">
        <v>975</v>
      </c>
      <c r="E4" s="1259">
        <v>1.199398E-2</v>
      </c>
    </row>
    <row r="5" spans="1:5">
      <c r="B5" s="1177"/>
      <c r="C5" s="1177"/>
      <c r="D5" s="1177"/>
      <c r="E5" s="1177"/>
    </row>
    <row r="6" spans="1:5" ht="31.5">
      <c r="A6" s="1252"/>
      <c r="B6" s="1247" t="s">
        <v>976</v>
      </c>
      <c r="C6" s="1247" t="s">
        <v>977</v>
      </c>
      <c r="D6" s="1250" t="s">
        <v>978</v>
      </c>
      <c r="E6" s="1177"/>
    </row>
    <row r="7" spans="1:5">
      <c r="A7" s="1253"/>
      <c r="B7" s="1262">
        <f>C3*E3</f>
        <v>118500.5224</v>
      </c>
      <c r="C7" s="1262">
        <f>C4*E4</f>
        <v>585567.29696265992</v>
      </c>
      <c r="D7" s="1254">
        <f>(1-'Rental Income'!O19)</f>
        <v>0.80263157894736836</v>
      </c>
    </row>
    <row r="8" spans="1:5">
      <c r="A8" s="1255" t="s">
        <v>979</v>
      </c>
      <c r="B8" s="1262">
        <f>B7*D7</f>
        <v>95112.261399999988</v>
      </c>
      <c r="C8" s="1262">
        <f>C7*D7</f>
        <v>469994.80414108228</v>
      </c>
      <c r="D8" s="1256"/>
    </row>
    <row r="9" spans="1:5">
      <c r="A9" s="1253"/>
      <c r="B9" s="1262"/>
      <c r="C9" s="1262"/>
      <c r="D9" s="1256"/>
    </row>
    <row r="10" spans="1:5">
      <c r="A10" s="1257" t="s">
        <v>980</v>
      </c>
      <c r="B10" s="1263">
        <f>SUM(B8:C8)</f>
        <v>565107.06554108229</v>
      </c>
      <c r="C10" s="1263"/>
      <c r="D10" s="1251"/>
    </row>
    <row r="12" spans="1:5">
      <c r="A12" t="s">
        <v>989</v>
      </c>
    </row>
    <row r="13" spans="1:5">
      <c r="A13" t="s">
        <v>990</v>
      </c>
      <c r="B13">
        <v>6</v>
      </c>
      <c r="C13" s="1270">
        <f>C3*(E3/12)*B13</f>
        <v>59250.261200000001</v>
      </c>
    </row>
    <row r="14" spans="1:5">
      <c r="A14" t="s">
        <v>991</v>
      </c>
      <c r="B14">
        <v>24</v>
      </c>
      <c r="C14" s="1270">
        <f>C3*(E3/12)*B14</f>
        <v>237001.0448</v>
      </c>
    </row>
    <row r="15" spans="1:5">
      <c r="A15" s="40" t="s">
        <v>993</v>
      </c>
      <c r="C15" s="1273">
        <f>SUM(C13+C14)</f>
        <v>296251.30599999998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152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6242820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-312420</v>
      </c>
      <c r="E18" s="50"/>
      <c r="F18" s="55">
        <v>0.05</v>
      </c>
    </row>
    <row r="19" spans="1:25">
      <c r="A19" s="40" t="s">
        <v>164</v>
      </c>
      <c r="D19" s="57">
        <f>SUM(D15:D18)</f>
        <v>5935980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1140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79283</v>
      </c>
      <c r="E22" s="48">
        <v>1043</v>
      </c>
      <c r="F22" s="453" t="s">
        <v>171</v>
      </c>
      <c r="N22" s="428">
        <f>D22*0.8</f>
        <v>63426.400000000001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23474.880000000001</v>
      </c>
      <c r="Y22" s="688">
        <f>T22/5</f>
        <v>154.44</v>
      </c>
    </row>
    <row r="23" spans="1:25">
      <c r="B23" t="s">
        <v>173</v>
      </c>
      <c r="D23" s="48">
        <f>(E23*$D$10-20)/2</f>
        <v>101374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14166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80343.360000000001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912</v>
      </c>
      <c r="Y25" s="688">
        <f>T25/5</f>
        <v>6</v>
      </c>
    </row>
    <row r="26" spans="1:25">
      <c r="A26" s="40" t="s">
        <v>182</v>
      </c>
      <c r="D26" s="51">
        <f>SUM(D22:D25)</f>
        <v>275166.36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28272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15200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60800</v>
      </c>
      <c r="Y30">
        <v>400</v>
      </c>
    </row>
    <row r="31" spans="1:25">
      <c r="B31" t="s">
        <v>191</v>
      </c>
      <c r="D31" s="48">
        <f>E31*$D$10</f>
        <v>24928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140627.98000000001</v>
      </c>
    </row>
    <row r="32" spans="1:25">
      <c r="A32" s="42"/>
      <c r="B32" s="43" t="s">
        <v>193</v>
      </c>
      <c r="C32" s="43"/>
      <c r="D32" s="50">
        <f>E32*$D$10</f>
        <v>4560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72960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6840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17733.333333333336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80560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6840</v>
      </c>
      <c r="Y36" s="688">
        <f>T36/6</f>
        <v>45</v>
      </c>
    </row>
    <row r="37" spans="1:25">
      <c r="B37" t="s">
        <v>201</v>
      </c>
      <c r="D37" s="48">
        <f>E37*$D$10</f>
        <v>120080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19000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63992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50413.333333333336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264632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56088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40382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60192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20672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129200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8360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247464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171">
        <f>'Tax Calc'!B10</f>
        <v>565107.06554108229</v>
      </c>
      <c r="Y56" s="1171">
        <f>X56/'Rental Income'!D15</f>
        <v>3717.8096417176466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723.30417157894738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170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2223.3041715789473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127680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263.15789473684208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637691.19887441571</v>
      </c>
    </row>
    <row r="65" spans="1:25">
      <c r="B65" t="s">
        <v>249</v>
      </c>
      <c r="D65" s="48">
        <f>E65*$D$10</f>
        <v>22800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202480</v>
      </c>
      <c r="E67" s="48">
        <f>SUM(E62:E66)</f>
        <v>1438.1578947368421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45600</v>
      </c>
      <c r="E69" s="426">
        <v>300</v>
      </c>
    </row>
    <row r="70" spans="1:25">
      <c r="V70" s="40" t="s">
        <v>255</v>
      </c>
      <c r="X70" s="1169">
        <f>SUM(X68,X64,X54,X39,X31)</f>
        <v>994973.51220774907</v>
      </c>
      <c r="Y70" s="1169">
        <f>X70/D10</f>
        <v>6545.8783697878225</v>
      </c>
    </row>
    <row r="71" spans="1:25">
      <c r="A71" s="40" t="s">
        <v>256</v>
      </c>
      <c r="D71" s="48">
        <f>E71*$D$10</f>
        <v>76000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1390714.5940799997</v>
      </c>
      <c r="E73" s="52">
        <f>E71+E69+E67+E54+E59+E45+E43+E41+E33+E26</f>
        <v>12014.462066315789</v>
      </c>
      <c r="G73" s="147"/>
      <c r="H73">
        <f>('Operating Budget'!D73-'Operating Budget'!D69-'Operating Budget'!D57)*-1</f>
        <v>-1345114.5940799997</v>
      </c>
      <c r="Y73" s="1171">
        <f>Y70-6000</f>
        <v>545.87836978782252</v>
      </c>
    </row>
    <row r="75" spans="1:25">
      <c r="A75" s="44" t="s">
        <v>259</v>
      </c>
      <c r="B75" s="45"/>
      <c r="C75" s="45"/>
      <c r="D75" s="52">
        <f>D19-D73</f>
        <v>4545265.4059200007</v>
      </c>
      <c r="E75" s="52">
        <f>D75/D10</f>
        <v>29903.061881052636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148344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61177208.750000007</v>
      </c>
      <c r="C7" s="465">
        <f>'Dev Summary_5-20'!B8</f>
        <v>3190331</v>
      </c>
      <c r="D7" s="465">
        <f t="shared" ref="D7:D14" si="0">B7-C7</f>
        <v>57986877.750000007</v>
      </c>
      <c r="E7" s="477">
        <f t="shared" ref="E7:E15" si="1">D7/B7</f>
        <v>0.94785098788934208</v>
      </c>
      <c r="F7" s="477"/>
      <c r="G7" s="472" t="e">
        <f t="shared" ref="G7:G14" si="2">B7/$B$15</f>
        <v>#REF!</v>
      </c>
      <c r="I7" s="147">
        <f>B7/$H$4</f>
        <v>556156.44318181823</v>
      </c>
      <c r="J7" s="53">
        <f>B7/$H$5</f>
        <v>412.40096498678753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249165.84752440249</v>
      </c>
      <c r="C9" s="446">
        <f>'Dev Summary_5-20'!B10</f>
        <v>50000</v>
      </c>
      <c r="D9" s="446">
        <f t="shared" si="0"/>
        <v>199165.84752440249</v>
      </c>
      <c r="E9" s="477">
        <f t="shared" si="1"/>
        <v>0.79933044397224962</v>
      </c>
      <c r="F9" s="477"/>
      <c r="G9" s="473" t="e">
        <f t="shared" si="2"/>
        <v>#REF!</v>
      </c>
      <c r="I9" s="53">
        <f t="shared" si="3"/>
        <v>2265.1440684036588</v>
      </c>
      <c r="J9" s="53">
        <f t="shared" si="4"/>
        <v>1.6796489748449717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0.21571482500134823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296251.30599999998</v>
      </c>
      <c r="C12" s="446">
        <f>'Dev Summary_5-20'!B13</f>
        <v>2500000</v>
      </c>
      <c r="D12" s="446">
        <f t="shared" si="0"/>
        <v>-2203748.6940000001</v>
      </c>
      <c r="E12" s="477">
        <f t="shared" si="1"/>
        <v>-7.4387813635495004</v>
      </c>
      <c r="F12" s="477"/>
      <c r="G12" s="473" t="e">
        <f t="shared" si="2"/>
        <v>#REF!</v>
      </c>
      <c r="I12" s="53">
        <f t="shared" si="3"/>
        <v>2693.1936909090909</v>
      </c>
      <c r="J12" s="53">
        <f t="shared" si="4"/>
        <v>1.9970562071940894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2537086</v>
      </c>
      <c r="C14" s="467">
        <f>'Dev Summary_5-20'!B14</f>
        <v>282276.62941911275</v>
      </c>
      <c r="D14" s="467">
        <f t="shared" si="0"/>
        <v>2254809.3705808874</v>
      </c>
      <c r="E14" s="478">
        <f t="shared" si="1"/>
        <v>0.88873982615523772</v>
      </c>
      <c r="F14" s="478"/>
      <c r="G14" s="474" t="e">
        <f t="shared" si="2"/>
        <v>#REF!</v>
      </c>
      <c r="I14" s="53">
        <f t="shared" si="3"/>
        <v>23064.418181818182</v>
      </c>
      <c r="J14" s="53">
        <f t="shared" si="4"/>
        <v>17.102720703230329</v>
      </c>
    </row>
    <row r="15" spans="1:10" ht="16.5" thickTop="1">
      <c r="A15" s="463" t="s">
        <v>59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60486712.59494748</v>
      </c>
      <c r="C21" s="48">
        <v>18731659</v>
      </c>
      <c r="D21" s="48">
        <f>B21-C21</f>
        <v>41755053.59494748</v>
      </c>
      <c r="E21" s="55">
        <f>D21/B21</f>
        <v>0.69031778722316151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8122712.5949474797</v>
      </c>
      <c r="C28" s="50"/>
      <c r="D28" s="50">
        <f t="shared" si="5"/>
        <v>8122712.5949474797</v>
      </c>
      <c r="E28" s="476">
        <f t="shared" si="6"/>
        <v>1</v>
      </c>
      <c r="F28" s="482"/>
    </row>
    <row r="29" spans="1:6" ht="16.5" thickTop="1">
      <c r="A29" s="451" t="s">
        <v>59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290" t="s">
        <v>1003</v>
      </c>
      <c r="B1" s="1291"/>
      <c r="C1" s="1291"/>
      <c r="D1" s="1291"/>
      <c r="E1" s="1291"/>
      <c r="F1" s="1291"/>
      <c r="G1" s="1291"/>
      <c r="H1" s="1291"/>
      <c r="I1" s="1291"/>
      <c r="J1" s="1291"/>
      <c r="K1" s="1292"/>
    </row>
    <row r="2" spans="1:11" ht="18.75" thickBot="1">
      <c r="A2" s="1293" t="s">
        <v>1004</v>
      </c>
      <c r="B2" s="1294"/>
      <c r="C2" s="1294"/>
      <c r="D2" s="1294"/>
      <c r="E2" s="1294"/>
      <c r="F2" s="1294"/>
      <c r="G2" s="1294"/>
      <c r="H2" s="1294"/>
      <c r="I2" s="1294"/>
      <c r="J2" s="1294"/>
      <c r="K2" s="1295"/>
    </row>
    <row r="3" spans="1:11">
      <c r="A3" s="1296" t="s">
        <v>1005</v>
      </c>
      <c r="B3" s="1297" t="s">
        <v>1086</v>
      </c>
      <c r="C3" s="1298"/>
      <c r="D3" s="1298" t="s">
        <v>1006</v>
      </c>
      <c r="E3" s="1298"/>
      <c r="F3" s="1298"/>
      <c r="G3" s="1298"/>
      <c r="H3" s="1298"/>
      <c r="I3" s="1298"/>
      <c r="J3" s="1298"/>
      <c r="K3" s="1299"/>
    </row>
    <row r="4" spans="1:11">
      <c r="A4" s="1300" t="s">
        <v>1007</v>
      </c>
      <c r="B4" s="1301" t="s">
        <v>1008</v>
      </c>
      <c r="C4" s="1302"/>
      <c r="D4" s="1302"/>
      <c r="E4" s="1302" t="s">
        <v>1009</v>
      </c>
      <c r="F4" s="1302"/>
      <c r="G4" s="1303"/>
      <c r="H4" s="1302"/>
      <c r="I4" s="1302"/>
      <c r="J4" s="1302"/>
      <c r="K4" s="1304"/>
    </row>
    <row r="5" spans="1:11" ht="16.5" thickBot="1">
      <c r="A5" s="1300"/>
      <c r="B5" s="1302"/>
      <c r="C5" s="1302" t="s">
        <v>1010</v>
      </c>
      <c r="D5" s="1302"/>
      <c r="E5" s="1302"/>
      <c r="F5" s="1302"/>
      <c r="G5" s="1302"/>
      <c r="H5" s="1302"/>
      <c r="I5" s="1305" t="s">
        <v>1011</v>
      </c>
      <c r="J5" s="1302"/>
      <c r="K5" s="1304"/>
    </row>
    <row r="6" spans="1:11" ht="16.5" thickBot="1">
      <c r="A6" s="1306" t="s">
        <v>1012</v>
      </c>
      <c r="B6" s="1307"/>
      <c r="C6" s="1308">
        <v>20</v>
      </c>
      <c r="D6" s="1307"/>
      <c r="E6" s="1307" t="s">
        <v>1013</v>
      </c>
      <c r="F6" s="1307"/>
      <c r="G6" s="1307"/>
      <c r="H6" s="1309">
        <f>'Development Budget'!G46+'Development Budget'!G47</f>
        <v>67294929.625000015</v>
      </c>
      <c r="I6" s="1310"/>
      <c r="J6" s="1311"/>
      <c r="K6" s="1312"/>
    </row>
    <row r="7" spans="1:11">
      <c r="A7" s="1313" t="s">
        <v>1014</v>
      </c>
      <c r="B7" s="1314"/>
      <c r="C7" s="1315"/>
      <c r="D7" s="1314"/>
      <c r="E7" s="1314"/>
      <c r="F7" s="1314"/>
      <c r="G7" s="1314"/>
      <c r="H7" s="1314"/>
      <c r="I7" s="1314"/>
      <c r="J7" s="1314"/>
      <c r="K7" s="1316"/>
    </row>
    <row r="8" spans="1:11">
      <c r="A8" s="1317" t="s">
        <v>1015</v>
      </c>
      <c r="B8" s="1315"/>
      <c r="C8" s="1315"/>
      <c r="D8" s="1318">
        <f>SUM(H6/1000)*0.9+500</f>
        <v>61065.436662500018</v>
      </c>
      <c r="E8" s="1315"/>
      <c r="F8" s="1315"/>
      <c r="G8" s="1315"/>
      <c r="H8" s="1315"/>
      <c r="I8" s="1315"/>
      <c r="J8" s="1315"/>
      <c r="K8" s="1319"/>
    </row>
    <row r="9" spans="1:11">
      <c r="A9" s="1317"/>
      <c r="B9" s="1315"/>
      <c r="C9" s="1315"/>
      <c r="D9" s="1318"/>
      <c r="E9" s="1315"/>
      <c r="F9" s="1315"/>
      <c r="G9" s="1315"/>
      <c r="H9" s="1315"/>
      <c r="I9" s="1315"/>
      <c r="J9" s="1315"/>
      <c r="K9" s="1319"/>
    </row>
    <row r="10" spans="1:11">
      <c r="A10" s="1317" t="s">
        <v>1016</v>
      </c>
      <c r="B10" s="1315"/>
      <c r="C10" s="1315"/>
      <c r="D10" s="1318"/>
      <c r="E10" s="1315"/>
      <c r="F10" s="1315"/>
      <c r="G10" s="1315"/>
      <c r="H10" s="1315"/>
      <c r="I10" s="1315"/>
      <c r="J10" s="1315"/>
      <c r="K10" s="1319"/>
    </row>
    <row r="11" spans="1:11">
      <c r="A11" s="1320">
        <v>4000000</v>
      </c>
      <c r="B11" s="1315"/>
      <c r="C11" s="1315"/>
      <c r="D11" s="1318">
        <f>SUM(D8*0.9)</f>
        <v>54958.892996250019</v>
      </c>
      <c r="E11" s="1315"/>
      <c r="F11" s="1315"/>
      <c r="G11" s="1315"/>
      <c r="H11" s="1315"/>
      <c r="I11" s="1315"/>
      <c r="J11" s="1315"/>
      <c r="K11" s="1319"/>
    </row>
    <row r="12" spans="1:11">
      <c r="A12" s="1317"/>
      <c r="B12" s="1315"/>
      <c r="C12" s="1315"/>
      <c r="D12" s="1318"/>
      <c r="E12" s="1315"/>
      <c r="F12" s="1315"/>
      <c r="G12" s="1315"/>
      <c r="H12" s="1315"/>
      <c r="I12" s="1315"/>
      <c r="J12" s="1315"/>
      <c r="K12" s="1319"/>
    </row>
    <row r="13" spans="1:11">
      <c r="A13" s="1317" t="s">
        <v>1017</v>
      </c>
      <c r="B13" s="1315"/>
      <c r="C13" s="1315"/>
      <c r="D13" s="1318">
        <f>SUM(A14+A15+A16)/100*0.415/12*C6</f>
        <v>497584.51323958341</v>
      </c>
      <c r="E13" s="1315"/>
      <c r="F13" s="1315"/>
      <c r="G13" s="1315"/>
      <c r="H13" s="1315"/>
      <c r="I13" s="1315"/>
      <c r="J13" s="1315"/>
      <c r="K13" s="1319"/>
    </row>
    <row r="14" spans="1:11">
      <c r="A14" s="1321">
        <f>H6</f>
        <v>67294929.625000015</v>
      </c>
      <c r="B14" s="1315" t="s">
        <v>1018</v>
      </c>
      <c r="C14" s="1315"/>
      <c r="D14" s="1318"/>
      <c r="E14" s="1315"/>
      <c r="F14" s="1315"/>
      <c r="G14" s="1315"/>
      <c r="H14" s="1315"/>
      <c r="I14" s="1315"/>
      <c r="J14" s="1315"/>
      <c r="K14" s="1319"/>
    </row>
    <row r="15" spans="1:11">
      <c r="A15" s="1322">
        <v>4495000</v>
      </c>
      <c r="B15" s="1315" t="s">
        <v>1019</v>
      </c>
      <c r="C15" s="1315"/>
      <c r="D15" s="1318"/>
      <c r="E15" s="1315"/>
      <c r="F15" s="1315"/>
      <c r="G15" s="1315"/>
      <c r="H15" s="1315"/>
      <c r="I15" s="1315"/>
      <c r="J15" s="1315"/>
      <c r="K15" s="1319"/>
    </row>
    <row r="16" spans="1:11">
      <c r="A16" s="1322">
        <v>150000</v>
      </c>
      <c r="B16" s="1315" t="s">
        <v>1020</v>
      </c>
      <c r="C16" s="1315"/>
      <c r="D16" s="1318"/>
      <c r="E16" s="1315"/>
      <c r="F16" s="1315"/>
      <c r="G16" s="1315"/>
      <c r="H16" s="1315"/>
      <c r="I16" s="1315"/>
      <c r="J16" s="1315"/>
      <c r="K16" s="1319"/>
    </row>
    <row r="17" spans="1:11">
      <c r="A17" s="1321" t="s">
        <v>1021</v>
      </c>
      <c r="B17" s="1315"/>
      <c r="C17" s="1315"/>
      <c r="D17" s="1318">
        <f>SUM(H6/1000)*0.23</f>
        <v>15477.833813750005</v>
      </c>
      <c r="E17" s="1315"/>
      <c r="F17" s="1315"/>
      <c r="G17" s="1315"/>
      <c r="H17" s="1315"/>
      <c r="I17" s="1315"/>
      <c r="J17" s="1315"/>
      <c r="K17" s="1319"/>
    </row>
    <row r="18" spans="1:11" ht="16.5" thickBot="1">
      <c r="A18" s="1317"/>
      <c r="B18" s="1315"/>
      <c r="C18" s="1315"/>
      <c r="D18" s="1318"/>
      <c r="E18" s="1315"/>
      <c r="F18" s="1315"/>
      <c r="G18" s="1315"/>
      <c r="H18" s="1315"/>
      <c r="I18" s="1315"/>
      <c r="J18" s="1315"/>
      <c r="K18" s="1319"/>
    </row>
    <row r="19" spans="1:11" ht="16.5" thickBot="1">
      <c r="A19" s="1317" t="s">
        <v>1022</v>
      </c>
      <c r="B19" s="1315"/>
      <c r="C19" s="1315"/>
      <c r="D19" s="1318"/>
      <c r="E19" s="1323">
        <f>SUM(D8:D17)</f>
        <v>629086.6767120834</v>
      </c>
      <c r="F19" s="1315"/>
      <c r="G19" s="1324" t="s">
        <v>1023</v>
      </c>
      <c r="H19" s="1315"/>
      <c r="I19" s="1315"/>
      <c r="J19" s="1315"/>
      <c r="K19" s="1319"/>
    </row>
    <row r="20" spans="1:11" ht="16.5" thickBot="1">
      <c r="A20" s="1325"/>
      <c r="B20" s="1326"/>
      <c r="C20" s="1326"/>
      <c r="D20" s="1327"/>
      <c r="E20" s="1326"/>
      <c r="F20" s="1326"/>
      <c r="G20" s="1326"/>
      <c r="H20" s="1326"/>
      <c r="I20" s="1326"/>
      <c r="J20" s="1326"/>
      <c r="K20" s="1328"/>
    </row>
    <row r="21" spans="1:11" ht="18.75" thickBot="1">
      <c r="A21" s="1329" t="s">
        <v>1024</v>
      </c>
      <c r="B21" s="1330"/>
      <c r="C21" s="1330"/>
      <c r="D21" s="1330"/>
      <c r="E21" s="1330"/>
      <c r="F21" s="1330"/>
      <c r="G21" s="1330"/>
      <c r="H21" s="1330"/>
      <c r="I21" s="1330"/>
      <c r="J21" s="1330"/>
      <c r="K21" s="1331"/>
    </row>
    <row r="22" spans="1:11">
      <c r="A22" s="1332"/>
      <c r="B22" s="1333"/>
      <c r="C22" s="1333"/>
      <c r="D22" s="1333" t="str">
        <f>D3</f>
        <v>(Estimator created on 09.15.20)</v>
      </c>
      <c r="E22" s="1333"/>
      <c r="F22" s="1333"/>
      <c r="G22" s="1333"/>
      <c r="H22" s="1333"/>
      <c r="I22" s="1333"/>
      <c r="J22" s="1333"/>
      <c r="K22" s="1334"/>
    </row>
    <row r="23" spans="1:11">
      <c r="A23" s="1335" t="s">
        <v>1025</v>
      </c>
      <c r="B23" s="1336" t="str">
        <f>B3</f>
        <v>St. James UMC</v>
      </c>
      <c r="C23" s="1336"/>
      <c r="D23" s="1336"/>
      <c r="E23" s="1336" t="s">
        <v>1026</v>
      </c>
      <c r="F23" s="1336"/>
      <c r="G23" s="1337"/>
      <c r="H23" s="1337"/>
      <c r="I23" s="1336"/>
      <c r="J23" s="1336"/>
      <c r="K23" s="1338"/>
    </row>
    <row r="24" spans="1:11" ht="16.5" thickBot="1">
      <c r="A24" s="1335"/>
      <c r="B24" s="1339" t="s">
        <v>1008</v>
      </c>
      <c r="C24" s="1336"/>
      <c r="D24" s="1336"/>
      <c r="E24" s="1336"/>
      <c r="F24" s="1336"/>
      <c r="G24" s="1336"/>
      <c r="H24" s="1336"/>
      <c r="I24" s="1340" t="s">
        <v>1011</v>
      </c>
      <c r="J24" s="1336"/>
      <c r="K24" s="1338"/>
    </row>
    <row r="25" spans="1:11" ht="16.5" thickBot="1">
      <c r="A25" s="1341" t="s">
        <v>1027</v>
      </c>
      <c r="B25" s="1342"/>
      <c r="C25" s="1343">
        <v>50</v>
      </c>
      <c r="D25" s="1342"/>
      <c r="E25" s="1342" t="s">
        <v>1028</v>
      </c>
      <c r="F25" s="1342"/>
      <c r="G25" s="1342"/>
      <c r="H25" s="1344">
        <f>SUM(H6*0.8)</f>
        <v>53835943.700000018</v>
      </c>
      <c r="I25" s="1345"/>
      <c r="J25" s="1346"/>
      <c r="K25" s="1347"/>
    </row>
    <row r="26" spans="1:11">
      <c r="A26" s="1348" t="s">
        <v>1014</v>
      </c>
      <c r="B26" s="1349"/>
      <c r="C26" s="1350"/>
      <c r="D26" s="1349"/>
      <c r="E26" s="1349"/>
      <c r="F26" s="1349"/>
      <c r="G26" s="1349"/>
      <c r="H26" s="1349"/>
      <c r="I26" s="1349"/>
      <c r="J26" s="1349"/>
      <c r="K26" s="1351"/>
    </row>
    <row r="27" spans="1:11">
      <c r="A27" s="1352" t="s">
        <v>1015</v>
      </c>
      <c r="B27" s="1350"/>
      <c r="C27" s="1350"/>
      <c r="D27" s="1353">
        <f>SUM(C25*75+300)</f>
        <v>4050</v>
      </c>
      <c r="E27" s="1350"/>
      <c r="F27" s="1350"/>
      <c r="G27" s="1350"/>
      <c r="H27" s="1350"/>
      <c r="I27" s="1350"/>
      <c r="J27" s="1350"/>
      <c r="K27" s="1354"/>
    </row>
    <row r="28" spans="1:11">
      <c r="A28" s="1352"/>
      <c r="B28" s="1350"/>
      <c r="C28" s="1350"/>
      <c r="D28" s="1353"/>
      <c r="E28" s="1350"/>
      <c r="F28" s="1350"/>
      <c r="G28" s="1350"/>
      <c r="H28" s="1350"/>
      <c r="I28" s="1350"/>
      <c r="J28" s="1350"/>
      <c r="K28" s="1354"/>
    </row>
    <row r="29" spans="1:11">
      <c r="A29" s="1352" t="s">
        <v>1016</v>
      </c>
      <c r="B29" s="1350"/>
      <c r="C29" s="1350"/>
      <c r="D29" s="1353"/>
      <c r="E29" s="1350"/>
      <c r="F29" s="1350"/>
      <c r="G29" s="1350"/>
      <c r="H29" s="1350"/>
      <c r="I29" s="1350"/>
      <c r="J29" s="1350"/>
      <c r="K29" s="1354"/>
    </row>
    <row r="30" spans="1:11">
      <c r="A30" s="1352" t="s">
        <v>1029</v>
      </c>
      <c r="B30" s="1350"/>
      <c r="C30" s="1350"/>
      <c r="D30" s="1353">
        <f>SUM(D27*0.75)</f>
        <v>3037.5</v>
      </c>
      <c r="E30" s="1350"/>
      <c r="F30" s="1350"/>
      <c r="G30" s="1350"/>
      <c r="H30" s="1350"/>
      <c r="I30" s="1350"/>
      <c r="J30" s="1350"/>
      <c r="K30" s="1354"/>
    </row>
    <row r="31" spans="1:11">
      <c r="A31" s="1352"/>
      <c r="B31" s="1350"/>
      <c r="C31" s="1350"/>
      <c r="D31" s="1353"/>
      <c r="E31" s="1350"/>
      <c r="F31" s="1350"/>
      <c r="G31" s="1350"/>
      <c r="H31" s="1350"/>
      <c r="I31" s="1350"/>
      <c r="J31" s="1350"/>
      <c r="K31" s="1354"/>
    </row>
    <row r="32" spans="1:11">
      <c r="A32" s="1352" t="s">
        <v>1030</v>
      </c>
      <c r="B32" s="1350"/>
      <c r="C32" s="1350"/>
      <c r="D32" s="1353">
        <f>SUM(A33+A34+A35)/100*0.135+500</f>
        <v>74434.467875000017</v>
      </c>
      <c r="E32" s="1350" t="s">
        <v>1031</v>
      </c>
      <c r="F32" s="1350"/>
      <c r="G32" s="1350"/>
      <c r="H32" s="1350"/>
      <c r="I32" s="1350"/>
      <c r="J32" s="1350"/>
      <c r="K32" s="1354"/>
    </row>
    <row r="33" spans="1:11">
      <c r="A33" s="1355">
        <f>H25</f>
        <v>53835943.700000018</v>
      </c>
      <c r="B33" s="1350" t="s">
        <v>1032</v>
      </c>
      <c r="C33" s="1350"/>
      <c r="D33" s="1353"/>
      <c r="E33" s="1350"/>
      <c r="F33" s="1350"/>
      <c r="G33" s="1350"/>
      <c r="H33" s="1350"/>
      <c r="I33" s="1350"/>
      <c r="J33" s="1350"/>
      <c r="K33" s="1354"/>
    </row>
    <row r="34" spans="1:11">
      <c r="A34" s="1355">
        <v>780328.8</v>
      </c>
      <c r="B34" s="1350" t="s">
        <v>159</v>
      </c>
      <c r="C34" s="1350"/>
      <c r="D34" s="1353"/>
      <c r="E34" s="1350"/>
      <c r="F34" s="1350"/>
      <c r="G34" s="1350"/>
      <c r="H34" s="1350"/>
      <c r="I34" s="1350"/>
      <c r="J34" s="1350"/>
      <c r="K34" s="1354"/>
    </row>
    <row r="35" spans="1:11" ht="16.5" thickBot="1">
      <c r="A35" s="1355">
        <f>A16</f>
        <v>150000</v>
      </c>
      <c r="B35" s="1350" t="s">
        <v>1033</v>
      </c>
      <c r="C35" s="1350"/>
      <c r="D35" s="1353"/>
      <c r="E35" s="1350"/>
      <c r="F35" s="1350"/>
      <c r="G35" s="1350"/>
      <c r="H35" s="1350"/>
      <c r="I35" s="1350"/>
      <c r="J35" s="1350"/>
      <c r="K35" s="1354"/>
    </row>
    <row r="36" spans="1:11" ht="16.5" thickBot="1">
      <c r="A36" s="1352" t="s">
        <v>1034</v>
      </c>
      <c r="B36" s="1350"/>
      <c r="C36" s="1350"/>
      <c r="D36" s="1353"/>
      <c r="E36" s="1356">
        <f>SUM(D27:D34)</f>
        <v>81521.967875000017</v>
      </c>
      <c r="F36" s="1350"/>
      <c r="G36" s="1350"/>
      <c r="H36" s="1350"/>
      <c r="I36" s="1350"/>
      <c r="J36" s="1350"/>
      <c r="K36" s="1354"/>
    </row>
    <row r="37" spans="1:11">
      <c r="A37" s="1357"/>
      <c r="B37" s="1358"/>
      <c r="C37" s="1358"/>
      <c r="D37" s="1358"/>
      <c r="E37" s="1358"/>
      <c r="F37" s="1358"/>
      <c r="G37" s="1358"/>
      <c r="H37" s="1358"/>
      <c r="I37" s="1358"/>
      <c r="J37" s="1358"/>
      <c r="K37" s="1359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59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606" t="s">
        <v>455</v>
      </c>
      <c r="B5" s="1607"/>
      <c r="C5" s="1607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59</v>
      </c>
    </row>
    <row r="6" spans="1:25" s="138" customFormat="1" ht="15">
      <c r="A6" s="1608"/>
      <c r="B6" s="1609"/>
      <c r="C6" s="1609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606" t="s">
        <v>469</v>
      </c>
      <c r="B5" s="1607"/>
      <c r="C5" s="1607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59</v>
      </c>
    </row>
    <row r="6" spans="1:25" s="138" customFormat="1" ht="15">
      <c r="A6" s="1608"/>
      <c r="B6" s="1609"/>
      <c r="C6" s="1609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732326.505</v>
      </c>
      <c r="E10" s="748">
        <f>'PreDev Flow of Funds'!Y10+'PreDev Flow of Funds'!Y12</f>
        <v>1395966</v>
      </c>
      <c r="F10" s="748">
        <f>(D10-E10)/18</f>
        <v>-36868.860833333332</v>
      </c>
      <c r="G10" s="748">
        <f>$F$10</f>
        <v>-36868.860833333332</v>
      </c>
      <c r="H10" s="748">
        <f t="shared" ref="H10:W10" si="2">$F$10</f>
        <v>-36868.860833333332</v>
      </c>
      <c r="I10" s="748">
        <f t="shared" si="2"/>
        <v>-36868.860833333332</v>
      </c>
      <c r="J10" s="748">
        <f t="shared" si="2"/>
        <v>-36868.860833333332</v>
      </c>
      <c r="K10" s="748">
        <f t="shared" si="2"/>
        <v>-36868.860833333332</v>
      </c>
      <c r="L10" s="748">
        <f t="shared" si="2"/>
        <v>-36868.860833333332</v>
      </c>
      <c r="M10" s="748">
        <f t="shared" si="2"/>
        <v>-36868.860833333332</v>
      </c>
      <c r="N10" s="748">
        <f t="shared" si="2"/>
        <v>-36868.860833333332</v>
      </c>
      <c r="O10" s="748">
        <f t="shared" si="2"/>
        <v>-36868.860833333332</v>
      </c>
      <c r="P10" s="748">
        <f t="shared" si="2"/>
        <v>-36868.860833333332</v>
      </c>
      <c r="Q10" s="748">
        <f t="shared" si="2"/>
        <v>-36868.860833333332</v>
      </c>
      <c r="R10" s="748">
        <f t="shared" si="2"/>
        <v>-36868.860833333332</v>
      </c>
      <c r="S10" s="748">
        <f t="shared" si="2"/>
        <v>-36868.860833333332</v>
      </c>
      <c r="T10" s="748">
        <f t="shared" si="2"/>
        <v>-36868.860833333332</v>
      </c>
      <c r="U10" s="748">
        <f t="shared" si="2"/>
        <v>-36868.860833333332</v>
      </c>
      <c r="V10" s="748">
        <f t="shared" si="2"/>
        <v>-36868.860833333332</v>
      </c>
      <c r="W10" s="748">
        <f t="shared" si="2"/>
        <v>-36868.860833333332</v>
      </c>
      <c r="X10" s="748"/>
      <c r="Y10" s="748">
        <f>SUM(E10:W10)</f>
        <v>732326.50499999989</v>
      </c>
    </row>
    <row r="11" spans="1:25" ht="15">
      <c r="A11" s="402"/>
      <c r="B11" s="403" t="s">
        <v>387</v>
      </c>
      <c r="C11" s="748"/>
      <c r="D11" s="748">
        <f>'Development Budget'!G41</f>
        <v>732326.505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61177208.750000007</v>
      </c>
      <c r="E13" s="748">
        <f>'PreDev Flow of Funds'!Y14</f>
        <v>69798.3</v>
      </c>
      <c r="F13" s="748">
        <f>(D13-E13)/18</f>
        <v>3394856.1361111118</v>
      </c>
      <c r="G13" s="748">
        <f>$F$13</f>
        <v>3394856.1361111118</v>
      </c>
      <c r="H13" s="748">
        <f t="shared" ref="H13:W13" si="5">$F$13</f>
        <v>3394856.1361111118</v>
      </c>
      <c r="I13" s="748">
        <f t="shared" si="5"/>
        <v>3394856.1361111118</v>
      </c>
      <c r="J13" s="748">
        <f t="shared" si="5"/>
        <v>3394856.1361111118</v>
      </c>
      <c r="K13" s="748">
        <f t="shared" si="5"/>
        <v>3394856.1361111118</v>
      </c>
      <c r="L13" s="748">
        <f t="shared" si="5"/>
        <v>3394856.1361111118</v>
      </c>
      <c r="M13" s="748">
        <f t="shared" si="5"/>
        <v>3394856.1361111118</v>
      </c>
      <c r="N13" s="748">
        <f t="shared" si="5"/>
        <v>3394856.1361111118</v>
      </c>
      <c r="O13" s="748">
        <f t="shared" si="5"/>
        <v>3394856.1361111118</v>
      </c>
      <c r="P13" s="748">
        <f t="shared" si="5"/>
        <v>3394856.1361111118</v>
      </c>
      <c r="Q13" s="748">
        <f t="shared" si="5"/>
        <v>3394856.1361111118</v>
      </c>
      <c r="R13" s="748">
        <f t="shared" si="5"/>
        <v>3394856.1361111118</v>
      </c>
      <c r="S13" s="748">
        <f t="shared" si="5"/>
        <v>3394856.1361111118</v>
      </c>
      <c r="T13" s="748">
        <f t="shared" si="5"/>
        <v>3394856.1361111118</v>
      </c>
      <c r="U13" s="748">
        <f t="shared" si="5"/>
        <v>3394856.1361111118</v>
      </c>
      <c r="V13" s="748">
        <f t="shared" si="5"/>
        <v>3394856.1361111118</v>
      </c>
      <c r="W13" s="748">
        <f t="shared" si="5"/>
        <v>3394856.1361111118</v>
      </c>
      <c r="X13" s="748"/>
      <c r="Y13" s="748">
        <f t="shared" si="3"/>
        <v>61177208.75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61177208.750000007</v>
      </c>
      <c r="E15" s="748">
        <f>'PreDev Flow of Funds'!Y16+'PreDev Flow of Funds'!Y17+'PreDev Flow of Funds'!Y19</f>
        <v>72500</v>
      </c>
      <c r="F15" s="748">
        <f>(D15-E15)/18</f>
        <v>3394706.041666667</v>
      </c>
      <c r="G15" s="748">
        <f>$F$15</f>
        <v>3394706.041666667</v>
      </c>
      <c r="H15" s="748">
        <f t="shared" ref="H15:W15" si="7">$F$15</f>
        <v>3394706.041666667</v>
      </c>
      <c r="I15" s="748">
        <f t="shared" si="7"/>
        <v>3394706.041666667</v>
      </c>
      <c r="J15" s="748">
        <f t="shared" si="7"/>
        <v>3394706.041666667</v>
      </c>
      <c r="K15" s="748">
        <f t="shared" si="7"/>
        <v>3394706.041666667</v>
      </c>
      <c r="L15" s="748">
        <f t="shared" si="7"/>
        <v>3394706.041666667</v>
      </c>
      <c r="M15" s="748">
        <f t="shared" si="7"/>
        <v>3394706.041666667</v>
      </c>
      <c r="N15" s="748">
        <f t="shared" si="7"/>
        <v>3394706.041666667</v>
      </c>
      <c r="O15" s="748">
        <f t="shared" si="7"/>
        <v>3394706.041666667</v>
      </c>
      <c r="P15" s="748">
        <f t="shared" si="7"/>
        <v>3394706.041666667</v>
      </c>
      <c r="Q15" s="748">
        <f t="shared" si="7"/>
        <v>3394706.041666667</v>
      </c>
      <c r="R15" s="748">
        <f t="shared" si="7"/>
        <v>3394706.041666667</v>
      </c>
      <c r="S15" s="748">
        <f t="shared" si="7"/>
        <v>3394706.041666667</v>
      </c>
      <c r="T15" s="748">
        <f t="shared" si="7"/>
        <v>3394706.041666667</v>
      </c>
      <c r="U15" s="748">
        <f t="shared" si="7"/>
        <v>3394706.041666667</v>
      </c>
      <c r="V15" s="748">
        <f t="shared" si="7"/>
        <v>3394706.041666667</v>
      </c>
      <c r="W15" s="748">
        <f t="shared" si="7"/>
        <v>3394706.041666667</v>
      </c>
      <c r="X15" s="748"/>
      <c r="Y15" s="748">
        <f t="shared" si="3"/>
        <v>61177208.749999985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10055000</v>
      </c>
      <c r="E26" s="748">
        <v>0</v>
      </c>
      <c r="F26" s="748">
        <f>D26/2</f>
        <v>5027500</v>
      </c>
      <c r="G26" s="748">
        <f>F26</f>
        <v>5027500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10055000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48821767</v>
      </c>
      <c r="E33" s="748">
        <v>0</v>
      </c>
      <c r="F33" s="748">
        <f>D33</f>
        <v>48821767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48821767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152943.02187500003</v>
      </c>
      <c r="E43" s="748">
        <f>D43</f>
        <v>152943.02187500003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152943.02187500003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343943.02187500003</v>
      </c>
      <c r="E52" s="748">
        <f>D52</f>
        <v>343943.02187500003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343943.02187500003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2537086</v>
      </c>
      <c r="E58" s="748">
        <f>'PreDev Flow of Funds'!Y46</f>
        <v>96238.814999999988</v>
      </c>
      <c r="F58" s="748">
        <f>(D58-E58)/18</f>
        <v>135602.62138888889</v>
      </c>
      <c r="G58" s="748">
        <f>$F$58</f>
        <v>135602.62138888889</v>
      </c>
      <c r="H58" s="748">
        <f t="shared" ref="H58:W58" si="18">$F$58</f>
        <v>135602.62138888889</v>
      </c>
      <c r="I58" s="748">
        <f t="shared" si="18"/>
        <v>135602.62138888889</v>
      </c>
      <c r="J58" s="748">
        <f t="shared" si="18"/>
        <v>135602.62138888889</v>
      </c>
      <c r="K58" s="748">
        <f t="shared" si="18"/>
        <v>135602.62138888889</v>
      </c>
      <c r="L58" s="748">
        <f t="shared" si="18"/>
        <v>135602.62138888889</v>
      </c>
      <c r="M58" s="748">
        <f t="shared" si="18"/>
        <v>135602.62138888889</v>
      </c>
      <c r="N58" s="748">
        <f t="shared" si="18"/>
        <v>135602.62138888889</v>
      </c>
      <c r="O58" s="748">
        <f t="shared" si="18"/>
        <v>135602.62138888889</v>
      </c>
      <c r="P58" s="748">
        <f t="shared" si="18"/>
        <v>135602.62138888889</v>
      </c>
      <c r="Q58" s="748">
        <f t="shared" si="18"/>
        <v>135602.62138888889</v>
      </c>
      <c r="R58" s="748">
        <f t="shared" si="18"/>
        <v>135602.62138888889</v>
      </c>
      <c r="S58" s="748">
        <f t="shared" si="18"/>
        <v>135602.62138888889</v>
      </c>
      <c r="T58" s="748">
        <f t="shared" si="18"/>
        <v>135602.62138888889</v>
      </c>
      <c r="U58" s="748">
        <f t="shared" si="18"/>
        <v>135602.62138888889</v>
      </c>
      <c r="V58" s="748">
        <f t="shared" si="18"/>
        <v>135602.62138888889</v>
      </c>
      <c r="W58" s="748">
        <f t="shared" si="18"/>
        <v>135602.62138888889</v>
      </c>
      <c r="X58" s="748"/>
      <c r="Y58" s="748">
        <f t="shared" si="3"/>
        <v>2537086.0000000005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249165.84752440249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15342039.118749997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52364000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-11427942.51</v>
      </c>
      <c r="E87" s="749">
        <f>E80-E84-E85-E86-E88-E89-E90-E91</f>
        <v>500886.04374999553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15342039.118749997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51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076" t="s">
        <v>941</v>
      </c>
    </row>
    <row r="5" spans="3:6">
      <c r="D5" t="s">
        <v>942</v>
      </c>
    </row>
    <row r="6" spans="3:6">
      <c r="E6" t="s">
        <v>943</v>
      </c>
      <c r="F6" s="1172">
        <f>544</f>
        <v>544</v>
      </c>
    </row>
    <row r="7" spans="3:6">
      <c r="D7" t="s">
        <v>944</v>
      </c>
      <c r="F7" s="1172"/>
    </row>
    <row r="8" spans="3:6">
      <c r="F8" s="1172">
        <v>0</v>
      </c>
    </row>
    <row r="9" spans="3:6">
      <c r="D9" t="s">
        <v>945</v>
      </c>
      <c r="F9" s="1172">
        <v>234</v>
      </c>
    </row>
    <row r="10" spans="3:6">
      <c r="F10" s="1172"/>
    </row>
    <row r="11" spans="3:6">
      <c r="D11" t="s">
        <v>946</v>
      </c>
      <c r="F11" s="1172"/>
    </row>
    <row r="12" spans="3:6">
      <c r="E12" t="s">
        <v>947</v>
      </c>
      <c r="F12" s="1172">
        <v>3437</v>
      </c>
    </row>
    <row r="13" spans="3:6">
      <c r="E13" t="s">
        <v>948</v>
      </c>
      <c r="F13" s="1172">
        <v>426</v>
      </c>
    </row>
    <row r="14" spans="3:6">
      <c r="E14" t="s">
        <v>949</v>
      </c>
      <c r="F14" s="1172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173" t="s">
        <v>59</v>
      </c>
      <c r="F17" s="1174">
        <f>SUM(F6:F16)</f>
        <v>7491</v>
      </c>
    </row>
    <row r="19" spans="3:6">
      <c r="D19" t="s">
        <v>951</v>
      </c>
    </row>
    <row r="20" spans="3:6">
      <c r="D20" t="s">
        <v>952</v>
      </c>
      <c r="F20" s="1175">
        <v>2379</v>
      </c>
    </row>
    <row r="24" spans="3:6">
      <c r="C24" s="1076" t="s">
        <v>953</v>
      </c>
    </row>
    <row r="27" spans="3:6">
      <c r="D27" t="s">
        <v>954</v>
      </c>
    </row>
    <row r="29" spans="3:6">
      <c r="D29" t="s">
        <v>955</v>
      </c>
      <c r="F29" s="1172">
        <v>37.33</v>
      </c>
    </row>
    <row r="31" spans="3:6">
      <c r="D31" t="s">
        <v>956</v>
      </c>
      <c r="E31" s="1176">
        <v>10000000</v>
      </c>
      <c r="F31" s="1172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172">
        <v>1743.09</v>
      </c>
    </row>
    <row r="35" spans="4:6" ht="31.5">
      <c r="E35" s="1177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606"/>
      <c r="B5" s="1607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608"/>
      <c r="B6" s="1610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606"/>
      <c r="B39" s="1607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608"/>
      <c r="B40" s="1610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606"/>
      <c r="B72" s="1607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608"/>
      <c r="B73" s="1609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611" t="s">
        <v>589</v>
      </c>
      <c r="D74" s="1612"/>
      <c r="E74" s="1612"/>
      <c r="F74" s="1612"/>
      <c r="G74" s="1612"/>
      <c r="H74" s="1612"/>
      <c r="I74" s="1613"/>
      <c r="J74" s="1614" t="s">
        <v>582</v>
      </c>
      <c r="K74" s="1615"/>
      <c r="L74" s="1615"/>
      <c r="M74" s="1615"/>
      <c r="N74" s="1615"/>
      <c r="O74" s="1616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611"/>
      <c r="D78" s="1612"/>
      <c r="E78" s="1612"/>
      <c r="F78" s="1612"/>
      <c r="G78" s="1612"/>
      <c r="H78" s="1612"/>
      <c r="I78" s="1613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611"/>
      <c r="D85" s="1612"/>
      <c r="E85" s="1612"/>
      <c r="F85" s="1612"/>
      <c r="G85" s="1612"/>
      <c r="H85" s="1612"/>
      <c r="I85" s="1613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611"/>
      <c r="D91" s="1612"/>
      <c r="E91" s="1612"/>
      <c r="F91" s="1612"/>
      <c r="G91" s="1612"/>
      <c r="H91" s="1612"/>
      <c r="I91" s="1613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-1159961.61625</v>
      </c>
      <c r="K103" s="162">
        <f>J103+(C116*0.25)/2</f>
        <v>-2319923.2324999999</v>
      </c>
      <c r="L103" s="162">
        <f>K103+((C116-K103)/4)</f>
        <v>-4059865.6568749999</v>
      </c>
      <c r="M103" s="162">
        <f>L103+((C116-K103)/4)</f>
        <v>-5799808.0812499998</v>
      </c>
      <c r="N103" s="162">
        <f>M103+((C116-K103)/4)</f>
        <v>-7539750.5056250002</v>
      </c>
      <c r="O103" s="162">
        <f>N103+((C116-K103)/4)</f>
        <v>-9279692.9299999997</v>
      </c>
      <c r="P103" s="162">
        <f>O103</f>
        <v>-9279692.9299999997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9742639.4591666665</v>
      </c>
      <c r="K104" s="371">
        <f>((C117-1033493)/6)+J104</f>
        <v>19485278.918333333</v>
      </c>
      <c r="L104" s="371">
        <f>((C117-1033493)/6)+K104</f>
        <v>29227918.377499998</v>
      </c>
      <c r="M104" s="371">
        <f>((C117-1033493)/6)+L104</f>
        <v>38970557.836666666</v>
      </c>
      <c r="N104" s="371">
        <f>((C117-1033493)/6)+M104</f>
        <v>48713197.295833334</v>
      </c>
      <c r="O104" s="371">
        <f>((C117-1033493)/6)+N104</f>
        <v>58455836.755000003</v>
      </c>
      <c r="P104" s="371">
        <f>(286645+100000+646848)+O104</f>
        <v>59489329.755000003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8582677.8429166675</v>
      </c>
      <c r="K110" s="371">
        <f t="shared" ref="K110:P110" si="9">SUM(K103:K104)</f>
        <v>17165355.685833335</v>
      </c>
      <c r="L110" s="371">
        <f t="shared" si="9"/>
        <v>25168052.720624998</v>
      </c>
      <c r="M110" s="371">
        <f t="shared" si="9"/>
        <v>33170749.755416665</v>
      </c>
      <c r="N110" s="371">
        <f t="shared" si="9"/>
        <v>41173446.790208332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619">
        <f>'PreDev Flow of Funds'!D47</f>
        <v>14824249.954999998</v>
      </c>
      <c r="D114" s="1618"/>
    </row>
    <row r="115" spans="2:19">
      <c r="B115" s="397" t="s">
        <v>600</v>
      </c>
      <c r="C115" s="1620">
        <f>M102</f>
        <v>1323400.22</v>
      </c>
      <c r="D115" s="1618"/>
    </row>
    <row r="116" spans="2:19">
      <c r="B116" s="397" t="s">
        <v>582</v>
      </c>
      <c r="C116" s="1620">
        <f>'Development Budget'!G37-Predevelopment!D27-Predevelopment!D28-Predevelopment!D29-Timeline!M102-Predevelopment!D17</f>
        <v>-9279692.9299999997</v>
      </c>
      <c r="D116" s="1618"/>
    </row>
    <row r="117" spans="2:19" ht="16.5" thickBot="1">
      <c r="B117" s="398" t="s">
        <v>601</v>
      </c>
      <c r="C117" s="1621">
        <f>C118-C114-C116-C115</f>
        <v>59489329.755000003</v>
      </c>
      <c r="D117" s="1622"/>
    </row>
    <row r="118" spans="2:19" ht="16.5" thickTop="1">
      <c r="B118" s="368" t="s">
        <v>585</v>
      </c>
      <c r="C118" s="1617">
        <v>66357287</v>
      </c>
      <c r="D118" s="1618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51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52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54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55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59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