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72BBDE47-7F5F-4F0C-98C7-2911F27480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103" i="5" s="1"/>
  <c r="H98" i="5"/>
  <c r="H99" i="5"/>
  <c r="H100" i="5" s="1"/>
  <c r="AG44" i="5"/>
  <c r="AH44" i="5"/>
  <c r="K101" i="11"/>
  <c r="J105" i="11"/>
  <c r="J112" i="11" s="1"/>
  <c r="I88" i="15"/>
  <c r="I95" i="15"/>
  <c r="I47" i="2" l="1"/>
  <c r="K63" i="2"/>
  <c r="K59" i="2"/>
  <c r="C93" i="5"/>
  <c r="C99" i="5" s="1"/>
  <c r="C100" i="5" s="1"/>
  <c r="C102" i="5"/>
  <c r="C103" i="5" s="1"/>
  <c r="C87" i="5"/>
  <c r="K88" i="15"/>
  <c r="Y88" i="15"/>
  <c r="L101" i="11"/>
  <c r="K105" i="11"/>
  <c r="K112" i="11" s="1"/>
  <c r="K58" i="2" l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3" i="2"/>
  <c r="E23" i="2" s="1"/>
  <c r="D24" i="2" l="1"/>
  <c r="E24" i="2" s="1"/>
  <c r="G254" i="1"/>
  <c r="E27" i="28"/>
  <c r="D28" i="28"/>
  <c r="E38" i="6"/>
  <c r="I36" i="2"/>
  <c r="D22" i="6"/>
  <c r="D20" i="6" s="1"/>
  <c r="D32" i="2"/>
  <c r="H40" i="2" l="1"/>
  <c r="I40" i="2" s="1"/>
  <c r="E32" i="2"/>
  <c r="H39" i="2"/>
  <c r="I39" i="2" s="1"/>
  <c r="E18" i="28"/>
  <c r="E28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<sst xmlns="http://schemas.openxmlformats.org/spreadsheetml/2006/main" count="1995" uniqueCount="1105">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</sst>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38" fontId="140" fillId="12" borderId="0" xfId="6" applyNumberFormat="1" applyFont="1" applyFill="1" applyBorder="1" applyAlignment="1" applyProtection="1">
      <alignment vertical="center"/>
      <protection locked="0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9" workbookViewId="0">
      <selection activeCell="J20" sqref="J20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1095</v>
      </c>
      <c r="B14" s="1535"/>
      <c r="C14" s="1535"/>
      <c r="D14" s="1559" t="s">
        <v>1104</v>
      </c>
      <c r="E14" s="700"/>
    </row>
    <row r="15" spans="1:5">
      <c r="A15" s="1427" t="s">
        <v>1092</v>
      </c>
      <c r="B15" s="1522"/>
      <c r="C15" s="1529"/>
      <c r="D15" s="1523" cm="1">
        <f t="array" aca="1" ref="D15" ca="1">IF(D14="Year 7 Takeout", INDIRECT("GapCalc!K46"), INDIRECT("GapCalc!K58"))</f>
        <v>9.0207203897542707E-2</v>
      </c>
      <c r="E15" s="700"/>
    </row>
    <row r="16" spans="1:5">
      <c r="A16" s="1525" t="s">
        <v>1093</v>
      </c>
      <c r="B16" s="702"/>
      <c r="D16" s="1524" cm="1">
        <f t="array" aca="1" ref="D16" ca="1">IF(D14="Year 7 Takeout", INDIRECT("GapCalc!K51"), INDIRECT("GapCalc!K63"))</f>
        <v>9.0207203897542679E-2</v>
      </c>
      <c r="E16" s="700"/>
    </row>
    <row r="17" spans="1:6">
      <c r="A17" s="1530"/>
      <c r="B17" s="702"/>
      <c r="D17" s="1526"/>
      <c r="E17" s="1597" t="s">
        <v>961</v>
      </c>
    </row>
    <row r="18" spans="1:6">
      <c r="A18" s="1527" t="s">
        <v>1094</v>
      </c>
      <c r="B18" s="47"/>
      <c r="C18" s="47"/>
      <c r="D18" s="1528" cm="1">
        <f t="array" aca="1" ref="D18" ca="1">IF(D14="Year 7 Takeout", INDIRECT("GapCalc!I55"), INDIRECT("GapCalc!I67"))</f>
        <v>43558.199951103888</v>
      </c>
      <c r="E18" s="1598">
        <f ca="1">ABS(D18/D28)</f>
        <v>3.1144144109183388E-4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16555000</v>
      </c>
      <c r="E21" s="1376">
        <f>D21/$D$10</f>
        <v>65694.444444444438</v>
      </c>
    </row>
    <row r="22" spans="1:6">
      <c r="A22" s="64"/>
      <c r="B22" s="4" t="s">
        <v>16</v>
      </c>
      <c r="C22" s="4"/>
      <c r="D22" s="1376">
        <f>'Development Budget'!G44</f>
        <v>101264161.87499999</v>
      </c>
      <c r="E22" s="1376">
        <f t="shared" ref="E22:E28" si="0">D22/$D$10</f>
        <v>401841.91220238089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2724240</v>
      </c>
      <c r="E23" s="1376">
        <f t="shared" si="0"/>
        <v>10810.476190476191</v>
      </c>
    </row>
    <row r="24" spans="1:6">
      <c r="A24" s="64"/>
      <c r="B24" s="4" t="s">
        <v>18</v>
      </c>
      <c r="C24" s="4"/>
      <c r="D24" s="1376">
        <f>'Development Budget'!G97</f>
        <v>4075786</v>
      </c>
      <c r="E24" s="1376">
        <f t="shared" si="0"/>
        <v>16173.753968253968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14658623.250775572</v>
      </c>
      <c r="E25" s="1376">
        <f t="shared" si="0"/>
        <v>58169.139884030046</v>
      </c>
    </row>
    <row r="26" spans="1:6">
      <c r="A26" s="64"/>
      <c r="B26" s="4" t="s">
        <v>20</v>
      </c>
      <c r="C26" s="4"/>
      <c r="D26" s="1376">
        <f>'Development Budget'!G181</f>
        <v>6517971.5314799119</v>
      </c>
      <c r="E26" s="1376">
        <f t="shared" si="0"/>
        <v>25864.966394761555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-5935782.6572554708</v>
      </c>
      <c r="E27" s="1377">
        <f t="shared" si="0"/>
        <v>-23554.693084347105</v>
      </c>
    </row>
    <row r="28" spans="1:6" ht="16.5" thickTop="1">
      <c r="A28" s="4"/>
      <c r="B28" s="4"/>
      <c r="C28" s="150" t="s">
        <v>14</v>
      </c>
      <c r="D28" s="1378">
        <f>SUM(D21:D27)</f>
        <v>139860000</v>
      </c>
      <c r="E28" s="1376">
        <f t="shared" si="0"/>
        <v>555000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90909000</v>
      </c>
      <c r="E32" s="1431">
        <f t="shared" si="1"/>
        <v>360750</v>
      </c>
    </row>
    <row r="33" spans="1:5">
      <c r="A33" s="64"/>
      <c r="B33" s="4" t="s">
        <v>1051</v>
      </c>
      <c r="C33" s="4"/>
      <c r="D33" s="1432">
        <f>GapCalc!D29</f>
        <v>7342649.9999999991</v>
      </c>
      <c r="E33" s="1431">
        <f>D33/$D$10</f>
        <v>29137.499999999996</v>
      </c>
    </row>
    <row r="34" spans="1:5">
      <c r="A34" s="65"/>
      <c r="B34" s="4" t="s">
        <v>26</v>
      </c>
      <c r="C34" s="4"/>
      <c r="D34" s="1432">
        <f>GapCalc!D30</f>
        <v>41608349.999999985</v>
      </c>
      <c r="E34" s="1431">
        <f>D34/$D$10</f>
        <v>165112.49999999994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139860000</v>
      </c>
      <c r="E36" s="1431">
        <f>D36/$D$10</f>
        <v>555000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107165555.64042634</v>
      </c>
      <c r="E40" s="1431">
        <f t="shared" ref="E40" si="2">D40/$D$10</f>
        <v>425260.14143026323</v>
      </c>
    </row>
    <row r="41" spans="1:5">
      <c r="A41" s="60"/>
      <c r="B41" s="4" t="s">
        <v>1051</v>
      </c>
      <c r="C41" s="4"/>
      <c r="D41" s="1436">
        <f>GapCalc!D29+GapCalc!D38</f>
        <v>7342649.9999999991</v>
      </c>
      <c r="E41" s="1431">
        <f>D41/$D$10</f>
        <v>29137.499999999996</v>
      </c>
    </row>
    <row r="42" spans="1:5">
      <c r="A42" s="60"/>
      <c r="B42" s="1402" t="s">
        <v>26</v>
      </c>
      <c r="C42" s="4"/>
      <c r="D42" s="1437">
        <f>GapCalc!D30+GapCalc!D39</f>
        <v>41608349.999999985</v>
      </c>
      <c r="E42" s="1431">
        <f>D42/$D$10</f>
        <v>165112.49999999994</v>
      </c>
    </row>
    <row r="43" spans="1:5">
      <c r="A43" s="60"/>
      <c r="B43" s="1558" t="s">
        <v>1103</v>
      </c>
      <c r="C43" s="4"/>
      <c r="D43" s="1437">
        <f>IF(D32-D40&gt;0,0,D32-D40)</f>
        <v>-16256555.640426338</v>
      </c>
      <c r="E43" s="1431">
        <f>D43/$D$10</f>
        <v>-64510.141430263247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139860000</v>
      </c>
      <c r="E45" s="1433">
        <f>D45/$D$10</f>
        <v>555000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9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16555000</v>
      </c>
      <c r="E17" s="1376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101264161.87499999</v>
      </c>
      <c r="E18" s="1376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2724240</v>
      </c>
      <c r="E19" s="1376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4075786</v>
      </c>
      <c r="E20" s="1376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14658623.250775572</v>
      </c>
      <c r="E21" s="1376">
        <f t="shared" si="0"/>
        <v>58169.139884030046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6517971.5314799119</v>
      </c>
      <c r="E22" s="1376">
        <f t="shared" si="0"/>
        <v>25864.966394761555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-5935782.6572554708</v>
      </c>
      <c r="E23" s="1377">
        <f t="shared" si="0"/>
        <v>-23554.693084347105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139860000</v>
      </c>
      <c r="E24" s="1376">
        <f t="shared" si="0"/>
        <v>555000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90909000</v>
      </c>
      <c r="E28" s="1431">
        <f t="shared" si="1"/>
        <v>360750</v>
      </c>
      <c r="F28" s="62"/>
      <c r="G28" s="1264" t="s">
        <v>608</v>
      </c>
      <c r="H28" s="1453">
        <f>H32/D11</f>
        <v>29137.499999999996</v>
      </c>
      <c r="I28" s="703"/>
    </row>
    <row r="29" spans="1:10" ht="15.75">
      <c r="A29" s="64"/>
      <c r="B29" s="4" t="s">
        <v>1051</v>
      </c>
      <c r="C29" s="4"/>
      <c r="D29" s="1432">
        <v>7342649.9999999991</v>
      </c>
      <c r="E29" s="1431">
        <f>D29/$D$11</f>
        <v>29137.499999999996</v>
      </c>
      <c r="F29" s="520"/>
      <c r="G29" s="1265" t="s">
        <v>971</v>
      </c>
      <c r="H29" s="1454">
        <f>H33/D11</f>
        <v>165112.49999999994</v>
      </c>
      <c r="I29" s="703"/>
    </row>
    <row r="30" spans="1:10" ht="16.5" thickBot="1">
      <c r="A30" s="65"/>
      <c r="B30" s="4" t="s">
        <v>26</v>
      </c>
      <c r="C30" s="4"/>
      <c r="D30" s="1432">
        <v>41608349.999999985</v>
      </c>
      <c r="E30" s="1431">
        <f>D30/$D$11</f>
        <v>165112.49999999994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7342649.9999999991</v>
      </c>
      <c r="I32" s="1192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139860000</v>
      </c>
      <c r="E33" s="1431">
        <f>D33/$D$11</f>
        <v>555000</v>
      </c>
      <c r="F33" s="62"/>
      <c r="G33" s="1286" t="s">
        <v>971</v>
      </c>
      <c r="H33" s="1456">
        <f>D30+D39</f>
        <v>41608349.999999985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48950999.999999985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0.34999999999999987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107165555.64042634</v>
      </c>
      <c r="E37" s="1431">
        <f t="shared" ref="E37" si="2">D37/$D$11</f>
        <v>425260.14143026323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7342649.9999999991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41608349.999999985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16256555.640426338</v>
      </c>
      <c r="E41" s="1433">
        <f>D41/$D$11</f>
        <v>64510.141430263247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107165555.64042634</v>
      </c>
      <c r="E42" s="1431">
        <f>D42/$D$11</f>
        <v>425260.14143026323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-2438483.3460639506</v>
      </c>
      <c r="I43" s="1441">
        <f>D38+H43</f>
        <v>-2438483.3460639506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-13818072.294362387</v>
      </c>
      <c r="I44" s="1441">
        <f>D39+H44</f>
        <v>-13818072.294362387</v>
      </c>
      <c r="J44" s="690"/>
    </row>
    <row r="45" spans="1:12" ht="15.75">
      <c r="A45" s="60"/>
      <c r="D45" s="159"/>
      <c r="E45" s="159"/>
      <c r="G45" s="4"/>
      <c r="H45" s="1549" t="s">
        <v>1096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41645374.469958425</v>
      </c>
      <c r="J46" s="1427" t="s">
        <v>1083</v>
      </c>
      <c r="K46" s="1428">
        <f>'Cash Flow'!C76</f>
        <v>9.0207203897542707E-2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17603036.170092631</v>
      </c>
      <c r="J47" s="1429" t="s">
        <v>1099</v>
      </c>
      <c r="K47" s="1452">
        <f>'Cash Flow'!C70</f>
        <v>67881960.386032224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37024.469958439469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7349183.7299926635</v>
      </c>
      <c r="J51" s="1430" t="s">
        <v>1083</v>
      </c>
      <c r="K51" s="1463">
        <f>'Cash Flow'!H76</f>
        <v>9.0207203897542679E-2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7342649.9999999991</v>
      </c>
      <c r="J52" s="1429" t="s">
        <v>1098</v>
      </c>
      <c r="K52" s="1452">
        <f>'Cash Flow'!H70</f>
        <v>11979169.479888041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6533.7299926644191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43558.199951103888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1097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57373209.900254562</v>
      </c>
      <c r="J58" s="1427" t="s">
        <v>1083</v>
      </c>
      <c r="K58" s="1428">
        <f>'Cash Flow'!C103</f>
        <v>0.12475856922328081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1098</v>
      </c>
      <c r="K59" s="1452">
        <f>'Cash Flow'!C97</f>
        <v>93518332.137414932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15764859.900254577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8125791.2304860875</v>
      </c>
      <c r="J63" s="1430" t="s">
        <v>1083</v>
      </c>
      <c r="K63" s="1463">
        <f>'Cash Flow'!H103</f>
        <v>8.0385006853007063E-2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7342649.9999999991</v>
      </c>
      <c r="J64" s="1429" t="s">
        <v>1098</v>
      </c>
      <c r="K64" s="1452">
        <f>'Cash Flow'!H97</f>
        <v>13245039.705692321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783141.23048608843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16548001.130740665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P21" sqref="P2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50</v>
      </c>
      <c r="O8" s="521">
        <f t="shared" si="0"/>
        <v>0.1984126984126984</v>
      </c>
      <c r="Q8" s="283">
        <f>SUM(O10:O15)</f>
        <v>0.79365079365079361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1087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61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867145</v>
      </c>
      <c r="F18" s="285"/>
      <c r="H18" s="286"/>
      <c r="I18" s="287"/>
      <c r="K18" s="226"/>
      <c r="M18" s="328" t="s">
        <v>10</v>
      </c>
      <c r="N18" s="1268">
        <f>N17+N16</f>
        <v>252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10000</v>
      </c>
      <c r="K32" s="292">
        <f>E32*I32</f>
        <v>30325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13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8710</v>
      </c>
      <c r="K33" s="292">
        <f>E33*I33</f>
        <v>16900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12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12000</v>
      </c>
      <c r="K34" s="292">
        <f>E34*I34</f>
        <v>18720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50</v>
      </c>
      <c r="F37" s="241"/>
      <c r="G37" s="241"/>
      <c r="H37" s="243"/>
      <c r="I37" s="241"/>
      <c r="J37" s="293">
        <f>SUM(J32:J36)</f>
        <v>30710</v>
      </c>
      <c r="K37" s="294">
        <f>SUM(K32:K36)</f>
        <v>65945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50">
        <v>2400</v>
      </c>
      <c r="J50" s="284">
        <f>D50*E50</f>
        <v>12000</v>
      </c>
      <c r="K50" s="292">
        <f>E50*I50</f>
        <v>72000</v>
      </c>
      <c r="L50" s="1536"/>
      <c r="M50" s="298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50">
        <f>ROUND(G51-H51,0)</f>
        <v>3120</v>
      </c>
      <c r="J51" s="284">
        <f>D51*E51</f>
        <v>20100</v>
      </c>
      <c r="K51" s="292">
        <f>E51*I51</f>
        <v>93600</v>
      </c>
      <c r="L51" s="1536"/>
      <c r="M51" s="298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50">
        <v>4540</v>
      </c>
      <c r="J52" s="284">
        <f>D52*E52</f>
        <v>140000</v>
      </c>
      <c r="K52" s="292">
        <f>E52*I52</f>
        <v>635600</v>
      </c>
      <c r="L52" s="1536"/>
      <c r="M52" s="298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0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L248" sqref="L248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16256555.640426338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9" t="s">
        <v>84</v>
      </c>
      <c r="G14" s="1600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2" t="s">
        <v>640</v>
      </c>
      <c r="D18" s="1622"/>
      <c r="E18" s="1623">
        <f>N18</f>
        <v>16380000</v>
      </c>
      <c r="F18" s="1624"/>
      <c r="G18" s="1625">
        <f>E18</f>
        <v>16380000</v>
      </c>
      <c r="H18" s="1626"/>
      <c r="I18" s="1626">
        <f>G18/$F$9</f>
        <v>65000</v>
      </c>
      <c r="J18" s="1003"/>
      <c r="K18" s="1004"/>
      <c r="L18" s="1004"/>
      <c r="M18" s="1276">
        <f>F9*N17</f>
        <v>16380000</v>
      </c>
      <c r="N18" s="1518">
        <v>16380000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16380000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2" t="s">
        <v>641</v>
      </c>
      <c r="D19" s="1622"/>
      <c r="E19" s="1627"/>
      <c r="F19" s="1628"/>
      <c r="G19" s="1629">
        <f>SUM(F20:F22)</f>
        <v>25000</v>
      </c>
      <c r="H19" s="1626"/>
      <c r="I19" s="1626">
        <f t="shared" ref="I19:I82" si="0">G19/$F$9</f>
        <v>99.206349206349202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0"/>
      <c r="D20" s="1622" t="s">
        <v>642</v>
      </c>
      <c r="E20" s="1627"/>
      <c r="F20" s="1628">
        <v>10000</v>
      </c>
      <c r="G20" s="1629"/>
      <c r="H20" s="1626"/>
      <c r="I20" s="1626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0"/>
      <c r="D21" s="1622" t="s">
        <v>643</v>
      </c>
      <c r="E21" s="1631">
        <v>0</v>
      </c>
      <c r="F21" s="1628">
        <f>E21*G18</f>
        <v>0</v>
      </c>
      <c r="G21" s="1629"/>
      <c r="H21" s="1626"/>
      <c r="I21" s="1626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0"/>
      <c r="D22" s="1622" t="s">
        <v>644</v>
      </c>
      <c r="E22" s="1627"/>
      <c r="F22" s="1628">
        <v>15000</v>
      </c>
      <c r="G22" s="1629"/>
      <c r="H22" s="1626"/>
      <c r="I22" s="1626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2" t="s">
        <v>645</v>
      </c>
      <c r="D23" s="1622"/>
      <c r="E23" s="1632">
        <v>150000</v>
      </c>
      <c r="F23" s="1628"/>
      <c r="G23" s="1629">
        <f>E23</f>
        <v>150000</v>
      </c>
      <c r="H23" s="1626"/>
      <c r="I23" s="1626">
        <f t="shared" si="0"/>
        <v>595.23809523809518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2" t="s">
        <v>646</v>
      </c>
      <c r="D24" s="1622"/>
      <c r="E24" s="1633"/>
      <c r="F24" s="1628"/>
      <c r="G24" s="1629">
        <f>SUM(F25:F26)</f>
        <v>0</v>
      </c>
      <c r="H24" s="1626"/>
      <c r="I24" s="1626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0"/>
      <c r="D25" s="1622" t="s">
        <v>647</v>
      </c>
      <c r="E25" s="1634">
        <f>5</f>
        <v>5</v>
      </c>
      <c r="F25" s="1635">
        <v>0</v>
      </c>
      <c r="G25" s="1629"/>
      <c r="H25" s="1626"/>
      <c r="I25" s="1626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0"/>
      <c r="D26" s="1622" t="s">
        <v>648</v>
      </c>
      <c r="E26" s="1634">
        <v>7</v>
      </c>
      <c r="F26" s="1635">
        <v>0</v>
      </c>
      <c r="G26" s="1629"/>
      <c r="H26" s="1626"/>
      <c r="I26" s="1626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2" t="s">
        <v>769</v>
      </c>
      <c r="D27" s="1622"/>
      <c r="E27" s="1636"/>
      <c r="F27" s="1628"/>
      <c r="G27" s="1629">
        <v>0</v>
      </c>
      <c r="H27" s="1626"/>
      <c r="I27" s="1626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7" t="s">
        <v>770</v>
      </c>
      <c r="D28" s="1638"/>
      <c r="E28" s="1639"/>
      <c r="F28" s="1640"/>
      <c r="G28" s="1641">
        <f>SUM(G18:G27)</f>
        <v>16555000</v>
      </c>
      <c r="H28" s="1642"/>
      <c r="I28" s="1643">
        <f t="shared" si="0"/>
        <v>65694.444444444438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16555000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4" t="s">
        <v>90</v>
      </c>
      <c r="D29" s="1622"/>
      <c r="E29" s="1645"/>
      <c r="F29" s="1628"/>
      <c r="G29" s="1646"/>
      <c r="H29" s="1647"/>
      <c r="I29" s="1626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2" t="s">
        <v>707</v>
      </c>
      <c r="D30" s="1622"/>
      <c r="E30" s="1648">
        <v>0</v>
      </c>
      <c r="F30" s="1628"/>
      <c r="G30" s="1646">
        <v>0</v>
      </c>
      <c r="H30" s="1647"/>
      <c r="I30" s="1626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2" t="s">
        <v>708</v>
      </c>
      <c r="D31" s="1622"/>
      <c r="E31" s="1623">
        <v>35</v>
      </c>
      <c r="F31" s="1628"/>
      <c r="G31" s="1649">
        <f>E31*'Construction Calculation'!G11</f>
        <v>0</v>
      </c>
      <c r="H31" s="1650"/>
      <c r="I31" s="1626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2" t="s">
        <v>94</v>
      </c>
      <c r="D32" s="1622"/>
      <c r="E32" s="1651"/>
      <c r="F32" s="1652"/>
      <c r="G32" s="1646">
        <f>F33+F35</f>
        <v>80891329.5</v>
      </c>
      <c r="H32" s="1647"/>
      <c r="I32" s="1626">
        <f t="shared" si="0"/>
        <v>320997.33928571426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88980462.450000003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2"/>
      <c r="D33" s="1622" t="s">
        <v>669</v>
      </c>
      <c r="E33" s="1653">
        <v>300</v>
      </c>
      <c r="F33" s="1654">
        <f>E33*'Construction Calculation'!C14</f>
        <v>73731600</v>
      </c>
      <c r="G33" s="1646"/>
      <c r="H33" s="1647"/>
      <c r="I33" s="1626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2"/>
      <c r="D34" s="1622" t="s">
        <v>709</v>
      </c>
      <c r="E34" s="1653">
        <v>35</v>
      </c>
      <c r="F34" s="1654">
        <v>0</v>
      </c>
      <c r="G34" s="1646"/>
      <c r="H34" s="1647"/>
      <c r="I34" s="1626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2"/>
      <c r="D35" s="1622" t="s">
        <v>691</v>
      </c>
      <c r="E35" s="1653">
        <f>'Construction Calculation'!G49</f>
        <v>143</v>
      </c>
      <c r="F35" s="1654">
        <f>'Construction Calculation'!I55</f>
        <v>7159729.5000000009</v>
      </c>
      <c r="G35" s="1646">
        <f>0*F35</f>
        <v>0</v>
      </c>
      <c r="H35" s="1647"/>
      <c r="I35" s="1626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0"/>
      <c r="D36" s="1622" t="s">
        <v>710</v>
      </c>
      <c r="E36" s="1655">
        <v>0.1</v>
      </c>
      <c r="F36" s="1656">
        <f>E36*(G32+G31+G30)</f>
        <v>8089132.9500000002</v>
      </c>
      <c r="G36" s="1629">
        <f>F36</f>
        <v>8089132.9500000002</v>
      </c>
      <c r="H36" s="1626"/>
      <c r="I36" s="1626">
        <f t="shared" si="0"/>
        <v>32099.73392857143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2" t="s">
        <v>711</v>
      </c>
      <c r="D37" s="1622"/>
      <c r="E37" s="1655">
        <v>7.0000000000000007E-2</v>
      </c>
      <c r="F37" s="1657"/>
      <c r="G37" s="1658">
        <f>SUM($G$29:$G$32,$G$20,$G$21)*E37</f>
        <v>5662393.0650000004</v>
      </c>
      <c r="H37" s="1659"/>
      <c r="I37" s="1626">
        <f t="shared" si="0"/>
        <v>22469.813750000001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5662393.0650000004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2" t="s">
        <v>712</v>
      </c>
      <c r="D38" s="1622"/>
      <c r="E38" s="1655">
        <v>0.05</v>
      </c>
      <c r="F38" s="1657"/>
      <c r="G38" s="1658">
        <f>SUM($G$29:$G$32,$G$20,$G$21)*E38</f>
        <v>4044566.4750000001</v>
      </c>
      <c r="H38" s="1659"/>
      <c r="I38" s="1626">
        <f t="shared" si="0"/>
        <v>16049.866964285715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4044566.4750000001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2" t="s">
        <v>713</v>
      </c>
      <c r="D39" s="1622"/>
      <c r="E39" s="1655">
        <v>0</v>
      </c>
      <c r="F39" s="1657"/>
      <c r="G39" s="1658">
        <f>SUM($G$29:$G$32,$G$20,$G$21)*E39</f>
        <v>0</v>
      </c>
      <c r="H39" s="1659"/>
      <c r="I39" s="1626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2" t="s">
        <v>714</v>
      </c>
      <c r="D40" s="1622"/>
      <c r="E40" s="1655">
        <v>1.4999999999999999E-2</v>
      </c>
      <c r="F40" s="1657"/>
      <c r="G40" s="1658">
        <f>SUM($G$29:$G$32,$G$20,$G$21)*E40</f>
        <v>1213369.9424999999</v>
      </c>
      <c r="H40" s="1659"/>
      <c r="I40" s="1626">
        <f t="shared" si="0"/>
        <v>4814.9600892857143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1213369.9424999999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2" t="s">
        <v>715</v>
      </c>
      <c r="D41" s="1622"/>
      <c r="E41" s="1655">
        <v>1.4999999999999999E-2</v>
      </c>
      <c r="F41" s="1660"/>
      <c r="G41" s="1658">
        <f>SUM($G$29:$G$33,$G$20,$G$21)*E41</f>
        <v>1213369.9424999999</v>
      </c>
      <c r="H41" s="1659"/>
      <c r="I41" s="1626">
        <f t="shared" si="0"/>
        <v>4814.9600892857143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1213369.9424999999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2" t="s">
        <v>224</v>
      </c>
      <c r="D42" s="1622"/>
      <c r="E42" s="1655">
        <v>0</v>
      </c>
      <c r="F42" s="1661"/>
      <c r="G42" s="1658">
        <f>SUM($G$29:$G$32,$G$20,$G$21)*E42</f>
        <v>0</v>
      </c>
      <c r="H42" s="1659"/>
      <c r="I42" s="1626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0" t="s">
        <v>716</v>
      </c>
      <c r="D43" s="1657"/>
      <c r="E43" s="1655">
        <v>0</v>
      </c>
      <c r="F43" s="1657"/>
      <c r="G43" s="1658">
        <f>SUM($G$29:$G$32,$G$20,$G$21)*E43</f>
        <v>0</v>
      </c>
      <c r="H43" s="1659"/>
      <c r="I43" s="1626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2" t="s">
        <v>717</v>
      </c>
      <c r="D44" s="1663"/>
      <c r="E44" s="1664"/>
      <c r="F44" s="1665"/>
      <c r="G44" s="1666">
        <f>SUM(G30:G43)+G23+G24</f>
        <v>101264161.87499999</v>
      </c>
      <c r="H44" s="1667"/>
      <c r="I44" s="1643">
        <f t="shared" si="0"/>
        <v>401841.91220238089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101264161.87499999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4" t="s">
        <v>718</v>
      </c>
      <c r="D45" s="1622"/>
      <c r="E45" s="1668">
        <v>0</v>
      </c>
      <c r="F45" s="1669"/>
      <c r="G45" s="1670">
        <f>E45*G44</f>
        <v>0</v>
      </c>
      <c r="H45" s="1671"/>
      <c r="I45" s="1626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2" t="s">
        <v>719</v>
      </c>
      <c r="D46" s="1672"/>
      <c r="E46" s="1673"/>
      <c r="F46" s="1674"/>
      <c r="G46" s="1641">
        <f>SUM(G44:G45)</f>
        <v>101264161.87499999</v>
      </c>
      <c r="H46" s="1642"/>
      <c r="I46" s="1643">
        <f t="shared" si="0"/>
        <v>401841.91220238089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101264161.87499999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4" t="s">
        <v>720</v>
      </c>
      <c r="D47" s="1622"/>
      <c r="E47" s="1675">
        <v>0.1</v>
      </c>
      <c r="F47" s="1676">
        <v>0.15</v>
      </c>
      <c r="G47" s="1646">
        <f>(E47*G46)</f>
        <v>10126416.1875</v>
      </c>
      <c r="H47" s="1647"/>
      <c r="I47" s="1626">
        <f t="shared" si="0"/>
        <v>40184.191220238092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10126416.1875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7" t="s">
        <v>721</v>
      </c>
      <c r="D48" s="1622"/>
      <c r="E48" s="1678"/>
      <c r="F48" s="1679"/>
      <c r="G48" s="1646"/>
      <c r="H48" s="1647"/>
      <c r="I48" s="1626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0"/>
      <c r="D49" s="1622" t="s">
        <v>771</v>
      </c>
      <c r="E49" s="1652"/>
      <c r="F49" s="1652">
        <f>335*F9</f>
        <v>84420</v>
      </c>
      <c r="G49" s="1681">
        <f>F49</f>
        <v>84420</v>
      </c>
      <c r="H49" s="1682"/>
      <c r="I49" s="1626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0"/>
      <c r="D50" s="1622" t="s">
        <v>772</v>
      </c>
      <c r="E50" s="1652">
        <v>0</v>
      </c>
      <c r="F50" s="1652">
        <f>368*F9</f>
        <v>92736</v>
      </c>
      <c r="G50" s="1681">
        <f>F50</f>
        <v>92736</v>
      </c>
      <c r="H50" s="1682"/>
      <c r="I50" s="1626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7"/>
      <c r="D51" s="1622" t="s">
        <v>773</v>
      </c>
      <c r="E51" s="1679">
        <v>0</v>
      </c>
      <c r="F51" s="1679">
        <v>1225</v>
      </c>
      <c r="G51" s="1681">
        <f>F51</f>
        <v>1225</v>
      </c>
      <c r="H51" s="1647"/>
      <c r="I51" s="1626">
        <f t="shared" si="0"/>
        <v>4.8611111111111107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7" t="s">
        <v>774</v>
      </c>
      <c r="D52" s="1644"/>
      <c r="E52" s="1683"/>
      <c r="F52" s="1684"/>
      <c r="G52" s="1685">
        <f>SUM(F49:F51)</f>
        <v>178381</v>
      </c>
      <c r="H52" s="1686"/>
      <c r="I52" s="1626">
        <f t="shared" si="0"/>
        <v>707.86111111111109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178381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4" t="s">
        <v>775</v>
      </c>
      <c r="D53" s="1622"/>
      <c r="E53" s="1687"/>
      <c r="F53" s="1669"/>
      <c r="G53" s="1646"/>
      <c r="H53" s="1647"/>
      <c r="I53" s="1626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2" t="s">
        <v>385</v>
      </c>
      <c r="D54" s="1622"/>
      <c r="E54" s="1688"/>
      <c r="F54" s="1669"/>
      <c r="G54" s="1646">
        <f>SUM(F55:F56)</f>
        <v>2539800</v>
      </c>
      <c r="H54" s="1647"/>
      <c r="I54" s="1626">
        <f t="shared" si="0"/>
        <v>10078.571428571429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2539800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2"/>
      <c r="D55" s="1622" t="s">
        <v>776</v>
      </c>
      <c r="E55" s="1630"/>
      <c r="F55" s="1659">
        <v>163800</v>
      </c>
      <c r="G55" s="1689"/>
      <c r="H55" s="1690"/>
      <c r="I55" s="1626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2"/>
      <c r="D56" s="1622" t="s">
        <v>385</v>
      </c>
      <c r="E56" s="1668">
        <v>0.06</v>
      </c>
      <c r="F56" s="1652">
        <f>M56</f>
        <v>2376000</v>
      </c>
      <c r="G56" s="1689"/>
      <c r="H56" s="1690"/>
      <c r="I56" s="1626">
        <f>G56/$F$9</f>
        <v>0</v>
      </c>
      <c r="J56" s="1051"/>
      <c r="K56" s="1055" t="s">
        <v>984</v>
      </c>
      <c r="L56" s="1056"/>
      <c r="M56" s="1515">
        <f>SUM(M57:M58)</f>
        <v>2376000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2" t="s">
        <v>777</v>
      </c>
      <c r="D57" s="1622"/>
      <c r="E57" s="1691">
        <v>6.5000000000000002E-2</v>
      </c>
      <c r="F57" s="1652"/>
      <c r="G57" s="1692">
        <f>E57*F56</f>
        <v>154440</v>
      </c>
      <c r="H57" s="1693"/>
      <c r="I57" s="1626">
        <f t="shared" si="0"/>
        <v>612.85714285714289</v>
      </c>
      <c r="J57" s="1003"/>
      <c r="K57" s="1057"/>
      <c r="L57" s="1058"/>
      <c r="M57" s="1059">
        <f>(5000*F9)*1.6</f>
        <v>2016000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154440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2" t="s">
        <v>778</v>
      </c>
      <c r="D58" s="1622"/>
      <c r="E58" s="1631"/>
      <c r="F58" s="1652"/>
      <c r="G58" s="1692">
        <v>30000</v>
      </c>
      <c r="H58" s="1693"/>
      <c r="I58" s="1626">
        <f t="shared" si="0"/>
        <v>119.04761904761905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7" t="s">
        <v>966</v>
      </c>
      <c r="D59" s="1644"/>
      <c r="E59" s="1694"/>
      <c r="F59" s="1695"/>
      <c r="G59" s="1696">
        <f>SUM(G54:G58)-SUM(F75:F76,G78:G79,G67:G69)</f>
        <v>2280079.5953124999</v>
      </c>
      <c r="H59" s="1697"/>
      <c r="I59" s="1626">
        <f t="shared" si="0"/>
        <v>9047.9349020337304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2724240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4" t="s">
        <v>967</v>
      </c>
      <c r="D60" s="1622"/>
      <c r="E60" s="1688"/>
      <c r="F60" s="1652"/>
      <c r="G60" s="1689"/>
      <c r="H60" s="1690"/>
      <c r="I60" s="1626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2" t="s">
        <v>385</v>
      </c>
      <c r="D61" s="1622"/>
      <c r="E61" s="1688"/>
      <c r="F61" s="1669"/>
      <c r="G61" s="1646">
        <v>0</v>
      </c>
      <c r="H61" s="1647"/>
      <c r="I61" s="1626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2"/>
      <c r="D62" s="1622" t="s">
        <v>776</v>
      </c>
      <c r="E62" s="1688"/>
      <c r="F62" s="1659">
        <v>0</v>
      </c>
      <c r="G62" s="1689"/>
      <c r="H62" s="1690"/>
      <c r="I62" s="1626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2"/>
      <c r="D63" s="1622" t="s">
        <v>385</v>
      </c>
      <c r="E63" s="1678">
        <v>0.06</v>
      </c>
      <c r="F63" s="1652">
        <v>0</v>
      </c>
      <c r="G63" s="1689"/>
      <c r="H63" s="1690"/>
      <c r="I63" s="1626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2" t="s">
        <v>777</v>
      </c>
      <c r="D64" s="1622"/>
      <c r="E64" s="1631">
        <v>0.15</v>
      </c>
      <c r="F64" s="1698"/>
      <c r="G64" s="1699">
        <f>+E64*F63</f>
        <v>0</v>
      </c>
      <c r="H64" s="1645"/>
      <c r="I64" s="1626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7" t="s">
        <v>780</v>
      </c>
      <c r="D65" s="1644"/>
      <c r="E65" s="1694"/>
      <c r="F65" s="1700"/>
      <c r="G65" s="1685">
        <f>SUM(G61:G64)</f>
        <v>0</v>
      </c>
      <c r="H65" s="1686"/>
      <c r="I65" s="1626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7" t="s">
        <v>368</v>
      </c>
      <c r="D66" s="1622"/>
      <c r="E66" s="1688"/>
      <c r="F66" s="1669"/>
      <c r="G66" s="1646"/>
      <c r="H66" s="1647"/>
      <c r="I66" s="1626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2" t="s">
        <v>781</v>
      </c>
      <c r="D67" s="1630"/>
      <c r="E67" s="1678">
        <v>2.5000000000000001E-3</v>
      </c>
      <c r="F67" s="1679"/>
      <c r="G67" s="1646">
        <f>(E67*G46)</f>
        <v>253160.40468749998</v>
      </c>
      <c r="H67" s="1647"/>
      <c r="I67" s="1626">
        <f t="shared" si="0"/>
        <v>1004.6047805059522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253160.40468749998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2" t="s">
        <v>783</v>
      </c>
      <c r="D68" s="1630"/>
      <c r="E68" s="1701">
        <v>0</v>
      </c>
      <c r="F68" s="1679"/>
      <c r="G68" s="1699">
        <v>7000</v>
      </c>
      <c r="H68" s="1645"/>
      <c r="I68" s="1626">
        <f t="shared" si="0"/>
        <v>27.777777777777779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2" t="s">
        <v>395</v>
      </c>
      <c r="D69" s="1630"/>
      <c r="E69" s="1701"/>
      <c r="F69" s="1679"/>
      <c r="G69" s="1699">
        <f>F70+F71+F72+F73</f>
        <v>95000</v>
      </c>
      <c r="H69" s="1645"/>
      <c r="I69" s="1626">
        <f t="shared" si="0"/>
        <v>376.98412698412699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2"/>
      <c r="D70" s="1622" t="s">
        <v>784</v>
      </c>
      <c r="E70" s="1701"/>
      <c r="F70" s="1645">
        <v>0</v>
      </c>
      <c r="G70" s="1702"/>
      <c r="H70" s="1657"/>
      <c r="I70" s="1626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7"/>
      <c r="D71" s="1622" t="s">
        <v>786</v>
      </c>
      <c r="E71" s="1701"/>
      <c r="F71" s="1645">
        <v>8000</v>
      </c>
      <c r="G71" s="1702"/>
      <c r="H71" s="1657"/>
      <c r="I71" s="1626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7"/>
      <c r="D72" s="1622" t="s">
        <v>787</v>
      </c>
      <c r="E72" s="1701"/>
      <c r="F72" s="1645">
        <v>42000</v>
      </c>
      <c r="G72" s="1702"/>
      <c r="H72" s="1657"/>
      <c r="I72" s="1626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7"/>
      <c r="D73" s="1622" t="s">
        <v>773</v>
      </c>
      <c r="E73" s="1701"/>
      <c r="F73" s="1645">
        <v>45000</v>
      </c>
      <c r="G73" s="1702"/>
      <c r="H73" s="1657"/>
      <c r="I73" s="1626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2" t="s">
        <v>104</v>
      </c>
      <c r="D74" s="1630"/>
      <c r="E74" s="1703"/>
      <c r="F74" s="1679"/>
      <c r="G74" s="1646">
        <f>SUM(F75:F76)</f>
        <v>25000</v>
      </c>
      <c r="H74" s="1647"/>
      <c r="I74" s="1626">
        <f t="shared" si="0"/>
        <v>99.206349206349202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0"/>
      <c r="D75" s="1622" t="s">
        <v>788</v>
      </c>
      <c r="E75" s="1703"/>
      <c r="F75" s="1679">
        <v>20000</v>
      </c>
      <c r="G75" s="1646"/>
      <c r="H75" s="1647"/>
      <c r="I75" s="1626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0"/>
      <c r="D76" s="1622" t="s">
        <v>789</v>
      </c>
      <c r="E76" s="1703"/>
      <c r="F76" s="1679">
        <v>5000</v>
      </c>
      <c r="G76" s="1646"/>
      <c r="H76" s="1647"/>
      <c r="I76" s="1626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0"/>
      <c r="D77" s="1622" t="s">
        <v>790</v>
      </c>
      <c r="E77" s="1703"/>
      <c r="F77" s="1679">
        <v>0</v>
      </c>
      <c r="G77" s="1646"/>
      <c r="H77" s="1647"/>
      <c r="I77" s="1626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2" t="s">
        <v>791</v>
      </c>
      <c r="D78" s="1630"/>
      <c r="E78" s="1688"/>
      <c r="F78" s="1652"/>
      <c r="G78" s="1629">
        <v>30000</v>
      </c>
      <c r="H78" s="1626"/>
      <c r="I78" s="1626">
        <f t="shared" si="0"/>
        <v>119.04761904761905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2" t="s">
        <v>792</v>
      </c>
      <c r="D79" s="1630"/>
      <c r="E79" s="1688"/>
      <c r="F79" s="1652"/>
      <c r="G79" s="1629">
        <v>34000</v>
      </c>
      <c r="H79" s="1626"/>
      <c r="I79" s="1626">
        <f t="shared" si="0"/>
        <v>134.92063492063491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7" t="s">
        <v>795</v>
      </c>
      <c r="D80" s="1644"/>
      <c r="E80" s="1683"/>
      <c r="F80" s="1684"/>
      <c r="G80" s="1685">
        <f>SUM(G67:G79)</f>
        <v>444160.40468749998</v>
      </c>
      <c r="H80" s="1686"/>
      <c r="I80" s="1626">
        <f t="shared" si="0"/>
        <v>1762.5412884424602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444160.40468749998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7" t="s">
        <v>796</v>
      </c>
      <c r="D81" s="1622"/>
      <c r="E81" s="1678"/>
      <c r="F81" s="1679"/>
      <c r="G81" s="1646"/>
      <c r="H81" s="1647"/>
      <c r="I81" s="1626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2" t="s">
        <v>797</v>
      </c>
      <c r="D82" s="1622"/>
      <c r="E82" s="1678"/>
      <c r="F82" s="1679"/>
      <c r="G82" s="1689">
        <v>0</v>
      </c>
      <c r="H82" s="1690"/>
      <c r="I82" s="1626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0"/>
      <c r="D83" s="1622" t="s">
        <v>968</v>
      </c>
      <c r="E83" s="1704">
        <v>4.08</v>
      </c>
      <c r="F83" s="1652">
        <v>0</v>
      </c>
      <c r="G83" s="1689"/>
      <c r="H83" s="1690"/>
      <c r="I83" s="1626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0"/>
      <c r="D84" s="1622"/>
      <c r="E84" s="1704"/>
      <c r="F84" s="1652"/>
      <c r="G84" s="1689"/>
      <c r="H84" s="1690"/>
      <c r="I84" s="1626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0"/>
      <c r="D85" s="1622"/>
      <c r="E85" s="1704"/>
      <c r="F85" s="1652"/>
      <c r="G85" s="1689"/>
      <c r="H85" s="1690"/>
      <c r="I85" s="1626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0"/>
      <c r="D86" s="1622"/>
      <c r="E86" s="1704"/>
      <c r="F86" s="1652"/>
      <c r="G86" s="1689"/>
      <c r="H86" s="1690"/>
      <c r="I86" s="1626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0"/>
      <c r="D87" s="1622"/>
      <c r="E87" s="1704"/>
      <c r="F87" s="1652"/>
      <c r="G87" s="1689"/>
      <c r="H87" s="1690"/>
      <c r="I87" s="1626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0"/>
      <c r="D88" s="1622"/>
      <c r="E88" s="1705"/>
      <c r="F88" s="1652">
        <v>0</v>
      </c>
      <c r="G88" s="1689"/>
      <c r="H88" s="1690"/>
      <c r="I88" s="1626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0"/>
      <c r="D89" s="1622"/>
      <c r="E89" s="1706">
        <v>0</v>
      </c>
      <c r="F89" s="1652">
        <v>0</v>
      </c>
      <c r="G89" s="1689"/>
      <c r="H89" s="1690"/>
      <c r="I89" s="1626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0" t="s">
        <v>413</v>
      </c>
      <c r="D90" s="1622"/>
      <c r="E90" s="1630"/>
      <c r="F90" s="1652"/>
      <c r="G90" s="1689">
        <f>SUM(F91:F96)</f>
        <v>3975786</v>
      </c>
      <c r="H90" s="1690"/>
      <c r="I90" s="1626">
        <f t="shared" si="3"/>
        <v>15776.928571428571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3975786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0"/>
      <c r="D91" s="1622" t="s">
        <v>799</v>
      </c>
      <c r="E91" s="1678"/>
      <c r="F91" s="1707">
        <v>51432</v>
      </c>
      <c r="G91" s="1689">
        <v>100000</v>
      </c>
      <c r="H91" s="1690"/>
      <c r="I91" s="1626">
        <f t="shared" si="3"/>
        <v>396.82539682539681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0"/>
      <c r="D92" s="1622" t="s">
        <v>802</v>
      </c>
      <c r="E92" s="1678"/>
      <c r="F92" s="1708">
        <v>11500</v>
      </c>
      <c r="G92" s="1689"/>
      <c r="H92" s="1690"/>
      <c r="I92" s="1626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0"/>
      <c r="D93" s="1622" t="s">
        <v>803</v>
      </c>
      <c r="E93" s="1709"/>
      <c r="F93" s="1710">
        <v>285455</v>
      </c>
      <c r="G93" s="1689"/>
      <c r="H93" s="1690"/>
      <c r="I93" s="1626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0"/>
      <c r="D94" s="1622" t="s">
        <v>535</v>
      </c>
      <c r="E94" s="1630"/>
      <c r="F94" s="1708">
        <f>M94</f>
        <v>2970324</v>
      </c>
      <c r="G94" s="1689"/>
      <c r="H94" s="1690"/>
      <c r="I94" s="1626">
        <f t="shared" si="3"/>
        <v>0</v>
      </c>
      <c r="J94" s="1046"/>
      <c r="K94" s="1068" t="s">
        <v>800</v>
      </c>
      <c r="L94" s="1025"/>
      <c r="M94" s="1516">
        <f>11787*F9</f>
        <v>2970324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0"/>
      <c r="D95" s="1622" t="s">
        <v>804</v>
      </c>
      <c r="E95" s="1705">
        <v>2600</v>
      </c>
      <c r="F95" s="1710">
        <f>E95*F9</f>
        <v>655200</v>
      </c>
      <c r="G95" s="1689"/>
      <c r="H95" s="1690"/>
      <c r="I95" s="1626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0"/>
      <c r="D96" s="1622" t="s">
        <v>805</v>
      </c>
      <c r="E96" s="1668">
        <v>0</v>
      </c>
      <c r="F96" s="1710">
        <v>1875</v>
      </c>
      <c r="G96" s="1689"/>
      <c r="H96" s="1690"/>
      <c r="I96" s="1626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7" t="s">
        <v>806</v>
      </c>
      <c r="D97" s="1644"/>
      <c r="E97" s="1683"/>
      <c r="F97" s="1684"/>
      <c r="G97" s="1685">
        <f>SUM(G82:G96)</f>
        <v>4075786</v>
      </c>
      <c r="H97" s="1686"/>
      <c r="I97" s="1626">
        <f t="shared" si="3"/>
        <v>16173.753968253968</v>
      </c>
      <c r="J97" s="1048"/>
      <c r="K97" s="1080">
        <f>I97/I250</f>
        <v>2.9141899041899042E-2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4075786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7" t="s">
        <v>807</v>
      </c>
      <c r="D98" s="1622"/>
      <c r="E98" s="1678"/>
      <c r="F98" s="1679"/>
      <c r="G98" s="1689"/>
      <c r="H98" s="1690"/>
      <c r="I98" s="1626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2" t="s">
        <v>808</v>
      </c>
      <c r="D99" s="1622"/>
      <c r="E99" s="1678"/>
      <c r="F99" s="1679"/>
      <c r="G99" s="1689">
        <f>SUM(F100:F101)</f>
        <v>0</v>
      </c>
      <c r="H99" s="1690"/>
      <c r="I99" s="1626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0"/>
      <c r="D100" s="1622" t="s">
        <v>809</v>
      </c>
      <c r="E100" s="1693"/>
      <c r="F100" s="1654">
        <v>0</v>
      </c>
      <c r="G100" s="1689"/>
      <c r="H100" s="1690"/>
      <c r="I100" s="1626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0"/>
      <c r="D101" s="1622" t="s">
        <v>810</v>
      </c>
      <c r="E101" s="1630"/>
      <c r="F101" s="1654">
        <v>0</v>
      </c>
      <c r="G101" s="1689"/>
      <c r="H101" s="1690"/>
      <c r="I101" s="1626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0" t="s">
        <v>812</v>
      </c>
      <c r="D102" s="1622"/>
      <c r="E102" s="1630"/>
      <c r="F102" s="1652"/>
      <c r="G102" s="1689">
        <f>SUM(F103:F105)</f>
        <v>366342.57551626547</v>
      </c>
      <c r="H102" s="1690"/>
      <c r="I102" s="1626">
        <f t="shared" si="3"/>
        <v>1453.7403790327994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366342.57551626547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0"/>
      <c r="D103" s="1622" t="s">
        <v>809</v>
      </c>
      <c r="E103" s="1711">
        <v>0.05</v>
      </c>
      <c r="F103" s="1652">
        <f>E103*N103</f>
        <v>351342.57551626547</v>
      </c>
      <c r="G103" s="1689"/>
      <c r="H103" s="1690"/>
      <c r="I103" s="1626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7176855.2839173246</v>
      </c>
      <c r="N103" s="1085">
        <v>7026851.5103253089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0"/>
      <c r="D104" s="1622" t="s">
        <v>816</v>
      </c>
      <c r="E104" s="1630"/>
      <c r="F104" s="1652"/>
      <c r="G104" s="1689"/>
      <c r="H104" s="1690"/>
      <c r="I104" s="1626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0"/>
      <c r="D105" s="1622" t="s">
        <v>817</v>
      </c>
      <c r="E105" s="1630"/>
      <c r="F105" s="1652">
        <v>15000</v>
      </c>
      <c r="G105" s="1689"/>
      <c r="H105" s="1690"/>
      <c r="I105" s="1626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0" t="s">
        <v>818</v>
      </c>
      <c r="D106" s="1622"/>
      <c r="E106" s="1630"/>
      <c r="F106" s="1652"/>
      <c r="G106" s="1689">
        <f>SUM(F107:F109)</f>
        <v>0</v>
      </c>
      <c r="H106" s="1690"/>
      <c r="I106" s="1626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0"/>
      <c r="D107" s="1622" t="s">
        <v>809</v>
      </c>
      <c r="E107" s="1630"/>
      <c r="F107" s="1652">
        <f>N107</f>
        <v>0</v>
      </c>
      <c r="G107" s="1689"/>
      <c r="H107" s="1690"/>
      <c r="I107" s="1626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0"/>
      <c r="D108" s="1622" t="s">
        <v>816</v>
      </c>
      <c r="E108" s="1630"/>
      <c r="F108" s="1652">
        <f>N108</f>
        <v>0</v>
      </c>
      <c r="G108" s="1689"/>
      <c r="H108" s="1690"/>
      <c r="I108" s="1626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0"/>
      <c r="D109" s="1622" t="s">
        <v>817</v>
      </c>
      <c r="E109" s="1630"/>
      <c r="F109" s="1652"/>
      <c r="G109" s="1689"/>
      <c r="H109" s="1690"/>
      <c r="I109" s="1626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0" t="s">
        <v>819</v>
      </c>
      <c r="D110" s="1622"/>
      <c r="E110" s="1630"/>
      <c r="F110" s="1652"/>
      <c r="G110" s="1689">
        <f>SUM(F111:F113)</f>
        <v>0</v>
      </c>
      <c r="H110" s="1690"/>
      <c r="I110" s="1626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0"/>
      <c r="D111" s="1622" t="s">
        <v>809</v>
      </c>
      <c r="E111" s="1630"/>
      <c r="F111" s="1652">
        <f>N111</f>
        <v>0</v>
      </c>
      <c r="G111" s="1689"/>
      <c r="H111" s="1690"/>
      <c r="I111" s="1626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0"/>
      <c r="D112" s="1622" t="s">
        <v>816</v>
      </c>
      <c r="E112" s="1630"/>
      <c r="F112" s="1652">
        <f>N112</f>
        <v>0</v>
      </c>
      <c r="G112" s="1689"/>
      <c r="H112" s="1690"/>
      <c r="I112" s="1626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0"/>
      <c r="D113" s="1622" t="s">
        <v>817</v>
      </c>
      <c r="E113" s="1630"/>
      <c r="F113" s="1652"/>
      <c r="G113" s="1689"/>
      <c r="H113" s="1690"/>
      <c r="I113" s="1626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7" t="s">
        <v>820</v>
      </c>
      <c r="D114" s="1644"/>
      <c r="E114" s="1694"/>
      <c r="F114" s="1700"/>
      <c r="G114" s="1685">
        <f>SUM(G99:G110)</f>
        <v>366342.57551626547</v>
      </c>
      <c r="H114" s="1686"/>
      <c r="I114" s="1626">
        <f t="shared" si="3"/>
        <v>1453.7403790327994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366342.57551626547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4" t="s">
        <v>821</v>
      </c>
      <c r="D115" s="1622"/>
      <c r="E115" s="1688"/>
      <c r="F115" s="1652"/>
      <c r="G115" s="1646"/>
      <c r="H115" s="1647"/>
      <c r="I115" s="1626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2" t="s">
        <v>108</v>
      </c>
      <c r="D116" s="1712"/>
      <c r="E116" s="1713"/>
      <c r="F116" s="1714"/>
      <c r="G116" s="1715">
        <f>N116</f>
        <v>7195256.5751076061</v>
      </c>
      <c r="H116" s="1716"/>
      <c r="I116" s="1626">
        <f t="shared" si="3"/>
        <v>28552.605456776215</v>
      </c>
      <c r="J116" s="1088"/>
      <c r="K116" s="1089" t="s">
        <v>822</v>
      </c>
      <c r="L116" s="1039"/>
      <c r="M116" s="1090">
        <f>0.5*Data!C20*Data!C17/12*Data!C19</f>
        <v>6409084.5000000019</v>
      </c>
      <c r="N116" s="1091">
        <v>7195256.5751076061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7195256.5751076061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2" t="s">
        <v>823</v>
      </c>
      <c r="D117" s="1622"/>
      <c r="E117" s="1688"/>
      <c r="F117" s="1652"/>
      <c r="G117" s="1717">
        <f>N117</f>
        <v>1020603.7695188092</v>
      </c>
      <c r="H117" s="1718"/>
      <c r="I117" s="1626">
        <f t="shared" si="3"/>
        <v>4050.0149584079727</v>
      </c>
      <c r="J117" s="1003"/>
      <c r="K117" s="1093" t="s">
        <v>824</v>
      </c>
      <c r="L117" s="1094"/>
      <c r="M117" s="1095">
        <f>0.01*Data!C20</f>
        <v>909090</v>
      </c>
      <c r="N117" s="1085">
        <v>1020603.7695188092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1020603.7695188092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2" t="s">
        <v>825</v>
      </c>
      <c r="D118" s="1622"/>
      <c r="E118" s="1688"/>
      <c r="F118" s="1652"/>
      <c r="G118" s="1717"/>
      <c r="H118" s="1718"/>
      <c r="I118" s="1626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2" t="s">
        <v>828</v>
      </c>
      <c r="D119" s="1622"/>
      <c r="E119" s="1688"/>
      <c r="F119" s="1652"/>
      <c r="G119" s="1717"/>
      <c r="H119" s="1718"/>
      <c r="I119" s="1626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2" t="s">
        <v>829</v>
      </c>
      <c r="D120" s="1622"/>
      <c r="E120" s="1719">
        <f>'Tax Calc'!E3</f>
        <v>1.199398E-2</v>
      </c>
      <c r="F120" s="1657"/>
      <c r="G120" s="1646">
        <f>'Tax Calc'!C15</f>
        <v>491153.48100000003</v>
      </c>
      <c r="H120" s="1647"/>
      <c r="I120" s="1626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491153.48100000003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2" t="s">
        <v>407</v>
      </c>
      <c r="D121" s="1622"/>
      <c r="E121" s="1720"/>
      <c r="F121" s="1652"/>
      <c r="G121" s="1692">
        <f>SUM(F122:F124)</f>
        <v>1376496.634104281</v>
      </c>
      <c r="H121" s="1693"/>
      <c r="I121" s="1626">
        <f t="shared" si="3"/>
        <v>5462.2882305725434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1376496.634104281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2"/>
      <c r="D122" s="1622" t="s">
        <v>830</v>
      </c>
      <c r="E122" s="1630"/>
      <c r="F122" s="1652">
        <v>0</v>
      </c>
      <c r="G122" s="1689"/>
      <c r="H122" s="1690"/>
      <c r="I122" s="1626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2"/>
      <c r="D123" s="1622" t="s">
        <v>831</v>
      </c>
      <c r="E123" s="1721"/>
      <c r="F123" s="1722">
        <f>'Insurance Estimator'!E19*1.35</f>
        <v>1376496.634104281</v>
      </c>
      <c r="G123" s="1689"/>
      <c r="H123" s="1690"/>
      <c r="I123" s="1626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2"/>
      <c r="D124" s="1622" t="s">
        <v>833</v>
      </c>
      <c r="E124" s="1688"/>
      <c r="F124" s="1652">
        <v>0</v>
      </c>
      <c r="G124" s="1689"/>
      <c r="H124" s="1690"/>
      <c r="I124" s="1626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2" t="s">
        <v>834</v>
      </c>
      <c r="D125" s="1622"/>
      <c r="E125" s="1688"/>
      <c r="F125" s="1652"/>
      <c r="G125" s="1689">
        <f>SUM(F126:F127)</f>
        <v>163090.56542782139</v>
      </c>
      <c r="H125" s="1690"/>
      <c r="I125" s="1626">
        <f t="shared" si="3"/>
        <v>647.18478344373568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163090.56542782139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2"/>
      <c r="D126" s="1622" t="s">
        <v>835</v>
      </c>
      <c r="E126" s="1721">
        <v>1.5E-3</v>
      </c>
      <c r="F126" s="1652">
        <f>N126</f>
        <v>153090.56542782139</v>
      </c>
      <c r="G126" s="1689"/>
      <c r="H126" s="1690"/>
      <c r="I126" s="1626">
        <f t="shared" si="3"/>
        <v>0</v>
      </c>
      <c r="J126" s="1046"/>
      <c r="K126" s="1049"/>
      <c r="L126" s="1015"/>
      <c r="M126" s="1095">
        <f>+E126*Data!C20</f>
        <v>136363.5</v>
      </c>
      <c r="N126" s="1085">
        <v>153090.56542782139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2"/>
      <c r="D127" s="1622" t="s">
        <v>836</v>
      </c>
      <c r="E127" s="1688"/>
      <c r="F127" s="1652">
        <v>10000</v>
      </c>
      <c r="G127" s="1689"/>
      <c r="H127" s="1690"/>
      <c r="I127" s="1626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2" t="s">
        <v>837</v>
      </c>
      <c r="D128" s="1622"/>
      <c r="E128" s="1688"/>
      <c r="F128" s="1652"/>
      <c r="G128" s="1689">
        <f>SUM(F129:F131)</f>
        <v>15400</v>
      </c>
      <c r="H128" s="1690"/>
      <c r="I128" s="1626">
        <f t="shared" si="3"/>
        <v>61.111111111111114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2"/>
      <c r="D129" s="1622" t="s">
        <v>838</v>
      </c>
      <c r="E129" s="1688"/>
      <c r="F129" s="1652">
        <v>10000</v>
      </c>
      <c r="G129" s="1689"/>
      <c r="H129" s="1690"/>
      <c r="I129" s="1626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2"/>
      <c r="D130" s="1622" t="s">
        <v>839</v>
      </c>
      <c r="E130" s="1630">
        <v>600</v>
      </c>
      <c r="F130" s="1652">
        <v>2400</v>
      </c>
      <c r="G130" s="1689"/>
      <c r="H130" s="1690"/>
      <c r="I130" s="1626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2"/>
      <c r="D131" s="1622" t="s">
        <v>840</v>
      </c>
      <c r="E131" s="1688"/>
      <c r="F131" s="1652">
        <v>3000</v>
      </c>
      <c r="G131" s="1689"/>
      <c r="H131" s="1690"/>
      <c r="I131" s="1626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2" t="s">
        <v>841</v>
      </c>
      <c r="D132" s="1712"/>
      <c r="E132" s="1723" t="s">
        <v>842</v>
      </c>
      <c r="F132" s="1724">
        <v>0</v>
      </c>
      <c r="G132" s="1725"/>
      <c r="H132" s="1726"/>
      <c r="I132" s="1626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7"/>
      <c r="D133" s="1727"/>
      <c r="E133" s="1728"/>
      <c r="F133" s="1729"/>
      <c r="G133" s="1730"/>
      <c r="H133" s="1727"/>
      <c r="I133" s="1626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0"/>
      <c r="D134" s="1630"/>
      <c r="E134" s="1731"/>
      <c r="F134" s="1729"/>
      <c r="G134" s="1732"/>
      <c r="H134" s="1630"/>
      <c r="I134" s="1626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0"/>
      <c r="D135" s="1630"/>
      <c r="E135" s="1630"/>
      <c r="F135" s="1729"/>
      <c r="G135" s="1732"/>
      <c r="H135" s="1630"/>
      <c r="I135" s="1626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0"/>
      <c r="D136" s="1630"/>
      <c r="E136" s="1731"/>
      <c r="F136" s="1729"/>
      <c r="G136" s="1732"/>
      <c r="H136" s="1630"/>
      <c r="I136" s="1626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0"/>
      <c r="D137" s="1630"/>
      <c r="E137" s="1630"/>
      <c r="F137" s="1729"/>
      <c r="G137" s="1732"/>
      <c r="H137" s="1630"/>
      <c r="I137" s="1626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0"/>
      <c r="D138" s="1630"/>
      <c r="E138" s="1630"/>
      <c r="F138" s="1729"/>
      <c r="G138" s="1732"/>
      <c r="H138" s="1630"/>
      <c r="I138" s="1626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0"/>
      <c r="D139" s="1630"/>
      <c r="E139" s="1630"/>
      <c r="F139" s="1729"/>
      <c r="G139" s="1732"/>
      <c r="H139" s="1630"/>
      <c r="I139" s="1626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0"/>
      <c r="D140" s="1630"/>
      <c r="E140" s="1630"/>
      <c r="F140" s="1729"/>
      <c r="G140" s="1732"/>
      <c r="H140" s="1630"/>
      <c r="I140" s="1626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0"/>
      <c r="D141" s="1630"/>
      <c r="E141" s="1630"/>
      <c r="F141" s="1729"/>
      <c r="G141" s="1732"/>
      <c r="H141" s="1630"/>
      <c r="I141" s="1626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0"/>
      <c r="D142" s="1630"/>
      <c r="E142" s="1630"/>
      <c r="F142" s="1729"/>
      <c r="G142" s="1732"/>
      <c r="H142" s="1630"/>
      <c r="I142" s="1626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0"/>
      <c r="D143" s="1630"/>
      <c r="E143" s="1630"/>
      <c r="F143" s="1729"/>
      <c r="G143" s="1732"/>
      <c r="H143" s="1630"/>
      <c r="I143" s="1626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0"/>
      <c r="D144" s="1630"/>
      <c r="E144" s="1630"/>
      <c r="F144" s="1729"/>
      <c r="G144" s="1732"/>
      <c r="H144" s="1630"/>
      <c r="I144" s="1626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0"/>
      <c r="D145" s="1630"/>
      <c r="E145" s="1630"/>
      <c r="F145" s="1729"/>
      <c r="G145" s="1732"/>
      <c r="H145" s="1630"/>
      <c r="I145" s="1626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0"/>
      <c r="D146" s="1630"/>
      <c r="E146" s="1731"/>
      <c r="F146" s="1729"/>
      <c r="G146" s="1732"/>
      <c r="H146" s="1630"/>
      <c r="I146" s="1626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0"/>
      <c r="D147" s="1630"/>
      <c r="E147" s="1630"/>
      <c r="F147" s="1729"/>
      <c r="G147" s="1732"/>
      <c r="H147" s="1630"/>
      <c r="I147" s="1626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7" t="s">
        <v>860</v>
      </c>
      <c r="D148" s="1644"/>
      <c r="E148" s="1694"/>
      <c r="F148" s="1695"/>
      <c r="G148" s="1696">
        <f>SUM(G116:G147)</f>
        <v>10262001.025158519</v>
      </c>
      <c r="H148" s="1697"/>
      <c r="I148" s="1626">
        <f t="shared" si="6"/>
        <v>40722.226290311584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10262001.025158519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4" t="s">
        <v>996</v>
      </c>
      <c r="D149" s="1622"/>
      <c r="E149" s="1688"/>
      <c r="F149" s="1652"/>
      <c r="G149" s="1689"/>
      <c r="H149" s="1690"/>
      <c r="I149" s="1626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2"/>
      <c r="D150" s="1622"/>
      <c r="E150" s="1688"/>
      <c r="F150" s="1652"/>
      <c r="G150" s="1689">
        <f>N150</f>
        <v>0</v>
      </c>
      <c r="H150" s="1690"/>
      <c r="I150" s="1626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2" t="s">
        <v>861</v>
      </c>
      <c r="D151" s="1622"/>
      <c r="E151" s="1678"/>
      <c r="F151" s="1652"/>
      <c r="G151" s="1689">
        <f>N151</f>
        <v>0</v>
      </c>
      <c r="H151" s="1682"/>
      <c r="I151" s="1626">
        <f t="shared" ref="I151:I158" si="7">G151/$F$9</f>
        <v>0</v>
      </c>
      <c r="J151" s="1046"/>
      <c r="K151" s="1136" t="s">
        <v>862</v>
      </c>
      <c r="L151" s="1137"/>
      <c r="M151" s="1403">
        <f>Data!C31*Data!C30</f>
        <v>938209.79264422215</v>
      </c>
      <c r="N151" s="1191">
        <v>0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2" t="s">
        <v>863</v>
      </c>
      <c r="D152" s="1622"/>
      <c r="E152" s="1688"/>
      <c r="F152" s="1652"/>
      <c r="G152" s="1689">
        <f>SUM(F153:F154)</f>
        <v>0</v>
      </c>
      <c r="H152" s="1690"/>
      <c r="I152" s="1626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2"/>
      <c r="D153" s="1622" t="s">
        <v>835</v>
      </c>
      <c r="E153" s="1688"/>
      <c r="F153" s="1652">
        <v>0</v>
      </c>
      <c r="G153" s="1689"/>
      <c r="H153" s="1690"/>
      <c r="I153" s="1626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2"/>
      <c r="D154" s="1622" t="s">
        <v>836</v>
      </c>
      <c r="E154" s="1688"/>
      <c r="F154" s="1652">
        <v>0</v>
      </c>
      <c r="G154" s="1689"/>
      <c r="H154" s="1690"/>
      <c r="I154" s="1626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2" t="s">
        <v>204</v>
      </c>
      <c r="D155" s="1622"/>
      <c r="E155" s="1688"/>
      <c r="F155" s="1652"/>
      <c r="G155" s="1689">
        <f>SUM(F156:F158)</f>
        <v>0</v>
      </c>
      <c r="H155" s="1690"/>
      <c r="I155" s="1626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2"/>
      <c r="D156" s="1622" t="s">
        <v>864</v>
      </c>
      <c r="E156" s="1733">
        <v>0</v>
      </c>
      <c r="F156" s="1710"/>
      <c r="G156" s="1689"/>
      <c r="H156" s="1690"/>
      <c r="I156" s="1626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2"/>
      <c r="D157" s="1622" t="s">
        <v>865</v>
      </c>
      <c r="E157" s="1734"/>
      <c r="F157" s="1710"/>
      <c r="G157" s="1689"/>
      <c r="H157" s="1690"/>
      <c r="I157" s="1626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2"/>
      <c r="D158" s="1622" t="s">
        <v>865</v>
      </c>
      <c r="E158" s="1688"/>
      <c r="F158" s="1652"/>
      <c r="G158" s="1689"/>
      <c r="H158" s="1690"/>
      <c r="I158" s="1626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7" t="s">
        <v>866</v>
      </c>
      <c r="D159" s="1622"/>
      <c r="E159" s="1688"/>
      <c r="F159" s="1652"/>
      <c r="G159" s="1689"/>
      <c r="H159" s="1690"/>
      <c r="I159" s="1626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4" t="s">
        <v>965</v>
      </c>
      <c r="D160" s="1622"/>
      <c r="E160" s="1688"/>
      <c r="F160" s="1652"/>
      <c r="G160" s="1689"/>
      <c r="H160" s="1690"/>
      <c r="I160" s="1626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2" t="s">
        <v>962</v>
      </c>
      <c r="D161" s="1622"/>
      <c r="E161" s="1688"/>
      <c r="F161" s="1652"/>
      <c r="G161" s="1689">
        <f>N161</f>
        <v>91082.777820213174</v>
      </c>
      <c r="H161" s="1690"/>
      <c r="I161" s="1626"/>
      <c r="J161" s="1046"/>
      <c r="K161" s="1054"/>
      <c r="L161" s="1001"/>
      <c r="M161" s="1189">
        <f>37500+(Data!C38*0.0005)</f>
        <v>91082.777820213174</v>
      </c>
      <c r="N161" s="1190">
        <v>91082.777820213174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2" t="s">
        <v>861</v>
      </c>
      <c r="D162" s="1622"/>
      <c r="E162" s="1678"/>
      <c r="F162" s="1652"/>
      <c r="G162" s="1689">
        <f>N162</f>
        <v>1071655.5564042635</v>
      </c>
      <c r="H162" s="1682"/>
      <c r="I162" s="1626">
        <f t="shared" si="6"/>
        <v>4252.6014143026332</v>
      </c>
      <c r="J162" s="1046"/>
      <c r="K162" s="1136" t="s">
        <v>862</v>
      </c>
      <c r="L162" s="1137"/>
      <c r="M162" s="1189">
        <f>Data!C38*Data!C39</f>
        <v>1071655.5564042635</v>
      </c>
      <c r="N162" s="1191">
        <v>1071655.5564042635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1071655.5564042635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2" t="s">
        <v>863</v>
      </c>
      <c r="D163" s="1622"/>
      <c r="E163" s="1688"/>
      <c r="F163" s="1652"/>
      <c r="G163" s="1689">
        <f>SUM(F164:F165)</f>
        <v>0</v>
      </c>
      <c r="H163" s="1690"/>
      <c r="I163" s="1626">
        <f t="shared" si="6"/>
        <v>0</v>
      </c>
      <c r="J163" s="1046"/>
      <c r="K163" s="1049"/>
      <c r="L163" s="1015"/>
      <c r="M163" s="1403">
        <f>0.015*Data!C38*2</f>
        <v>3214966.6692127902</v>
      </c>
      <c r="N163" s="1190">
        <v>3214966.6692127902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2"/>
      <c r="D164" s="1622" t="s">
        <v>835</v>
      </c>
      <c r="E164" s="1688"/>
      <c r="F164" s="1652">
        <v>0</v>
      </c>
      <c r="G164" s="1689"/>
      <c r="H164" s="1690"/>
      <c r="I164" s="1626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2"/>
      <c r="D165" s="1622" t="s">
        <v>836</v>
      </c>
      <c r="E165" s="1688"/>
      <c r="F165" s="1652">
        <v>0</v>
      </c>
      <c r="G165" s="1689"/>
      <c r="H165" s="1690"/>
      <c r="I165" s="1626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2" t="s">
        <v>204</v>
      </c>
      <c r="D166" s="1622"/>
      <c r="E166" s="1688"/>
      <c r="F166" s="1652"/>
      <c r="G166" s="1689">
        <f>SUM(F167:F169)</f>
        <v>3214966.6692127902</v>
      </c>
      <c r="H166" s="1690"/>
      <c r="I166" s="1626">
        <f t="shared" si="6"/>
        <v>12757.804242907898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3214966.6692127902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2"/>
      <c r="D167" s="1622" t="s">
        <v>1089</v>
      </c>
      <c r="E167" s="1733"/>
      <c r="F167" s="1710">
        <f>N163</f>
        <v>3214966.6692127902</v>
      </c>
      <c r="G167" s="1689"/>
      <c r="H167" s="1690"/>
      <c r="I167" s="1626">
        <f t="shared" si="6"/>
        <v>0</v>
      </c>
      <c r="J167" s="1046"/>
      <c r="K167" s="1054"/>
      <c r="L167" s="1001"/>
      <c r="M167" s="1090">
        <f>Data!C20*24*(Data!C33/12)</f>
        <v>8181810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2"/>
      <c r="D168" s="1622" t="s">
        <v>865</v>
      </c>
      <c r="E168" s="1734"/>
      <c r="F168" s="1710"/>
      <c r="G168" s="1689"/>
      <c r="H168" s="1690"/>
      <c r="I168" s="1626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2"/>
      <c r="D169" s="1622" t="s">
        <v>865</v>
      </c>
      <c r="E169" s="1688"/>
      <c r="F169" s="1652"/>
      <c r="G169" s="1689"/>
      <c r="H169" s="1690"/>
      <c r="I169" s="1626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7" t="s">
        <v>866</v>
      </c>
      <c r="D170" s="1644"/>
      <c r="E170" s="1694"/>
      <c r="F170" s="1695"/>
      <c r="G170" s="1696">
        <f>SUM(G162:G166)</f>
        <v>4286622.2256170539</v>
      </c>
      <c r="H170" s="1697"/>
      <c r="I170" s="1626">
        <f t="shared" si="6"/>
        <v>17010.405657210533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4286622.2256170539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4" t="s">
        <v>118</v>
      </c>
      <c r="D171" s="1622"/>
      <c r="E171" s="1688"/>
      <c r="F171" s="1652"/>
      <c r="G171" s="1689"/>
      <c r="H171" s="1690"/>
      <c r="I171" s="1626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2" t="s">
        <v>867</v>
      </c>
      <c r="D172" s="1622"/>
      <c r="E172" s="1688"/>
      <c r="F172" s="1652"/>
      <c r="G172" s="1689">
        <v>60000</v>
      </c>
      <c r="H172" s="1690"/>
      <c r="I172" s="1626">
        <f t="shared" si="6"/>
        <v>238.0952380952381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2" t="s">
        <v>868</v>
      </c>
      <c r="D173" s="1622"/>
      <c r="E173" s="1688"/>
      <c r="F173" s="1652"/>
      <c r="G173" s="1689">
        <f>SUM(F174:F175)</f>
        <v>50000</v>
      </c>
      <c r="H173" s="1690"/>
      <c r="I173" s="1626">
        <f t="shared" si="6"/>
        <v>198.4126984126984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2"/>
      <c r="D174" s="1622" t="s">
        <v>869</v>
      </c>
      <c r="E174" s="1688"/>
      <c r="F174" s="1722">
        <v>50000</v>
      </c>
      <c r="G174" s="1735"/>
      <c r="H174" s="1720"/>
      <c r="I174" s="1626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2"/>
      <c r="D175" s="1622" t="s">
        <v>204</v>
      </c>
      <c r="E175" s="1688"/>
      <c r="F175" s="1652">
        <v>0</v>
      </c>
      <c r="G175" s="1689"/>
      <c r="H175" s="1690"/>
      <c r="I175" s="1626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7" t="s">
        <v>871</v>
      </c>
      <c r="D176" s="1644"/>
      <c r="E176" s="1694"/>
      <c r="F176" s="1695"/>
      <c r="G176" s="1696">
        <f>SUM(G172:G173)</f>
        <v>110000</v>
      </c>
      <c r="H176" s="1697"/>
      <c r="I176" s="1626">
        <f t="shared" si="6"/>
        <v>436.50793650793651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4" t="s">
        <v>124</v>
      </c>
      <c r="D177" s="1622"/>
      <c r="E177" s="1688"/>
      <c r="F177" s="1652"/>
      <c r="G177" s="1689"/>
      <c r="H177" s="1690"/>
      <c r="I177" s="1626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2" t="s">
        <v>872</v>
      </c>
      <c r="D178" s="1622"/>
      <c r="E178" s="1627">
        <v>3</v>
      </c>
      <c r="F178" s="1652"/>
      <c r="G178" s="1681">
        <f>E178*(-'Cash Flow'!E18/12)-'Cash Flow'!E22</f>
        <v>6517971.5314799119</v>
      </c>
      <c r="H178" s="1682"/>
      <c r="I178" s="1626">
        <f t="shared" si="6"/>
        <v>25864.966394761555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6517971.5314799119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2" t="s">
        <v>874</v>
      </c>
      <c r="D179" s="1712"/>
      <c r="E179" s="1713"/>
      <c r="F179" s="1736" t="s">
        <v>875</v>
      </c>
      <c r="G179" s="1725" t="b">
        <v>0</v>
      </c>
      <c r="H179" s="1726"/>
      <c r="I179" s="1626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2" t="s">
        <v>253</v>
      </c>
      <c r="D180" s="1712"/>
      <c r="E180" s="1688"/>
      <c r="F180" s="1652"/>
      <c r="G180" s="1725">
        <v>0</v>
      </c>
      <c r="H180" s="1690"/>
      <c r="I180" s="1626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7" t="s">
        <v>878</v>
      </c>
      <c r="D181" s="1644"/>
      <c r="E181" s="1694"/>
      <c r="F181" s="1695"/>
      <c r="G181" s="1696">
        <f>SUM(G178:G180)</f>
        <v>6517971.5314799119</v>
      </c>
      <c r="H181" s="1697"/>
      <c r="I181" s="1626">
        <f t="shared" si="6"/>
        <v>25864.966394761555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6517971.5314799119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4" t="s">
        <v>409</v>
      </c>
      <c r="D182" s="1622"/>
      <c r="E182" s="1688"/>
      <c r="F182" s="1652"/>
      <c r="G182" s="1689"/>
      <c r="H182" s="1690"/>
      <c r="I182" s="1626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2" t="s">
        <v>879</v>
      </c>
      <c r="D183" s="1622"/>
      <c r="E183" s="1688"/>
      <c r="F183" s="1652"/>
      <c r="G183" s="1689">
        <f>SUM(F184:F185)</f>
        <v>13000</v>
      </c>
      <c r="H183" s="1690"/>
      <c r="I183" s="1626">
        <f t="shared" si="6"/>
        <v>51.587301587301589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0"/>
      <c r="D184" s="1622" t="s">
        <v>15</v>
      </c>
      <c r="E184" s="1688"/>
      <c r="F184" s="1652">
        <v>8000</v>
      </c>
      <c r="G184" s="1689"/>
      <c r="H184" s="1690"/>
      <c r="I184" s="1626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0"/>
      <c r="D185" s="1622" t="s">
        <v>880</v>
      </c>
      <c r="E185" s="1688"/>
      <c r="F185" s="1652">
        <v>5000</v>
      </c>
      <c r="G185" s="1689"/>
      <c r="H185" s="1690"/>
      <c r="I185" s="1626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2" t="s">
        <v>137</v>
      </c>
      <c r="D186" s="1622"/>
      <c r="E186" s="1688"/>
      <c r="F186" s="1652"/>
      <c r="G186" s="1689">
        <v>12000</v>
      </c>
      <c r="H186" s="1690"/>
      <c r="I186" s="1626">
        <f t="shared" si="6"/>
        <v>47.61904761904762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2" t="s">
        <v>881</v>
      </c>
      <c r="D187" s="1622"/>
      <c r="E187" s="1630"/>
      <c r="F187" s="1652"/>
      <c r="G187" s="1689">
        <v>0</v>
      </c>
      <c r="H187" s="1690"/>
      <c r="I187" s="1626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2" t="s">
        <v>882</v>
      </c>
      <c r="D188" s="1622"/>
      <c r="E188" s="1630"/>
      <c r="F188" s="1652"/>
      <c r="G188" s="1689">
        <v>0</v>
      </c>
      <c r="H188" s="1690"/>
      <c r="I188" s="1626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7" t="s">
        <v>883</v>
      </c>
      <c r="D189" s="1644"/>
      <c r="E189" s="1694"/>
      <c r="F189" s="1695"/>
      <c r="G189" s="1696">
        <f>SUM(G183:G188)</f>
        <v>25000</v>
      </c>
      <c r="H189" s="1697"/>
      <c r="I189" s="1626">
        <f t="shared" si="6"/>
        <v>99.206349206349202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4" t="s">
        <v>410</v>
      </c>
      <c r="D190" s="1622"/>
      <c r="E190" s="1630"/>
      <c r="F190" s="1652"/>
      <c r="G190" s="1689"/>
      <c r="H190" s="1690"/>
      <c r="I190" s="1626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7" t="s">
        <v>884</v>
      </c>
      <c r="D191" s="1622"/>
      <c r="E191" s="1627"/>
      <c r="F191" s="1652"/>
      <c r="G191" s="1681">
        <f>N191</f>
        <v>0</v>
      </c>
      <c r="H191" s="1682"/>
      <c r="I191" s="1626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2" t="s">
        <v>411</v>
      </c>
      <c r="D192" s="1737"/>
      <c r="E192" s="1630"/>
      <c r="F192" s="1652"/>
      <c r="G192" s="1689">
        <f>SUM(F193:F199)</f>
        <v>14500</v>
      </c>
      <c r="H192" s="1690"/>
      <c r="I192" s="1626">
        <f t="shared" si="6"/>
        <v>57.539682539682538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2"/>
      <c r="D193" s="1737" t="s">
        <v>885</v>
      </c>
      <c r="E193" s="1630"/>
      <c r="F193" s="1652">
        <v>2500</v>
      </c>
      <c r="G193" s="1689"/>
      <c r="H193" s="1690"/>
      <c r="I193" s="1626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2"/>
      <c r="D194" s="1737" t="s">
        <v>886</v>
      </c>
      <c r="E194" s="1630"/>
      <c r="F194" s="1652">
        <v>0</v>
      </c>
      <c r="G194" s="1689"/>
      <c r="H194" s="1690"/>
      <c r="I194" s="1626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2"/>
      <c r="D195" s="1737" t="s">
        <v>887</v>
      </c>
      <c r="E195" s="1630"/>
      <c r="F195" s="1652">
        <v>12000</v>
      </c>
      <c r="G195" s="1689"/>
      <c r="H195" s="1690"/>
      <c r="I195" s="1626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2"/>
      <c r="D196" s="1737" t="s">
        <v>888</v>
      </c>
      <c r="E196" s="1630"/>
      <c r="F196" s="1652">
        <v>0</v>
      </c>
      <c r="G196" s="1689"/>
      <c r="H196" s="1690"/>
      <c r="I196" s="1626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2"/>
      <c r="D197" s="1737" t="s">
        <v>889</v>
      </c>
      <c r="E197" s="1630"/>
      <c r="F197" s="1652">
        <v>0</v>
      </c>
      <c r="G197" s="1689"/>
      <c r="H197" s="1690"/>
      <c r="I197" s="1626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2"/>
      <c r="D198" s="1737" t="s">
        <v>890</v>
      </c>
      <c r="E198" s="1630"/>
      <c r="F198" s="1652">
        <v>0</v>
      </c>
      <c r="G198" s="1689"/>
      <c r="H198" s="1690"/>
      <c r="I198" s="1626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2"/>
      <c r="D199" s="1737" t="s">
        <v>891</v>
      </c>
      <c r="E199" s="1630"/>
      <c r="F199" s="1652">
        <v>0</v>
      </c>
      <c r="G199" s="1689"/>
      <c r="H199" s="1690"/>
      <c r="I199" s="1626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2" t="s">
        <v>892</v>
      </c>
      <c r="D200" s="1622"/>
      <c r="E200" s="1630"/>
      <c r="F200" s="1652"/>
      <c r="G200" s="1681">
        <f>SUM(F201:F205)</f>
        <v>93250</v>
      </c>
      <c r="H200" s="1682"/>
      <c r="I200" s="1626">
        <f t="shared" si="6"/>
        <v>370.03968253968253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0"/>
      <c r="D201" s="1622" t="s">
        <v>893</v>
      </c>
      <c r="E201" s="1701"/>
      <c r="F201" s="1652">
        <v>0</v>
      </c>
      <c r="G201" s="1681"/>
      <c r="H201" s="1682"/>
      <c r="I201" s="1626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0"/>
      <c r="D202" s="1622" t="s">
        <v>895</v>
      </c>
      <c r="E202" s="1630"/>
      <c r="F202" s="1652">
        <v>87750</v>
      </c>
      <c r="G202" s="1681"/>
      <c r="H202" s="1682"/>
      <c r="I202" s="1626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0"/>
      <c r="D203" s="1622" t="s">
        <v>896</v>
      </c>
      <c r="E203" s="1630"/>
      <c r="F203" s="1652">
        <v>2500</v>
      </c>
      <c r="G203" s="1681"/>
      <c r="H203" s="1682"/>
      <c r="I203" s="1626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0"/>
      <c r="D204" s="1622" t="s">
        <v>897</v>
      </c>
      <c r="E204" s="1630"/>
      <c r="F204" s="1652">
        <v>1500</v>
      </c>
      <c r="G204" s="1681"/>
      <c r="H204" s="1682"/>
      <c r="I204" s="1626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0"/>
      <c r="D205" s="1622" t="s">
        <v>898</v>
      </c>
      <c r="E205" s="1630"/>
      <c r="F205" s="1652">
        <v>1500</v>
      </c>
      <c r="G205" s="1681"/>
      <c r="H205" s="1682"/>
      <c r="I205" s="1626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2" t="s">
        <v>899</v>
      </c>
      <c r="D206" s="1622"/>
      <c r="E206" s="1630"/>
      <c r="F206" s="1652"/>
      <c r="G206" s="1689">
        <f>SUM(F207:F209)</f>
        <v>0</v>
      </c>
      <c r="H206" s="1690"/>
      <c r="I206" s="1626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2"/>
      <c r="D207" s="1622" t="s">
        <v>487</v>
      </c>
      <c r="E207" s="1630"/>
      <c r="F207" s="1652">
        <v>0</v>
      </c>
      <c r="G207" s="1689"/>
      <c r="H207" s="1690"/>
      <c r="I207" s="1626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2"/>
      <c r="D208" s="1622" t="s">
        <v>900</v>
      </c>
      <c r="E208" s="1630"/>
      <c r="F208" s="1652">
        <v>0</v>
      </c>
      <c r="G208" s="1689"/>
      <c r="H208" s="1690"/>
      <c r="I208" s="1626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2"/>
      <c r="D209" s="1622" t="s">
        <v>901</v>
      </c>
      <c r="E209" s="1630"/>
      <c r="F209" s="1652">
        <v>0</v>
      </c>
      <c r="G209" s="1689"/>
      <c r="H209" s="1690"/>
      <c r="I209" s="1626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2" t="s">
        <v>902</v>
      </c>
      <c r="D210" s="1622"/>
      <c r="E210" s="1630"/>
      <c r="F210" s="1652"/>
      <c r="G210" s="1681">
        <f>SUM(F211:F216)</f>
        <v>50000</v>
      </c>
      <c r="H210" s="1682"/>
      <c r="I210" s="1626">
        <f t="shared" si="6"/>
        <v>198.4126984126984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2"/>
      <c r="D211" s="1622" t="s">
        <v>903</v>
      </c>
      <c r="E211" s="1738">
        <v>2500</v>
      </c>
      <c r="F211" s="1652">
        <v>0</v>
      </c>
      <c r="G211" s="1681"/>
      <c r="H211" s="1682"/>
      <c r="I211" s="1626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2"/>
      <c r="D212" s="1622" t="s">
        <v>904</v>
      </c>
      <c r="E212" s="1630"/>
      <c r="F212" s="1652">
        <v>5000</v>
      </c>
      <c r="G212" s="1681"/>
      <c r="H212" s="1682"/>
      <c r="I212" s="1626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2"/>
      <c r="D213" s="1622" t="s">
        <v>905</v>
      </c>
      <c r="E213" s="1630"/>
      <c r="F213" s="1652">
        <v>15000</v>
      </c>
      <c r="G213" s="1681"/>
      <c r="H213" s="1682"/>
      <c r="I213" s="1626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2"/>
      <c r="D214" s="1622" t="s">
        <v>906</v>
      </c>
      <c r="E214" s="1630"/>
      <c r="F214" s="1652">
        <v>5000</v>
      </c>
      <c r="G214" s="1681"/>
      <c r="H214" s="1682"/>
      <c r="I214" s="1626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2"/>
      <c r="D215" s="1622" t="s">
        <v>907</v>
      </c>
      <c r="E215" s="1630"/>
      <c r="F215" s="1652">
        <v>20000</v>
      </c>
      <c r="G215" s="1681"/>
      <c r="H215" s="1682"/>
      <c r="I215" s="1626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2"/>
      <c r="D216" s="1622" t="s">
        <v>908</v>
      </c>
      <c r="E216" s="1630"/>
      <c r="F216" s="1652">
        <v>5000</v>
      </c>
      <c r="G216" s="1681"/>
      <c r="H216" s="1682"/>
      <c r="I216" s="1626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2" t="s">
        <v>909</v>
      </c>
      <c r="D217" s="1622"/>
      <c r="E217" s="1630"/>
      <c r="F217" s="1652"/>
      <c r="G217" s="1681">
        <f>SUM(F218:F220)</f>
        <v>0</v>
      </c>
      <c r="H217" s="1682"/>
      <c r="I217" s="1626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2"/>
      <c r="D218" s="1622" t="s">
        <v>487</v>
      </c>
      <c r="E218" s="1630"/>
      <c r="F218" s="1652">
        <v>0</v>
      </c>
      <c r="G218" s="1681"/>
      <c r="H218" s="1682"/>
      <c r="I218" s="1626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2"/>
      <c r="D219" s="1622" t="s">
        <v>106</v>
      </c>
      <c r="E219" s="1630"/>
      <c r="F219" s="1652">
        <v>0</v>
      </c>
      <c r="G219" s="1681"/>
      <c r="H219" s="1682"/>
      <c r="I219" s="1626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2"/>
      <c r="D220" s="1622" t="s">
        <v>911</v>
      </c>
      <c r="E220" s="1630"/>
      <c r="F220" s="1652">
        <v>0</v>
      </c>
      <c r="G220" s="1681"/>
      <c r="H220" s="1682"/>
      <c r="I220" s="1626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2" t="s">
        <v>912</v>
      </c>
      <c r="D221" s="1622"/>
      <c r="E221" s="1630"/>
      <c r="F221" s="1652"/>
      <c r="G221" s="1681">
        <f>SUM(F222:F230)</f>
        <v>281000</v>
      </c>
      <c r="H221" s="1682"/>
      <c r="I221" s="1626">
        <f t="shared" si="6"/>
        <v>1115.0793650793651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0"/>
      <c r="D222" s="1622" t="s">
        <v>224</v>
      </c>
      <c r="E222" s="1701">
        <v>0</v>
      </c>
      <c r="F222" s="1652">
        <v>0</v>
      </c>
      <c r="G222" s="1739"/>
      <c r="H222" s="1740"/>
      <c r="I222" s="1626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0"/>
      <c r="D223" s="1622" t="s">
        <v>415</v>
      </c>
      <c r="E223" s="1630"/>
      <c r="F223" s="1652">
        <v>25000</v>
      </c>
      <c r="G223" s="1681"/>
      <c r="H223" s="1682"/>
      <c r="I223" s="1626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0"/>
      <c r="D224" s="1622" t="s">
        <v>913</v>
      </c>
      <c r="E224" s="1738">
        <v>6500</v>
      </c>
      <c r="F224" s="1652">
        <f>E224*24</f>
        <v>156000</v>
      </c>
      <c r="G224" s="1681"/>
      <c r="H224" s="1682"/>
      <c r="I224" s="1626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0"/>
      <c r="D225" s="1622" t="s">
        <v>914</v>
      </c>
      <c r="E225" s="1630"/>
      <c r="F225" s="1652">
        <v>50000</v>
      </c>
      <c r="G225" s="1681"/>
      <c r="H225" s="1682"/>
      <c r="I225" s="1626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0"/>
      <c r="D226" s="1622" t="s">
        <v>915</v>
      </c>
      <c r="E226" s="1630"/>
      <c r="F226" s="1652">
        <v>0</v>
      </c>
      <c r="G226" s="1681"/>
      <c r="H226" s="1682"/>
      <c r="I226" s="1626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0"/>
      <c r="D227" s="1622" t="s">
        <v>916</v>
      </c>
      <c r="E227" s="1630"/>
      <c r="F227" s="1652">
        <v>50000</v>
      </c>
      <c r="G227" s="1681"/>
      <c r="H227" s="1682"/>
      <c r="I227" s="1626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0"/>
      <c r="D228" s="1622" t="s">
        <v>917</v>
      </c>
      <c r="E228" s="1630"/>
      <c r="F228" s="1652">
        <v>0</v>
      </c>
      <c r="G228" s="1681"/>
      <c r="H228" s="1682"/>
      <c r="I228" s="1626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0"/>
      <c r="D229" s="1622" t="s">
        <v>918</v>
      </c>
      <c r="E229" s="1630"/>
      <c r="F229" s="1652">
        <v>0</v>
      </c>
      <c r="G229" s="1681"/>
      <c r="H229" s="1682"/>
      <c r="I229" s="1626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0"/>
      <c r="D230" s="1622" t="s">
        <v>920</v>
      </c>
      <c r="E230" s="1630"/>
      <c r="F230" s="1652">
        <v>0</v>
      </c>
      <c r="G230" s="1681"/>
      <c r="H230" s="1682"/>
      <c r="I230" s="1626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2" t="s">
        <v>922</v>
      </c>
      <c r="D231" s="1622"/>
      <c r="E231" s="1630"/>
      <c r="F231" s="1652"/>
      <c r="G231" s="1681">
        <v>0</v>
      </c>
      <c r="H231" s="1682"/>
      <c r="I231" s="1626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2" t="s">
        <v>924</v>
      </c>
      <c r="D232" s="1622"/>
      <c r="E232" s="1630"/>
      <c r="F232" s="1652"/>
      <c r="G232" s="1681"/>
      <c r="H232" s="1682"/>
      <c r="I232" s="1626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2" t="s">
        <v>925</v>
      </c>
      <c r="D233" s="1622"/>
      <c r="E233" s="1741">
        <v>0.05</v>
      </c>
      <c r="F233" s="1679"/>
      <c r="G233" s="1689">
        <f>SUM(G190:G231,G189,G181,G176,G170,G148,G114,G97,G80)*E233</f>
        <v>1326331.6881229626</v>
      </c>
      <c r="H233" s="1690"/>
      <c r="I233" s="1626">
        <f t="shared" si="8"/>
        <v>5263.2209846149308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1326331.6881229626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7" t="s">
        <v>926</v>
      </c>
      <c r="D234" s="1644"/>
      <c r="E234" s="1742"/>
      <c r="F234" s="1695"/>
      <c r="G234" s="1743">
        <f>SUM(G191:G233)</f>
        <v>1765081.6881229626</v>
      </c>
      <c r="H234" s="1744"/>
      <c r="I234" s="1626">
        <f t="shared" si="8"/>
        <v>7004.2924131863592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1765081.6881229626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4" t="s">
        <v>150</v>
      </c>
      <c r="D235" s="1622"/>
      <c r="E235" s="1627"/>
      <c r="F235" s="1652"/>
      <c r="G235" s="1681"/>
      <c r="H235" s="1682"/>
      <c r="I235" s="1626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2" t="s">
        <v>151</v>
      </c>
      <c r="D236" s="1622"/>
      <c r="E236" s="1645"/>
      <c r="F236" s="1652"/>
      <c r="G236" s="1689">
        <v>2500000</v>
      </c>
      <c r="H236" s="1690"/>
      <c r="I236" s="1626">
        <f t="shared" si="8"/>
        <v>9920.6349206349205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2" t="s">
        <v>145</v>
      </c>
      <c r="D237" s="1622"/>
      <c r="E237" s="1627"/>
      <c r="F237" s="1652"/>
      <c r="G237" s="1681">
        <v>0</v>
      </c>
      <c r="H237" s="1682"/>
      <c r="I237" s="1626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2" t="s">
        <v>143</v>
      </c>
      <c r="D238" s="1622"/>
      <c r="E238" s="1627"/>
      <c r="F238" s="1652"/>
      <c r="G238" s="1681">
        <f>SUM(F239:F241)</f>
        <v>20750</v>
      </c>
      <c r="H238" s="1682"/>
      <c r="I238" s="1626">
        <f t="shared" si="8"/>
        <v>82.341269841269835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2"/>
      <c r="D239" s="1622" t="s">
        <v>928</v>
      </c>
      <c r="E239" s="1632">
        <v>1300</v>
      </c>
      <c r="F239" s="1652">
        <v>3250</v>
      </c>
      <c r="G239" s="1681"/>
      <c r="H239" s="1682"/>
      <c r="I239" s="1626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2"/>
      <c r="D240" s="1622" t="s">
        <v>929</v>
      </c>
      <c r="E240" s="1627"/>
      <c r="F240" s="1722">
        <v>15000</v>
      </c>
      <c r="G240" s="1681"/>
      <c r="H240" s="1682"/>
      <c r="I240" s="1626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2"/>
      <c r="D241" s="1622" t="s">
        <v>930</v>
      </c>
      <c r="E241" s="1627"/>
      <c r="F241" s="1652">
        <v>2500</v>
      </c>
      <c r="G241" s="1681"/>
      <c r="H241" s="1682"/>
      <c r="I241" s="1626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7" t="s">
        <v>931</v>
      </c>
      <c r="D242" s="1644"/>
      <c r="E242" s="1745"/>
      <c r="F242" s="1695"/>
      <c r="G242" s="1696">
        <f>SUM(G236:G241)</f>
        <v>2520750</v>
      </c>
      <c r="H242" s="1697"/>
      <c r="I242" s="1626">
        <f>G242/$F$9</f>
        <v>10002.976190476191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4" t="s">
        <v>932</v>
      </c>
      <c r="D243" s="1622"/>
      <c r="E243" s="1746"/>
      <c r="F243" s="1679"/>
      <c r="G243" s="1689"/>
      <c r="H243" s="1690"/>
      <c r="I243" s="1626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2" t="s">
        <v>933</v>
      </c>
      <c r="D244" s="1630"/>
      <c r="E244" s="1747"/>
      <c r="F244" s="1679"/>
      <c r="G244" s="1689">
        <v>0</v>
      </c>
      <c r="H244" s="1690"/>
      <c r="I244" s="1626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2" t="s">
        <v>934</v>
      </c>
      <c r="D245" s="1630"/>
      <c r="E245" s="1746"/>
      <c r="F245" s="1679"/>
      <c r="G245" s="1689">
        <v>0</v>
      </c>
      <c r="H245" s="1690"/>
      <c r="I245" s="1626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2" t="s">
        <v>935</v>
      </c>
      <c r="D246" s="1630"/>
      <c r="E246" s="1746"/>
      <c r="F246" s="1679"/>
      <c r="G246" s="1689">
        <v>0</v>
      </c>
      <c r="H246" s="1690"/>
      <c r="I246" s="1626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2" t="s">
        <v>937</v>
      </c>
      <c r="D247" s="1630"/>
      <c r="E247" s="1748">
        <v>800</v>
      </c>
      <c r="F247" s="1679"/>
      <c r="G247" s="1689">
        <v>666.66666666666663</v>
      </c>
      <c r="H247" s="1690"/>
      <c r="I247" s="1626">
        <f t="shared" si="8"/>
        <v>2.6455026455026451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2" t="s">
        <v>938</v>
      </c>
      <c r="D248" s="1630"/>
      <c r="E248" s="1746"/>
      <c r="F248" s="1679"/>
      <c r="G248" s="1689">
        <v>2000</v>
      </c>
      <c r="H248" s="1690"/>
      <c r="I248" s="1626">
        <f t="shared" si="8"/>
        <v>7.9365079365079367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7" t="s">
        <v>939</v>
      </c>
      <c r="D249" s="1644"/>
      <c r="E249" s="1745"/>
      <c r="F249" s="1695"/>
      <c r="G249" s="1696">
        <f>SUM(G244:G248)</f>
        <v>2666.6666666666665</v>
      </c>
      <c r="H249" s="1697"/>
      <c r="I249" s="1626">
        <f t="shared" si="8"/>
        <v>10.582010582010581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I250*F9</f>
        <v>139860000</v>
      </c>
      <c r="H250" s="1161"/>
      <c r="I250" s="1749">
        <v>555000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569.06401054636001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252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245772</v>
      </c>
      <c r="D5" t="s">
        <v>427</v>
      </c>
      <c r="G5" s="510"/>
    </row>
    <row r="6" spans="1:15">
      <c r="B6" s="1196" t="s">
        <v>12</v>
      </c>
      <c r="C6" s="700">
        <f>'Construction Calculation'!C14</f>
        <v>245772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40962</v>
      </c>
      <c r="D8" t="s">
        <v>427</v>
      </c>
      <c r="G8" s="510"/>
    </row>
    <row r="9" spans="1:15">
      <c r="B9" s="1196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1101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90909000</v>
      </c>
      <c r="D20" s="1221">
        <f>MIN(D22,GapCalc!D24)</f>
        <v>90909000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90909000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-6513097.5675795767</v>
      </c>
      <c r="E24" s="1230"/>
      <c r="G24" s="1223"/>
      <c r="H24" s="1231"/>
      <c r="K24" s="1270"/>
    </row>
    <row r="25" spans="1:13">
      <c r="A25" s="1217"/>
      <c r="B25" t="s">
        <v>1102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6139971.5314799119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118689048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93820979.264422208</v>
      </c>
      <c r="D30" s="1222">
        <f>-PV($C$24/12,$C$29*12,C27/12)</f>
        <v>88446109.667783454</v>
      </c>
      <c r="E30" s="1230"/>
      <c r="F30" t="s">
        <v>437</v>
      </c>
      <c r="G30" s="1227"/>
      <c r="H30" s="1222">
        <f>PV(G23,G29,-'Cash Flow'!E41*H28,)</f>
        <v>9898479.4966869112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1102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6139971.5314799119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107165555.64042634</v>
      </c>
      <c r="D38" s="516" t="s">
        <v>1038</v>
      </c>
      <c r="E38" s="1237">
        <f>C37*GapCalc!D24</f>
        <v>111888000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100982658.14452328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10405740</v>
      </c>
      <c r="F12" s="89">
        <f>E12*(1+$D$12)</f>
        <v>10665883.5</v>
      </c>
      <c r="G12" s="89">
        <f t="shared" ref="G12:AH12" si="0">F12*(1+$D$12)</f>
        <v>10932530.587499999</v>
      </c>
      <c r="H12" s="89">
        <f t="shared" si="0"/>
        <v>11205843.852187498</v>
      </c>
      <c r="I12" s="89">
        <f t="shared" si="0"/>
        <v>11485989.948492184</v>
      </c>
      <c r="J12" s="89">
        <f t="shared" si="0"/>
        <v>11773139.697204487</v>
      </c>
      <c r="K12" s="89">
        <f t="shared" si="0"/>
        <v>12067468.189634599</v>
      </c>
      <c r="L12" s="89">
        <f t="shared" si="0"/>
        <v>12369154.894375462</v>
      </c>
      <c r="M12" s="89">
        <f t="shared" si="0"/>
        <v>12678383.766734848</v>
      </c>
      <c r="N12" s="89">
        <f t="shared" si="0"/>
        <v>12995343.360903218</v>
      </c>
      <c r="O12" s="89">
        <f t="shared" si="0"/>
        <v>13320226.944925798</v>
      </c>
      <c r="P12" s="89">
        <f t="shared" si="0"/>
        <v>13653232.618548943</v>
      </c>
      <c r="Q12" s="89">
        <f t="shared" si="0"/>
        <v>13994563.434012664</v>
      </c>
      <c r="R12" s="89">
        <f t="shared" si="0"/>
        <v>14344427.51986298</v>
      </c>
      <c r="S12" s="90">
        <f t="shared" si="0"/>
        <v>14703038.207859553</v>
      </c>
      <c r="T12" s="89">
        <f t="shared" si="0"/>
        <v>15070614.16305604</v>
      </c>
      <c r="U12" s="89">
        <f t="shared" si="0"/>
        <v>15447379.517132441</v>
      </c>
      <c r="V12" s="89">
        <f t="shared" si="0"/>
        <v>15833564.005060751</v>
      </c>
      <c r="W12" s="89">
        <f t="shared" si="0"/>
        <v>16229403.105187269</v>
      </c>
      <c r="X12" s="89">
        <f t="shared" si="0"/>
        <v>16635138.182816949</v>
      </c>
      <c r="Y12" s="89">
        <f t="shared" si="0"/>
        <v>17051016.637387373</v>
      </c>
      <c r="Z12" s="89">
        <f t="shared" si="0"/>
        <v>17477292.053322054</v>
      </c>
      <c r="AA12" s="89">
        <f t="shared" si="0"/>
        <v>17914224.354655106</v>
      </c>
      <c r="AB12" s="89">
        <f t="shared" si="0"/>
        <v>18362079.963521481</v>
      </c>
      <c r="AC12" s="89">
        <f t="shared" si="0"/>
        <v>18821131.962609515</v>
      </c>
      <c r="AD12" s="89">
        <f t="shared" si="0"/>
        <v>19291660.261674751</v>
      </c>
      <c r="AE12" s="89">
        <f t="shared" si="0"/>
        <v>19773951.768216617</v>
      </c>
      <c r="AF12" s="89">
        <f t="shared" si="0"/>
        <v>20268300.56242203</v>
      </c>
      <c r="AG12" s="89">
        <f t="shared" si="0"/>
        <v>20775008.076482579</v>
      </c>
      <c r="AH12" s="89">
        <f t="shared" si="0"/>
        <v>21294383.278394643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-520566</v>
      </c>
      <c r="F14" s="100">
        <f t="shared" ref="F14:AH14" si="2">-((F12+F13)*$C$14)</f>
        <v>-533580.15</v>
      </c>
      <c r="G14" s="100">
        <f t="shared" si="2"/>
        <v>-546919.65374999994</v>
      </c>
      <c r="H14" s="100">
        <f t="shared" si="2"/>
        <v>-560592.64509374986</v>
      </c>
      <c r="I14" s="100">
        <f t="shared" si="2"/>
        <v>-574607.46122109366</v>
      </c>
      <c r="J14" s="100">
        <f t="shared" si="2"/>
        <v>-588972.64775162085</v>
      </c>
      <c r="K14" s="100">
        <f t="shared" si="2"/>
        <v>-603696.96394541138</v>
      </c>
      <c r="L14" s="100">
        <f t="shared" si="2"/>
        <v>-618789.38804404659</v>
      </c>
      <c r="M14" s="100">
        <f t="shared" si="2"/>
        <v>-634259.12274514767</v>
      </c>
      <c r="N14" s="100">
        <f t="shared" si="2"/>
        <v>-650115.60081377637</v>
      </c>
      <c r="O14" s="100">
        <f t="shared" si="2"/>
        <v>-666368.49083412066</v>
      </c>
      <c r="P14" s="100">
        <f t="shared" si="2"/>
        <v>-683027.70310497377</v>
      </c>
      <c r="Q14" s="100">
        <f t="shared" si="2"/>
        <v>-700103.395682598</v>
      </c>
      <c r="R14" s="100">
        <f t="shared" si="2"/>
        <v>-717605.9805746628</v>
      </c>
      <c r="S14" s="101">
        <f t="shared" si="2"/>
        <v>-735546.13008902944</v>
      </c>
      <c r="T14" s="100">
        <f t="shared" si="2"/>
        <v>-753934.78334125504</v>
      </c>
      <c r="U14" s="100">
        <f t="shared" si="2"/>
        <v>-772783.15292478632</v>
      </c>
      <c r="V14" s="100">
        <f t="shared" si="2"/>
        <v>-792102.73174790596</v>
      </c>
      <c r="W14" s="100">
        <f t="shared" si="2"/>
        <v>-811905.30004160362</v>
      </c>
      <c r="X14" s="100">
        <f t="shared" si="2"/>
        <v>-832202.93254264351</v>
      </c>
      <c r="Y14" s="100">
        <f t="shared" si="2"/>
        <v>-853008.00585620967</v>
      </c>
      <c r="Z14" s="100">
        <f t="shared" si="2"/>
        <v>-874333.20600261493</v>
      </c>
      <c r="AA14" s="100">
        <f t="shared" si="2"/>
        <v>-896191.53615268029</v>
      </c>
      <c r="AB14" s="100">
        <f t="shared" si="2"/>
        <v>-918596.32455649693</v>
      </c>
      <c r="AC14" s="100">
        <f t="shared" si="2"/>
        <v>-941561.23267040926</v>
      </c>
      <c r="AD14" s="100">
        <f t="shared" si="2"/>
        <v>-965100.2634871694</v>
      </c>
      <c r="AE14" s="100">
        <f t="shared" si="2"/>
        <v>-989227.77007434855</v>
      </c>
      <c r="AF14" s="100">
        <f t="shared" si="2"/>
        <v>-1013958.4643262072</v>
      </c>
      <c r="AG14" s="100">
        <f t="shared" si="2"/>
        <v>-1039307.4259343622</v>
      </c>
      <c r="AH14" s="100">
        <f t="shared" si="2"/>
        <v>-1065290.1115827214</v>
      </c>
    </row>
    <row r="15" spans="1:34">
      <c r="A15" s="76"/>
      <c r="B15" s="102" t="s">
        <v>311</v>
      </c>
      <c r="C15" s="76"/>
      <c r="D15" s="76"/>
      <c r="E15" s="95">
        <f>SUM(E12:E14)</f>
        <v>9890754</v>
      </c>
      <c r="F15" s="95">
        <f t="shared" ref="F15:AH15" si="3">SUM(F12:F14)</f>
        <v>10138022.85</v>
      </c>
      <c r="G15" s="103">
        <f t="shared" si="3"/>
        <v>10391473.421249999</v>
      </c>
      <c r="H15" s="104">
        <f t="shared" si="3"/>
        <v>10651260.256781247</v>
      </c>
      <c r="I15" s="104">
        <f t="shared" si="3"/>
        <v>10917541.763200779</v>
      </c>
      <c r="J15" s="95">
        <f t="shared" si="3"/>
        <v>11190480.307280798</v>
      </c>
      <c r="K15" s="103">
        <f t="shared" si="3"/>
        <v>11470242.314962815</v>
      </c>
      <c r="L15" s="95">
        <f t="shared" si="3"/>
        <v>11756998.372836884</v>
      </c>
      <c r="M15" s="95">
        <f t="shared" si="3"/>
        <v>12050923.332157806</v>
      </c>
      <c r="N15" s="95">
        <f t="shared" si="3"/>
        <v>12352196.415461751</v>
      </c>
      <c r="O15" s="95">
        <f t="shared" si="3"/>
        <v>12661001.325848293</v>
      </c>
      <c r="P15" s="95">
        <f t="shared" si="3"/>
        <v>12977526.358994499</v>
      </c>
      <c r="Q15" s="95">
        <f t="shared" si="3"/>
        <v>13301964.517969361</v>
      </c>
      <c r="R15" s="95">
        <f t="shared" si="3"/>
        <v>13634513.630918592</v>
      </c>
      <c r="S15" s="96">
        <f t="shared" si="3"/>
        <v>13975376.471691558</v>
      </c>
      <c r="T15" s="95">
        <f t="shared" si="3"/>
        <v>14324760.883483844</v>
      </c>
      <c r="U15" s="95">
        <f t="shared" si="3"/>
        <v>14682879.905570939</v>
      </c>
      <c r="V15" s="95">
        <f t="shared" si="3"/>
        <v>15049951.903210212</v>
      </c>
      <c r="W15" s="95">
        <f t="shared" si="3"/>
        <v>15426200.700790469</v>
      </c>
      <c r="X15" s="95">
        <f t="shared" si="3"/>
        <v>15811855.718310226</v>
      </c>
      <c r="Y15" s="95">
        <f t="shared" si="3"/>
        <v>16207152.111267982</v>
      </c>
      <c r="Z15" s="95">
        <f t="shared" si="3"/>
        <v>16612330.914049681</v>
      </c>
      <c r="AA15" s="95">
        <f t="shared" si="3"/>
        <v>17027639.186900925</v>
      </c>
      <c r="AB15" s="95">
        <f t="shared" si="3"/>
        <v>17453330.166573443</v>
      </c>
      <c r="AC15" s="95">
        <f t="shared" si="3"/>
        <v>17889663.420737777</v>
      </c>
      <c r="AD15" s="95">
        <f t="shared" si="3"/>
        <v>18336905.006256219</v>
      </c>
      <c r="AE15" s="95">
        <f t="shared" si="3"/>
        <v>18795327.631412622</v>
      </c>
      <c r="AF15" s="95">
        <f t="shared" si="3"/>
        <v>19265210.822197936</v>
      </c>
      <c r="AG15" s="95">
        <f t="shared" si="3"/>
        <v>19746841.092752881</v>
      </c>
      <c r="AH15" s="95">
        <f t="shared" si="3"/>
        <v>20240512.120071702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557" t="s">
        <v>1100</v>
      </c>
      <c r="D19" s="88">
        <v>1.2500000000000001E-2</v>
      </c>
      <c r="E19" s="95">
        <f>IF(C19="Abatement", 0, -'Tax Calc'!B10)</f>
        <v>-935188.16222410637</v>
      </c>
      <c r="F19" s="89">
        <f>E19*(1+$D$19)</f>
        <v>-946878.01425190771</v>
      </c>
      <c r="G19" s="89">
        <f t="shared" ref="G19:AH19" si="6">F19*(1+$D$19)</f>
        <v>-958713.98943005654</v>
      </c>
      <c r="H19" s="89">
        <f t="shared" si="6"/>
        <v>-970697.91429793218</v>
      </c>
      <c r="I19" s="89">
        <f t="shared" si="6"/>
        <v>-982831.63822665624</v>
      </c>
      <c r="J19" s="89">
        <f t="shared" si="6"/>
        <v>-995117.03370448935</v>
      </c>
      <c r="K19" s="89">
        <f t="shared" si="6"/>
        <v>-1007555.9966257954</v>
      </c>
      <c r="L19" s="89">
        <f t="shared" si="6"/>
        <v>-1020150.4465836178</v>
      </c>
      <c r="M19" s="89">
        <f t="shared" si="6"/>
        <v>-1032902.327165913</v>
      </c>
      <c r="N19" s="89">
        <f t="shared" si="6"/>
        <v>-1045813.6062554868</v>
      </c>
      <c r="O19" s="89">
        <f t="shared" si="6"/>
        <v>-1058886.2763336804</v>
      </c>
      <c r="P19" s="89">
        <f t="shared" si="6"/>
        <v>-1072122.3547878512</v>
      </c>
      <c r="Q19" s="89">
        <f t="shared" si="6"/>
        <v>-1085523.8842226993</v>
      </c>
      <c r="R19" s="89">
        <f t="shared" si="6"/>
        <v>-1099092.932775483</v>
      </c>
      <c r="S19" s="90">
        <f t="shared" si="6"/>
        <v>-1112831.5944351766</v>
      </c>
      <c r="T19" s="89">
        <f t="shared" si="6"/>
        <v>-1126741.9893656163</v>
      </c>
      <c r="U19" s="89">
        <f t="shared" si="6"/>
        <v>-1140826.2642326865</v>
      </c>
      <c r="V19" s="89">
        <f t="shared" si="6"/>
        <v>-1155086.5925355949</v>
      </c>
      <c r="W19" s="89">
        <f t="shared" si="6"/>
        <v>-1169525.1749422899</v>
      </c>
      <c r="X19" s="89">
        <f t="shared" si="6"/>
        <v>-1184144.2396290684</v>
      </c>
      <c r="Y19" s="89">
        <f t="shared" si="6"/>
        <v>-1198946.0426244317</v>
      </c>
      <c r="Z19" s="89">
        <f t="shared" si="6"/>
        <v>-1213932.8681572371</v>
      </c>
      <c r="AA19" s="89">
        <f t="shared" si="6"/>
        <v>-1229107.0290092025</v>
      </c>
      <c r="AB19" s="89">
        <f t="shared" si="6"/>
        <v>-1244470.8668718175</v>
      </c>
      <c r="AC19" s="89">
        <f t="shared" si="6"/>
        <v>-1260026.7527077151</v>
      </c>
      <c r="AD19" s="89">
        <f t="shared" si="6"/>
        <v>-1275777.0871165616</v>
      </c>
      <c r="AE19" s="89">
        <f t="shared" si="6"/>
        <v>-1291724.3007055186</v>
      </c>
      <c r="AF19" s="89">
        <f t="shared" si="6"/>
        <v>-1307870.8544643375</v>
      </c>
      <c r="AG19" s="89">
        <f t="shared" si="6"/>
        <v>-1324219.2401451417</v>
      </c>
      <c r="AH19" s="89">
        <f t="shared" si="6"/>
        <v>-1340771.980646956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7367965.8377758935</v>
      </c>
      <c r="F21" s="95">
        <f t="shared" si="8"/>
        <v>7550624.8357480923</v>
      </c>
      <c r="G21" s="95">
        <f t="shared" si="8"/>
        <v>7737467.2318199426</v>
      </c>
      <c r="H21" s="95">
        <f t="shared" si="8"/>
        <v>7928580.9154833155</v>
      </c>
      <c r="I21" s="95">
        <f t="shared" si="8"/>
        <v>8124055.3480291236</v>
      </c>
      <c r="J21" s="95">
        <f t="shared" si="8"/>
        <v>8323981.5794382337</v>
      </c>
      <c r="K21" s="95">
        <f t="shared" si="8"/>
        <v>8528452.2649041116</v>
      </c>
      <c r="L21" s="95">
        <f t="shared" si="8"/>
        <v>8737561.6809502076</v>
      </c>
      <c r="M21" s="95">
        <f t="shared" si="8"/>
        <v>8951405.7411032282</v>
      </c>
      <c r="N21" s="95">
        <f t="shared" si="8"/>
        <v>9170082.0110814963</v>
      </c>
      <c r="O21" s="95">
        <f t="shared" si="8"/>
        <v>9393689.7234554775</v>
      </c>
      <c r="P21" s="95">
        <f t="shared" si="8"/>
        <v>9622329.7917354424</v>
      </c>
      <c r="Q21" s="95">
        <f t="shared" si="8"/>
        <v>9856104.8238389641</v>
      </c>
      <c r="R21" s="95">
        <f t="shared" si="8"/>
        <v>10095119.134888643</v>
      </c>
      <c r="S21" s="96">
        <f t="shared" si="8"/>
        <v>10339478.759288011</v>
      </c>
      <c r="T21" s="95">
        <f t="shared" si="8"/>
        <v>10589291.462020962</v>
      </c>
      <c r="U21" s="95">
        <f t="shared" si="8"/>
        <v>10844666.749117585</v>
      </c>
      <c r="V21" s="95">
        <f t="shared" si="8"/>
        <v>11105715.877226224</v>
      </c>
      <c r="W21" s="95">
        <f t="shared" si="8"/>
        <v>11372551.862229092</v>
      </c>
      <c r="X21" s="95">
        <f t="shared" si="8"/>
        <v>11645289.486835405</v>
      </c>
      <c r="Y21" s="95">
        <f t="shared" si="8"/>
        <v>11924045.307083197</v>
      </c>
      <c r="Z21" s="95">
        <f t="shared" si="8"/>
        <v>12208937.657677475</v>
      </c>
      <c r="AA21" s="95">
        <f t="shared" si="8"/>
        <v>12500086.656089231</v>
      </c>
      <c r="AB21" s="95">
        <f t="shared" si="8"/>
        <v>12797614.205336047</v>
      </c>
      <c r="AC21" s="95">
        <f t="shared" si="8"/>
        <v>13101643.995361689</v>
      </c>
      <c r="AD21" s="95">
        <f t="shared" si="8"/>
        <v>13412301.502927892</v>
      </c>
      <c r="AE21" s="95">
        <f t="shared" si="8"/>
        <v>13729713.989927925</v>
      </c>
      <c r="AF21" s="95">
        <f t="shared" si="8"/>
        <v>14054010.50002715</v>
      </c>
      <c r="AG21" s="95">
        <f t="shared" si="8"/>
        <v>14385321.853531566</v>
      </c>
      <c r="AH21" s="95">
        <f t="shared" si="8"/>
        <v>14723780.640380904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-6139971.5314799119</v>
      </c>
      <c r="F22" s="95">
        <f t="shared" ref="F22:AH22" si="9">$E$22</f>
        <v>-6139971.5314799119</v>
      </c>
      <c r="G22" s="95">
        <f t="shared" si="9"/>
        <v>-6139971.5314799119</v>
      </c>
      <c r="H22" s="95">
        <f t="shared" si="9"/>
        <v>-6139971.5314799119</v>
      </c>
      <c r="I22" s="95">
        <f t="shared" si="9"/>
        <v>-6139971.5314799119</v>
      </c>
      <c r="J22" s="95">
        <f t="shared" si="9"/>
        <v>-6139971.5314799119</v>
      </c>
      <c r="K22" s="95">
        <f t="shared" si="9"/>
        <v>-6139971.5314799119</v>
      </c>
      <c r="L22" s="95">
        <f t="shared" si="9"/>
        <v>-6139971.5314799119</v>
      </c>
      <c r="M22" s="95">
        <f t="shared" si="9"/>
        <v>-6139971.5314799119</v>
      </c>
      <c r="N22" s="95">
        <f t="shared" si="9"/>
        <v>-6139971.5314799119</v>
      </c>
      <c r="O22" s="95">
        <f t="shared" si="9"/>
        <v>-6139971.5314799119</v>
      </c>
      <c r="P22" s="95">
        <f t="shared" si="9"/>
        <v>-6139971.5314799119</v>
      </c>
      <c r="Q22" s="95">
        <f t="shared" si="9"/>
        <v>-6139971.5314799119</v>
      </c>
      <c r="R22" s="95">
        <f t="shared" si="9"/>
        <v>-6139971.5314799119</v>
      </c>
      <c r="S22" s="96">
        <f t="shared" si="9"/>
        <v>-6139971.5314799119</v>
      </c>
      <c r="T22" s="95">
        <f t="shared" si="9"/>
        <v>-6139971.5314799119</v>
      </c>
      <c r="U22" s="95">
        <f t="shared" si="9"/>
        <v>-6139971.5314799119</v>
      </c>
      <c r="V22" s="95">
        <f t="shared" si="9"/>
        <v>-6139971.5314799119</v>
      </c>
      <c r="W22" s="95">
        <f t="shared" si="9"/>
        <v>-6139971.5314799119</v>
      </c>
      <c r="X22" s="95">
        <f t="shared" si="9"/>
        <v>-6139971.5314799119</v>
      </c>
      <c r="Y22" s="95">
        <f t="shared" si="9"/>
        <v>-6139971.5314799119</v>
      </c>
      <c r="Z22" s="95">
        <f t="shared" si="9"/>
        <v>-6139971.5314799119</v>
      </c>
      <c r="AA22" s="95">
        <f t="shared" si="9"/>
        <v>-6139971.5314799119</v>
      </c>
      <c r="AB22" s="95">
        <f t="shared" si="9"/>
        <v>-6139971.5314799119</v>
      </c>
      <c r="AC22" s="95">
        <f t="shared" si="9"/>
        <v>-6139971.5314799119</v>
      </c>
      <c r="AD22" s="95">
        <f t="shared" si="9"/>
        <v>-6139971.5314799119</v>
      </c>
      <c r="AE22" s="95">
        <f t="shared" si="9"/>
        <v>-6139971.5314799119</v>
      </c>
      <c r="AF22" s="95">
        <f t="shared" si="9"/>
        <v>-6139971.5314799119</v>
      </c>
      <c r="AG22" s="95">
        <f t="shared" si="9"/>
        <v>-6139971.5314799119</v>
      </c>
      <c r="AH22" s="95">
        <f t="shared" si="9"/>
        <v>-6139971.5314799119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1227994.3062959816</v>
      </c>
      <c r="F25" s="119">
        <f t="shared" ref="F25:AH25" si="11">+F21+F22+F23</f>
        <v>1410653.3042681804</v>
      </c>
      <c r="G25" s="119">
        <f t="shared" si="11"/>
        <v>1597495.7003400307</v>
      </c>
      <c r="H25" s="119">
        <f t="shared" si="11"/>
        <v>1788609.3840034036</v>
      </c>
      <c r="I25" s="119">
        <f t="shared" si="11"/>
        <v>1984083.8165492117</v>
      </c>
      <c r="J25" s="119">
        <f t="shared" si="11"/>
        <v>2184010.0479583219</v>
      </c>
      <c r="K25" s="119">
        <f t="shared" si="11"/>
        <v>2388480.7334241997</v>
      </c>
      <c r="L25" s="119">
        <f t="shared" si="11"/>
        <v>2597590.1494702958</v>
      </c>
      <c r="M25" s="119">
        <f t="shared" si="11"/>
        <v>2811434.2096233163</v>
      </c>
      <c r="N25" s="119">
        <f t="shared" si="11"/>
        <v>3030110.4796015844</v>
      </c>
      <c r="O25" s="119">
        <f t="shared" si="11"/>
        <v>3253718.1919755656</v>
      </c>
      <c r="P25" s="119">
        <f t="shared" si="11"/>
        <v>3482358.2602555305</v>
      </c>
      <c r="Q25" s="119">
        <f t="shared" si="11"/>
        <v>3716133.2923590522</v>
      </c>
      <c r="R25" s="119">
        <f t="shared" si="11"/>
        <v>3955147.6034087315</v>
      </c>
      <c r="S25" s="160">
        <f t="shared" si="11"/>
        <v>4199507.2278080992</v>
      </c>
      <c r="T25" s="119">
        <f t="shared" si="11"/>
        <v>4449319.9305410497</v>
      </c>
      <c r="U25" s="119">
        <f t="shared" si="11"/>
        <v>4704695.217637673</v>
      </c>
      <c r="V25" s="119">
        <f t="shared" si="11"/>
        <v>4965744.3457463123</v>
      </c>
      <c r="W25" s="119">
        <f t="shared" si="11"/>
        <v>5232580.3307491802</v>
      </c>
      <c r="X25" s="119">
        <f t="shared" si="11"/>
        <v>5505317.9553554934</v>
      </c>
      <c r="Y25" s="119">
        <f t="shared" si="11"/>
        <v>5784073.7756032851</v>
      </c>
      <c r="Z25" s="119">
        <f t="shared" si="11"/>
        <v>6068966.1261975635</v>
      </c>
      <c r="AA25" s="119">
        <f t="shared" si="11"/>
        <v>6360115.1246093195</v>
      </c>
      <c r="AB25" s="119">
        <f t="shared" si="11"/>
        <v>6657642.6738561355</v>
      </c>
      <c r="AC25" s="119">
        <f t="shared" si="11"/>
        <v>6961672.4638817776</v>
      </c>
      <c r="AD25" s="119">
        <f t="shared" si="11"/>
        <v>7272329.97144798</v>
      </c>
      <c r="AE25" s="119">
        <f t="shared" si="11"/>
        <v>7589742.4584480133</v>
      </c>
      <c r="AF25" s="119">
        <f t="shared" si="11"/>
        <v>7914038.968547238</v>
      </c>
      <c r="AG25" s="119">
        <f t="shared" si="11"/>
        <v>8245350.3220516536</v>
      </c>
      <c r="AH25" s="119">
        <f t="shared" si="11"/>
        <v>8583809.1089009922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1.2297491604050113</v>
      </c>
      <c r="G27" s="122">
        <f t="shared" si="12"/>
        <v>1.2601796591644763</v>
      </c>
      <c r="H27" s="122">
        <f t="shared" si="12"/>
        <v>1.2913058105942548</v>
      </c>
      <c r="I27" s="122">
        <f t="shared" si="12"/>
        <v>1.3231421850047227</v>
      </c>
      <c r="J27" s="122">
        <f t="shared" si="12"/>
        <v>1.3557036114517476</v>
      </c>
      <c r="K27" s="122">
        <f t="shared" si="12"/>
        <v>1.3890051804276862</v>
      </c>
      <c r="L27" s="122">
        <f t="shared" si="12"/>
        <v>1.4230622464863776</v>
      </c>
      <c r="M27" s="122">
        <f t="shared" si="12"/>
        <v>1.4578904307958052</v>
      </c>
      <c r="N27" s="122">
        <f t="shared" si="12"/>
        <v>1.4935056236117823</v>
      </c>
      <c r="O27" s="122">
        <f t="shared" si="12"/>
        <v>1.5299239866656718</v>
      </c>
      <c r="P27" s="122">
        <f t="shared" si="12"/>
        <v>1.5671619554588034</v>
      </c>
      <c r="Q27" s="122">
        <f t="shared" si="12"/>
        <v>1.6052362414558876</v>
      </c>
      <c r="R27" s="122">
        <f t="shared" si="12"/>
        <v>1.6441638341693461</v>
      </c>
      <c r="S27" s="161">
        <f t="shared" si="12"/>
        <v>1.6839620031260789</v>
      </c>
      <c r="T27" s="122">
        <f t="shared" si="12"/>
        <v>1.724648299707773</v>
      </c>
      <c r="U27" s="122">
        <f t="shared" si="12"/>
        <v>1.7662405588554422</v>
      </c>
      <c r="V27" s="122">
        <f t="shared" si="12"/>
        <v>1.8087569006284014</v>
      </c>
      <c r="W27" s="122">
        <f t="shared" si="12"/>
        <v>1.8522157316074681</v>
      </c>
      <c r="X27" s="122">
        <f t="shared" si="12"/>
        <v>1.8966357461316359</v>
      </c>
      <c r="Y27" s="122">
        <f t="shared" si="12"/>
        <v>1.9420359273570043</v>
      </c>
      <c r="Z27" s="122">
        <f t="shared" si="12"/>
        <v>1.9884355481261924</v>
      </c>
      <c r="AA27" s="122">
        <f t="shared" si="12"/>
        <v>2.0358541716359304</v>
      </c>
      <c r="AB27" s="122">
        <f t="shared" si="12"/>
        <v>2.0843116518899314</v>
      </c>
      <c r="AC27" s="122">
        <f t="shared" si="12"/>
        <v>2.1338281339235805</v>
      </c>
      <c r="AD27" s="122">
        <f t="shared" si="12"/>
        <v>2.1844240537863109</v>
      </c>
      <c r="AE27" s="122">
        <f t="shared" si="12"/>
        <v>2.2361201382669385</v>
      </c>
      <c r="AF27" s="122">
        <f t="shared" si="12"/>
        <v>2.2889374043465187</v>
      </c>
      <c r="AG27" s="122">
        <f t="shared" si="12"/>
        <v>2.3428971583626033</v>
      </c>
      <c r="AH27" s="122">
        <f t="shared" si="12"/>
        <v>2.3980209948680402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1227994.3062959816</v>
      </c>
      <c r="F41" s="129">
        <f t="shared" ref="F41:S41" si="20">F25+F37</f>
        <v>1410653.3042681804</v>
      </c>
      <c r="G41" s="129">
        <f t="shared" si="20"/>
        <v>1597495.7003400307</v>
      </c>
      <c r="H41" s="129">
        <f t="shared" si="20"/>
        <v>1788609.3840034036</v>
      </c>
      <c r="I41" s="129">
        <f t="shared" si="20"/>
        <v>1984083.8165492117</v>
      </c>
      <c r="J41" s="129">
        <f t="shared" si="20"/>
        <v>2184010.0479583219</v>
      </c>
      <c r="K41" s="129">
        <f t="shared" si="20"/>
        <v>2388480.7334241997</v>
      </c>
      <c r="L41" s="129">
        <f t="shared" si="20"/>
        <v>2597590.1494702958</v>
      </c>
      <c r="M41" s="129">
        <f t="shared" si="20"/>
        <v>2811434.2096233163</v>
      </c>
      <c r="N41" s="129">
        <f t="shared" si="20"/>
        <v>3030110.4796015844</v>
      </c>
      <c r="O41" s="129">
        <f t="shared" si="20"/>
        <v>3253718.1919755656</v>
      </c>
      <c r="P41" s="129">
        <f t="shared" si="20"/>
        <v>3482358.2602555305</v>
      </c>
      <c r="Q41" s="129">
        <f t="shared" si="20"/>
        <v>3716133.2923590522</v>
      </c>
      <c r="R41" s="129">
        <f t="shared" si="20"/>
        <v>3955147.6034087315</v>
      </c>
      <c r="S41" s="130">
        <f t="shared" si="20"/>
        <v>4199507.2278080992</v>
      </c>
      <c r="T41" s="130">
        <f t="shared" ref="T41:AH41" si="21">T25+T37</f>
        <v>4449319.9305410497</v>
      </c>
      <c r="U41" s="130">
        <f t="shared" si="21"/>
        <v>4704695.217637673</v>
      </c>
      <c r="V41" s="130">
        <f t="shared" si="21"/>
        <v>4965744.3457463123</v>
      </c>
      <c r="W41" s="130">
        <f t="shared" si="21"/>
        <v>5232580.3307491802</v>
      </c>
      <c r="X41" s="130">
        <f t="shared" si="21"/>
        <v>5505317.9553554934</v>
      </c>
      <c r="Y41" s="130">
        <f t="shared" si="21"/>
        <v>5784073.7756032851</v>
      </c>
      <c r="Z41" s="130">
        <f t="shared" si="21"/>
        <v>6068966.1261975635</v>
      </c>
      <c r="AA41" s="130">
        <f t="shared" si="21"/>
        <v>6360115.1246093195</v>
      </c>
      <c r="AB41" s="130">
        <f t="shared" si="21"/>
        <v>6657642.6738561355</v>
      </c>
      <c r="AC41" s="130">
        <f t="shared" si="21"/>
        <v>6961672.4638817776</v>
      </c>
      <c r="AD41" s="130">
        <f t="shared" si="21"/>
        <v>7272329.97144798</v>
      </c>
      <c r="AE41" s="130">
        <f t="shared" si="21"/>
        <v>7589742.4584480133</v>
      </c>
      <c r="AF41" s="130">
        <f t="shared" si="21"/>
        <v>7914038.968547238</v>
      </c>
      <c r="AG41" s="130">
        <f t="shared" si="21"/>
        <v>8245350.3220516536</v>
      </c>
      <c r="AH41" s="130">
        <f t="shared" si="21"/>
        <v>8583809.1089009922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1043795.1603515843</v>
      </c>
      <c r="F42" s="129">
        <f t="shared" ref="F42:S42" si="22">((F41*$C$42))</f>
        <v>1199055.3086279533</v>
      </c>
      <c r="G42" s="129">
        <f t="shared" si="22"/>
        <v>1357871.3452890262</v>
      </c>
      <c r="H42" s="129">
        <f t="shared" si="22"/>
        <v>1520317.976402893</v>
      </c>
      <c r="I42" s="129">
        <f t="shared" si="22"/>
        <v>1686471.24406683</v>
      </c>
      <c r="J42" s="129">
        <f t="shared" si="22"/>
        <v>1856408.5407645735</v>
      </c>
      <c r="K42" s="129">
        <f t="shared" si="22"/>
        <v>2030208.6234105697</v>
      </c>
      <c r="L42" s="129">
        <f t="shared" si="22"/>
        <v>2207951.6270497511</v>
      </c>
      <c r="M42" s="129">
        <f t="shared" si="22"/>
        <v>2389719.0781798186</v>
      </c>
      <c r="N42" s="129">
        <f t="shared" si="22"/>
        <v>2575593.9076613467</v>
      </c>
      <c r="O42" s="129">
        <f t="shared" si="22"/>
        <v>2765660.4631792307</v>
      </c>
      <c r="P42" s="129">
        <f t="shared" si="22"/>
        <v>2960004.5212172009</v>
      </c>
      <c r="Q42" s="129">
        <f t="shared" si="22"/>
        <v>3158713.2985051945</v>
      </c>
      <c r="R42" s="129">
        <f t="shared" si="22"/>
        <v>3361875.4628974218</v>
      </c>
      <c r="S42" s="129">
        <f t="shared" si="22"/>
        <v>3569581.1436368842</v>
      </c>
      <c r="T42" s="129">
        <f t="shared" ref="T42:AH42" si="23">((T41*$C$42))</f>
        <v>3781921.9409598922</v>
      </c>
      <c r="U42" s="129">
        <f t="shared" si="23"/>
        <v>3998990.9349920219</v>
      </c>
      <c r="V42" s="129">
        <f t="shared" si="23"/>
        <v>4220882.6938843653</v>
      </c>
      <c r="W42" s="129">
        <f t="shared" si="23"/>
        <v>4447693.2811368033</v>
      </c>
      <c r="X42" s="129">
        <f t="shared" si="23"/>
        <v>4679520.2620521691</v>
      </c>
      <c r="Y42" s="129">
        <f t="shared" si="23"/>
        <v>4916462.709262792</v>
      </c>
      <c r="Z42" s="129">
        <f t="shared" si="23"/>
        <v>5158621.2072679289</v>
      </c>
      <c r="AA42" s="129">
        <f t="shared" si="23"/>
        <v>5406097.8559179213</v>
      </c>
      <c r="AB42" s="129">
        <f t="shared" si="23"/>
        <v>5658996.2727777148</v>
      </c>
      <c r="AC42" s="129">
        <f t="shared" si="23"/>
        <v>5917421.5942995111</v>
      </c>
      <c r="AD42" s="129">
        <f t="shared" si="23"/>
        <v>6181480.4757307833</v>
      </c>
      <c r="AE42" s="129">
        <f t="shared" si="23"/>
        <v>6451281.0896808114</v>
      </c>
      <c r="AF42" s="129">
        <f t="shared" si="23"/>
        <v>6726933.1232651519</v>
      </c>
      <c r="AG42" s="129">
        <f t="shared" si="23"/>
        <v>7008547.7737439051</v>
      </c>
      <c r="AH42" s="129">
        <f t="shared" si="23"/>
        <v>7296237.7425658433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184199.14594439729</v>
      </c>
      <c r="F43" s="108">
        <f t="shared" ref="F43:S43" si="24">$C$43*(F41)</f>
        <v>211597.99564022708</v>
      </c>
      <c r="G43" s="108">
        <f t="shared" si="24"/>
        <v>239624.35505100465</v>
      </c>
      <c r="H43" s="108">
        <f t="shared" si="24"/>
        <v>268291.40760051057</v>
      </c>
      <c r="I43" s="108">
        <f t="shared" si="24"/>
        <v>297612.57248238183</v>
      </c>
      <c r="J43" s="108">
        <f t="shared" si="24"/>
        <v>327601.50719374832</v>
      </c>
      <c r="K43" s="108">
        <f t="shared" si="24"/>
        <v>358272.11001363001</v>
      </c>
      <c r="L43" s="108">
        <f t="shared" si="24"/>
        <v>389638.52242054441</v>
      </c>
      <c r="M43" s="108">
        <f t="shared" si="24"/>
        <v>421715.13144349749</v>
      </c>
      <c r="N43" s="108">
        <f t="shared" si="24"/>
        <v>454516.57194023771</v>
      </c>
      <c r="O43" s="108">
        <f t="shared" si="24"/>
        <v>488057.72879633494</v>
      </c>
      <c r="P43" s="108">
        <f t="shared" si="24"/>
        <v>522353.73903832963</v>
      </c>
      <c r="Q43" s="108">
        <f t="shared" si="24"/>
        <v>557419.99385385797</v>
      </c>
      <c r="R43" s="108">
        <f t="shared" si="24"/>
        <v>593272.14051130984</v>
      </c>
      <c r="S43" s="108">
        <f t="shared" si="24"/>
        <v>629926.08417121496</v>
      </c>
      <c r="T43" s="108">
        <f t="shared" ref="T43:AH43" si="25">$C$43*(T41)</f>
        <v>667397.98958115757</v>
      </c>
      <c r="U43" s="108">
        <f t="shared" si="25"/>
        <v>705704.28264565102</v>
      </c>
      <c r="V43" s="108">
        <f t="shared" si="25"/>
        <v>744861.65186194691</v>
      </c>
      <c r="W43" s="108">
        <f t="shared" si="25"/>
        <v>784887.04961237719</v>
      </c>
      <c r="X43" s="108">
        <f t="shared" si="25"/>
        <v>825797.69330332417</v>
      </c>
      <c r="Y43" s="108">
        <f t="shared" si="25"/>
        <v>867611.06634049292</v>
      </c>
      <c r="Z43" s="108">
        <f t="shared" si="25"/>
        <v>910344.91892963462</v>
      </c>
      <c r="AA43" s="108">
        <f t="shared" si="25"/>
        <v>954017.26869139809</v>
      </c>
      <c r="AB43" s="108">
        <f t="shared" si="25"/>
        <v>998646.40107842046</v>
      </c>
      <c r="AC43" s="108">
        <f t="shared" si="25"/>
        <v>1044250.8695822668</v>
      </c>
      <c r="AD43" s="108">
        <f t="shared" si="25"/>
        <v>1090849.4957171972</v>
      </c>
      <c r="AE43" s="108">
        <f t="shared" si="25"/>
        <v>1138461.3687672021</v>
      </c>
      <c r="AF43" s="108">
        <f t="shared" si="25"/>
        <v>1187105.8452820859</v>
      </c>
      <c r="AG43" s="108">
        <f t="shared" si="25"/>
        <v>1236802.5483077483</v>
      </c>
      <c r="AH43" s="108">
        <f t="shared" si="25"/>
        <v>1287571.3663351489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6.8753115623248415E-2</v>
      </c>
      <c r="F46" s="1374">
        <f>F21/Data!$C$38</f>
        <v>7.0457571844098676E-2</v>
      </c>
      <c r="G46" s="1374">
        <f>G21/Data!$C$38</f>
        <v>7.2201064843834192E-2</v>
      </c>
      <c r="H46" s="1374">
        <f>H21/Data!$C$38</f>
        <v>7.3984414750632777E-2</v>
      </c>
      <c r="I46" s="1374">
        <f>I21/Data!$C$38</f>
        <v>7.5808456359689372E-2</v>
      </c>
      <c r="J46" s="1374">
        <f>J21/Data!$C$38</f>
        <v>7.7674039290831207E-2</v>
      </c>
      <c r="K46" s="1374">
        <f>K21/Data!$C$38</f>
        <v>7.9582028142696451E-2</v>
      </c>
      <c r="L46" s="1374">
        <f>L21/Data!$C$38</f>
        <v>8.15333026431313E-2</v>
      </c>
      <c r="M46" s="1374">
        <f>M21/Data!$C$38</f>
        <v>8.3528757795442873E-2</v>
      </c>
      <c r="N46" s="1374">
        <f>N21/Data!$C$38</f>
        <v>8.5569304020127177E-2</v>
      </c>
      <c r="O46" s="1374">
        <f>O21/Data!$C$38</f>
        <v>8.7655867291671768E-2</v>
      </c>
      <c r="P46" s="1374">
        <f>P21/Data!$C$38</f>
        <v>8.9789389270012676E-2</v>
      </c>
      <c r="Q46" s="1374">
        <f>Q21/Data!$C$38</f>
        <v>9.1970827426204479E-2</v>
      </c>
      <c r="R46" s="1374">
        <f>R21/Data!$C$38</f>
        <v>9.4201155161840411E-2</v>
      </c>
      <c r="S46" s="1374">
        <f>S21/Data!$C$38</f>
        <v>9.6481361921736938E-2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2.9513169983812915E-2</v>
      </c>
      <c r="F47" s="142">
        <f>F41/GapCalc!$H$33</f>
        <v>3.3903130123356995E-2</v>
      </c>
      <c r="G47" s="142">
        <f>G41/GapCalc!$H$33</f>
        <v>3.83936325362585E-2</v>
      </c>
      <c r="H47" s="142">
        <f>H41/GapCalc!$H$33</f>
        <v>4.2986789526703276E-2</v>
      </c>
      <c r="I47" s="142">
        <f>I41/GapCalc!$H$33</f>
        <v>4.7684751174925523E-2</v>
      </c>
      <c r="J47" s="142">
        <f>J41/GapCalc!$H$33</f>
        <v>5.2489705743157866E-2</v>
      </c>
      <c r="K47" s="142">
        <f>K41/GapCalc!$H$33</f>
        <v>5.7403880072730611E-2</v>
      </c>
      <c r="L47" s="142">
        <f>L41/GapCalc!$H$33</f>
        <v>6.2429539971431136E-2</v>
      </c>
      <c r="M47" s="142">
        <f>M41/GapCalc!$H$33</f>
        <v>6.7568990590189643E-2</v>
      </c>
      <c r="N47" s="142">
        <f>N41/GapCalc!$H$33</f>
        <v>7.282457678811069E-2</v>
      </c>
      <c r="O47" s="142">
        <f>O41/GapCalc!$H$33</f>
        <v>7.8198683484818954E-2</v>
      </c>
      <c r="P47" s="142">
        <f>P41/GapCalc!$H$33</f>
        <v>8.3693735999037011E-2</v>
      </c>
      <c r="Q47" s="142">
        <f>Q41/GapCalc!$H$33</f>
        <v>8.9312200372258302E-2</v>
      </c>
      <c r="R47" s="142">
        <f>R41/GapCalc!$H$33</f>
        <v>9.505658367632297E-2</v>
      </c>
      <c r="S47" s="142">
        <f>S41/GapCalc!$H$33</f>
        <v>0.1009294343036458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2.5086194486240977E-2</v>
      </c>
      <c r="F48" s="142">
        <f>F43/GapCalc!$H$32</f>
        <v>2.881766060485344E-2</v>
      </c>
      <c r="G48" s="142">
        <f>G43/GapCalc!$H$32</f>
        <v>3.2634587655819725E-2</v>
      </c>
      <c r="H48" s="142">
        <f>H43/GapCalc!$H$32</f>
        <v>3.6538771097697778E-2</v>
      </c>
      <c r="I48" s="142">
        <f>I43/GapCalc!$H$32</f>
        <v>4.0532038498686696E-2</v>
      </c>
      <c r="J48" s="142">
        <f>J43/GapCalc!$H$32</f>
        <v>4.4616249881684181E-2</v>
      </c>
      <c r="K48" s="142">
        <f>K43/GapCalc!$H$32</f>
        <v>4.8793298061821012E-2</v>
      </c>
      <c r="L48" s="142">
        <f>L43/GapCalc!$H$32</f>
        <v>5.3065108975716459E-2</v>
      </c>
      <c r="M48" s="142">
        <f>M43/GapCalc!$H$32</f>
        <v>5.7433642001661192E-2</v>
      </c>
      <c r="N48" s="142">
        <f>N43/GapCalc!$H$32</f>
        <v>6.1900890269894079E-2</v>
      </c>
      <c r="O48" s="142">
        <f>O43/GapCalc!$H$32</f>
        <v>6.6468880962096105E-2</v>
      </c>
      <c r="P48" s="142">
        <f>P43/GapCalc!$H$32</f>
        <v>7.1139675599181454E-2</v>
      </c>
      <c r="Q48" s="142">
        <f>Q43/GapCalc!$H$32</f>
        <v>7.5915370316419553E-2</v>
      </c>
      <c r="R48" s="142">
        <f>R43/GapCalc!$H$32</f>
        <v>8.0798096124874527E-2</v>
      </c>
      <c r="S48" s="142">
        <f>S43/GapCalc!$H$32</f>
        <v>8.5790019158098918E-2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41645374.469958425</v>
      </c>
      <c r="D66" s="1389"/>
      <c r="E66" s="1409" t="s">
        <v>284</v>
      </c>
      <c r="G66" s="1365" t="s">
        <v>1072</v>
      </c>
      <c r="H66" s="1410">
        <f>H70/1.63</f>
        <v>7349183.7299926635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10694128.198913429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1887199.0939258996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13818072.294362387</v>
      </c>
      <c r="D68" s="1390" t="s">
        <v>67</v>
      </c>
      <c r="G68" s="1366" t="s">
        <v>1078</v>
      </c>
      <c r="H68" s="1413">
        <f>IF(GapCalc!D41*C43&lt; 0,0,GapCalc!D41*C43)</f>
        <v>2438483.346063951</v>
      </c>
      <c r="I68" s="1390" t="s">
        <v>67</v>
      </c>
    </row>
    <row r="69" spans="2:10">
      <c r="B69" s="1366" t="s">
        <v>1058</v>
      </c>
      <c r="C69" s="1413">
        <f>'Debt Calc'!E60</f>
        <v>43369759.892756402</v>
      </c>
      <c r="D69" s="1391">
        <v>0.9</v>
      </c>
      <c r="G69" s="1366" t="s">
        <v>1074</v>
      </c>
      <c r="H69" s="1413">
        <f>'Debt Calc'!E59*C43</f>
        <v>7653487.0398981897</v>
      </c>
      <c r="I69" s="1391">
        <v>0.9</v>
      </c>
    </row>
    <row r="70" spans="2:10">
      <c r="B70" s="1368" t="s">
        <v>1041</v>
      </c>
      <c r="C70" s="1422">
        <f>C67+C68+C69</f>
        <v>67881960.386032224</v>
      </c>
      <c r="D70" s="1390" t="s">
        <v>67</v>
      </c>
      <c r="G70" s="1368" t="s">
        <v>1041</v>
      </c>
      <c r="H70" s="1422">
        <f>H67+H68+H69</f>
        <v>11979169.479888041</v>
      </c>
      <c r="I70" s="1390" t="s">
        <v>67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0.62999999999999978</v>
      </c>
      <c r="D72" s="1393"/>
      <c r="G72" s="1366" t="s">
        <v>1043</v>
      </c>
      <c r="H72" s="1369">
        <f>(H70-H66)/H66</f>
        <v>0.62999999999999989</v>
      </c>
      <c r="I72" s="1393"/>
    </row>
    <row r="73" spans="2:10">
      <c r="B73" s="1368" t="s">
        <v>1044</v>
      </c>
      <c r="C73" s="1411">
        <f>C72/7</f>
        <v>8.9999999999999969E-2</v>
      </c>
      <c r="D73" s="1393"/>
      <c r="G73" s="1368" t="s">
        <v>1044</v>
      </c>
      <c r="H73" s="1411">
        <f>H72/7</f>
        <v>8.9999999999999983E-2</v>
      </c>
      <c r="I73" s="1393"/>
    </row>
    <row r="74" spans="2:10" ht="13.5" thickBot="1">
      <c r="B74" s="1423" t="s">
        <v>1079</v>
      </c>
      <c r="C74" s="1426">
        <f>GapCalc!H33</f>
        <v>41608349.999999985</v>
      </c>
      <c r="D74" s="1394"/>
      <c r="F74" s="1404"/>
      <c r="G74" s="1423" t="s">
        <v>1081</v>
      </c>
      <c r="H74" s="1426">
        <f>GapCalc!H32</f>
        <v>7342649.9999999991</v>
      </c>
      <c r="I74" s="1394"/>
    </row>
    <row r="75" spans="2:10">
      <c r="B75" s="70" t="s">
        <v>1080</v>
      </c>
      <c r="C75" s="1424">
        <f>(C70-C74)/C74</f>
        <v>0.63145042728279899</v>
      </c>
      <c r="G75" s="70" t="s">
        <v>1080</v>
      </c>
      <c r="H75" s="1424">
        <f>(H70-H74)/H74</f>
        <v>0.63145042728279877</v>
      </c>
    </row>
    <row r="76" spans="2:10">
      <c r="B76" s="70" t="s">
        <v>1044</v>
      </c>
      <c r="C76" s="1424">
        <f>C75/7</f>
        <v>9.0207203897542707E-2</v>
      </c>
      <c r="G76" s="70" t="s">
        <v>1044</v>
      </c>
      <c r="H76" s="1424">
        <f>H75/7</f>
        <v>9.0207203897542679E-2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17603036.170092631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17867392.811804347</v>
      </c>
      <c r="D81" s="1390" t="s">
        <v>67</v>
      </c>
    </row>
    <row r="82" spans="2:10">
      <c r="B82" s="1366" t="s">
        <v>1058</v>
      </c>
      <c r="C82" s="1413">
        <f>C68</f>
        <v>13818072.294362387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31685465.106166735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0.79999999999999993</v>
      </c>
      <c r="D86" s="1393"/>
    </row>
    <row r="87" spans="2:10">
      <c r="B87" s="1368" t="s">
        <v>1044</v>
      </c>
      <c r="C87" s="1411">
        <f>C86/10</f>
        <v>7.9999999999999988E-2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57373209.900254562</v>
      </c>
      <c r="D93" s="1389"/>
      <c r="E93" s="1409" t="s">
        <v>287</v>
      </c>
      <c r="G93" s="1365" t="s">
        <v>1072</v>
      </c>
      <c r="H93" s="1410">
        <f>H97/1.63</f>
        <v>8125791.2304860875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17867392.811804347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3153069.3197301794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13818072.294362387</v>
      </c>
      <c r="D95" s="1390" t="s">
        <v>67</v>
      </c>
      <c r="G95" s="1366" t="s">
        <v>1078</v>
      </c>
      <c r="H95" s="1413">
        <f>IF(GapCalc!D41*C43&lt; 0,0,GapCalc!D41*C43)</f>
        <v>2438483.346063951</v>
      </c>
      <c r="I95" s="1390" t="s">
        <v>67</v>
      </c>
    </row>
    <row r="96" spans="2:10">
      <c r="B96" s="1366" t="s">
        <v>1058</v>
      </c>
      <c r="C96" s="1413">
        <f>'Debt Calc'!H60</f>
        <v>61832867.031248197</v>
      </c>
      <c r="D96" s="1391">
        <v>0.9</v>
      </c>
      <c r="G96" s="1366" t="s">
        <v>1074</v>
      </c>
      <c r="H96" s="1413">
        <f>'Debt Calc'!E59*C43</f>
        <v>7653487.0398981897</v>
      </c>
      <c r="I96" s="1391">
        <v>0.9</v>
      </c>
    </row>
    <row r="97" spans="2:9">
      <c r="B97" s="1368" t="s">
        <v>1041</v>
      </c>
      <c r="C97" s="1422">
        <f>C94+C95+C96</f>
        <v>93518332.137414932</v>
      </c>
      <c r="D97" s="1390" t="s">
        <v>67</v>
      </c>
      <c r="G97" s="1368" t="s">
        <v>1041</v>
      </c>
      <c r="H97" s="1422">
        <f>H94+H95+H96</f>
        <v>13245039.705692321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0.62999999999999989</v>
      </c>
      <c r="D99" s="1393"/>
      <c r="G99" s="1366" t="s">
        <v>1043</v>
      </c>
      <c r="H99" s="1369">
        <f>(H97-H93)/H93</f>
        <v>0.62999999999999978</v>
      </c>
      <c r="I99" s="1393"/>
    </row>
    <row r="100" spans="2:9">
      <c r="B100" s="1368" t="s">
        <v>1044</v>
      </c>
      <c r="C100" s="1411">
        <f>C99/7</f>
        <v>8.9999999999999983E-2</v>
      </c>
      <c r="D100" s="1393"/>
      <c r="G100" s="1368" t="s">
        <v>1044</v>
      </c>
      <c r="H100" s="1411">
        <f>H99/7</f>
        <v>8.9999999999999969E-2</v>
      </c>
      <c r="I100" s="1393"/>
    </row>
    <row r="101" spans="2:9" ht="13.5" thickBot="1">
      <c r="B101" s="1423" t="s">
        <v>1079</v>
      </c>
      <c r="C101" s="1426">
        <f>GapCalc!H33</f>
        <v>41608349.999999985</v>
      </c>
      <c r="D101" s="1394"/>
      <c r="G101" s="1423" t="s">
        <v>1081</v>
      </c>
      <c r="H101" s="1426">
        <f>GapCalc!H32</f>
        <v>7342649.9999999991</v>
      </c>
      <c r="I101" s="1394"/>
    </row>
    <row r="102" spans="2:9">
      <c r="B102" s="70" t="s">
        <v>1080</v>
      </c>
      <c r="C102" s="1424">
        <f>(C97-C101)/C101</f>
        <v>1.2475856922328081</v>
      </c>
      <c r="G102" s="70" t="s">
        <v>1080</v>
      </c>
      <c r="H102" s="1424">
        <f>(H97-H101)/H101</f>
        <v>0.80385006853007057</v>
      </c>
    </row>
    <row r="103" spans="2:9">
      <c r="B103" s="70" t="s">
        <v>1044</v>
      </c>
      <c r="C103" s="1424">
        <f>C102/10</f>
        <v>0.12475856922328081</v>
      </c>
      <c r="G103" s="70" t="s">
        <v>1044</v>
      </c>
      <c r="H103" s="1424">
        <f>H102/10</f>
        <v>8.0385006853007063E-2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204810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40962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245772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1"/>
      <c r="R16" s="1601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2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3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245772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245772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252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126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126</v>
      </c>
      <c r="D49" s="866"/>
      <c r="E49" s="845" t="s">
        <v>576</v>
      </c>
      <c r="F49" s="845"/>
      <c r="G49" s="913">
        <v>143</v>
      </c>
      <c r="H49" s="874">
        <f>C53*D53</f>
        <v>50068.038461538468</v>
      </c>
      <c r="I49" s="874">
        <f>G49*H49</f>
        <v>7159729.5000000009</v>
      </c>
      <c r="J49" s="915">
        <f>IFERROR(I49/C53,0)</f>
        <v>56823.250000000007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50068.038461538468</v>
      </c>
      <c r="I51" s="920">
        <f>SUM(I48:I50)</f>
        <v>7159729.5000000009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126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7159729.5000000009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126</v>
      </c>
      <c r="D55" s="845"/>
      <c r="E55" s="845"/>
      <c r="F55" s="927"/>
      <c r="G55" s="845"/>
      <c r="H55" s="862" t="s">
        <v>684</v>
      </c>
      <c r="I55" s="929">
        <f>SUM(I53:I54)</f>
        <v>7159729.5000000009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4"/>
      <c r="E92" s="1604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6139971.5314799119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88446109.667783454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88446100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27046391.396623001</v>
      </c>
    </row>
    <row r="15" spans="2:36">
      <c r="B15" s="556"/>
      <c r="C15" s="560" t="s">
        <v>633</v>
      </c>
      <c r="H15" s="561">
        <f>12*PMT(Data!C24/12,Data!C29*12,-'Debt Calc'!H14)</f>
        <v>6139970.8603376998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-9474471.8631450124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-9474471.8631450124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88446100</v>
      </c>
      <c r="E21" s="561">
        <f>$H$15</f>
        <v>6139970.8603376998</v>
      </c>
      <c r="F21" s="561">
        <f>E21-G21</f>
        <v>0</v>
      </c>
      <c r="G21" s="561">
        <f>D21-H21</f>
        <v>6139970.8603377044</v>
      </c>
      <c r="H21" s="561">
        <f>D21-E21</f>
        <v>82306129.139662296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82306129.139662296</v>
      </c>
      <c r="E22" s="561">
        <f t="shared" ref="E22:E50" si="1">$H$15</f>
        <v>6139970.8603376998</v>
      </c>
      <c r="F22" s="561">
        <f t="shared" ref="F22:F50" si="2">E22-G22</f>
        <v>0</v>
      </c>
      <c r="G22" s="561">
        <f t="shared" ref="G22:G50" si="3">D22-H22</f>
        <v>6139970.8603377044</v>
      </c>
      <c r="H22" s="561">
        <f t="shared" ref="H22:H39" si="4">D22-E22</f>
        <v>76166158.279324591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76166158.279324591</v>
      </c>
      <c r="E23" s="561">
        <f t="shared" si="1"/>
        <v>6139970.8603376998</v>
      </c>
      <c r="F23" s="561">
        <f t="shared" si="2"/>
        <v>0</v>
      </c>
      <c r="G23" s="561">
        <f t="shared" si="3"/>
        <v>6139970.8603377044</v>
      </c>
      <c r="H23" s="561">
        <f t="shared" si="4"/>
        <v>70026187.418986887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70026187.418986887</v>
      </c>
      <c r="E24" s="561">
        <f t="shared" si="1"/>
        <v>6139970.8603376998</v>
      </c>
      <c r="F24" s="561">
        <f t="shared" si="2"/>
        <v>0</v>
      </c>
      <c r="G24" s="561">
        <f t="shared" si="3"/>
        <v>6139970.860337697</v>
      </c>
      <c r="H24" s="561">
        <f t="shared" si="4"/>
        <v>63886216.55864919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63886216.55864919</v>
      </c>
      <c r="E25" s="561">
        <f t="shared" si="1"/>
        <v>6139970.8603376998</v>
      </c>
      <c r="F25" s="561">
        <f t="shared" si="2"/>
        <v>0</v>
      </c>
      <c r="G25" s="561">
        <f t="shared" si="3"/>
        <v>6139970.860337697</v>
      </c>
      <c r="H25" s="561">
        <f t="shared" si="4"/>
        <v>57746245.698311493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57746245.698311493</v>
      </c>
      <c r="E26" s="561">
        <f t="shared" si="1"/>
        <v>6139970.8603376998</v>
      </c>
      <c r="F26" s="561">
        <f t="shared" si="2"/>
        <v>0</v>
      </c>
      <c r="G26" s="561">
        <f t="shared" si="3"/>
        <v>6139970.860337697</v>
      </c>
      <c r="H26" s="561">
        <f t="shared" si="4"/>
        <v>51606274.837973796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51606274.837973796</v>
      </c>
      <c r="E27" s="561">
        <f t="shared" si="1"/>
        <v>6139970.8603376998</v>
      </c>
      <c r="F27" s="561">
        <f t="shared" si="2"/>
        <v>0</v>
      </c>
      <c r="G27" s="561">
        <f t="shared" si="3"/>
        <v>6139970.860337697</v>
      </c>
      <c r="H27" s="561">
        <f t="shared" si="4"/>
        <v>45466303.977636099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45466303.977636099</v>
      </c>
      <c r="E28" s="561">
        <f t="shared" si="1"/>
        <v>6139970.8603376998</v>
      </c>
      <c r="F28" s="561">
        <f t="shared" si="2"/>
        <v>0</v>
      </c>
      <c r="G28" s="561">
        <f t="shared" si="3"/>
        <v>6139970.860337697</v>
      </c>
      <c r="H28" s="561">
        <f t="shared" si="4"/>
        <v>39326333.117298402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39326333.117298402</v>
      </c>
      <c r="E29" s="561">
        <f t="shared" si="1"/>
        <v>6139970.8603376998</v>
      </c>
      <c r="F29" s="561">
        <f t="shared" si="2"/>
        <v>0</v>
      </c>
      <c r="G29" s="561">
        <f t="shared" si="3"/>
        <v>6139970.8603377007</v>
      </c>
      <c r="H29" s="561">
        <f t="shared" si="4"/>
        <v>33186362.256960701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33186362.256960701</v>
      </c>
      <c r="E30" s="561">
        <f t="shared" si="1"/>
        <v>6139970.8603376998</v>
      </c>
      <c r="F30" s="561">
        <f t="shared" si="2"/>
        <v>0</v>
      </c>
      <c r="G30" s="561">
        <f t="shared" si="3"/>
        <v>6139970.8603377007</v>
      </c>
      <c r="H30" s="561">
        <f>D30-E30</f>
        <v>27046391.396623001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27046391.396623001</v>
      </c>
      <c r="E31" s="561">
        <f t="shared" si="1"/>
        <v>6139970.8603376998</v>
      </c>
      <c r="F31" s="561">
        <f t="shared" si="2"/>
        <v>0</v>
      </c>
      <c r="G31" s="561">
        <f t="shared" si="3"/>
        <v>6139970.8603377007</v>
      </c>
      <c r="H31" s="561">
        <f t="shared" si="4"/>
        <v>20906420.5362853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20906420.5362853</v>
      </c>
      <c r="E32" s="561">
        <f t="shared" si="1"/>
        <v>6139970.8603376998</v>
      </c>
      <c r="F32" s="561">
        <f t="shared" si="2"/>
        <v>0</v>
      </c>
      <c r="G32" s="561">
        <f t="shared" si="3"/>
        <v>6139970.8603377007</v>
      </c>
      <c r="H32" s="561">
        <f t="shared" si="4"/>
        <v>14766449.675947599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14766449.675947599</v>
      </c>
      <c r="E33" s="561">
        <f t="shared" si="1"/>
        <v>6139970.8603376998</v>
      </c>
      <c r="F33" s="561">
        <f t="shared" si="2"/>
        <v>0</v>
      </c>
      <c r="G33" s="561">
        <f t="shared" si="3"/>
        <v>6139970.8603377007</v>
      </c>
      <c r="H33" s="561">
        <f t="shared" si="4"/>
        <v>8626478.8156098984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8626478.8156098984</v>
      </c>
      <c r="E34" s="561">
        <f t="shared" si="1"/>
        <v>6139970.8603376998</v>
      </c>
      <c r="F34" s="561">
        <f t="shared" si="2"/>
        <v>0</v>
      </c>
      <c r="G34" s="561">
        <f t="shared" si="3"/>
        <v>6139970.8603376998</v>
      </c>
      <c r="H34" s="561">
        <f t="shared" si="4"/>
        <v>2486507.9552721987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2486507.9552721987</v>
      </c>
      <c r="E35" s="561">
        <f t="shared" si="1"/>
        <v>6139970.8603376998</v>
      </c>
      <c r="F35" s="561">
        <f t="shared" si="2"/>
        <v>0</v>
      </c>
      <c r="G35" s="561">
        <f t="shared" si="3"/>
        <v>6139970.8603376998</v>
      </c>
      <c r="H35" s="561">
        <f t="shared" si="4"/>
        <v>-3653462.9050655011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-3653462.9050655011</v>
      </c>
      <c r="E36" s="561">
        <f t="shared" si="1"/>
        <v>6139970.8603376998</v>
      </c>
      <c r="F36" s="561">
        <f t="shared" si="2"/>
        <v>0</v>
      </c>
      <c r="G36" s="561">
        <f t="shared" si="3"/>
        <v>6139970.8603376988</v>
      </c>
      <c r="H36" s="561">
        <f t="shared" si="4"/>
        <v>-9793433.7654031999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-9793433.7654031999</v>
      </c>
      <c r="E37" s="561">
        <f t="shared" si="1"/>
        <v>6139970.8603376998</v>
      </c>
      <c r="F37" s="561">
        <f t="shared" si="2"/>
        <v>0</v>
      </c>
      <c r="G37" s="561">
        <f t="shared" si="3"/>
        <v>6139970.8603377007</v>
      </c>
      <c r="H37" s="561">
        <f t="shared" si="4"/>
        <v>-15933404.625740901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-15933404.625740901</v>
      </c>
      <c r="E38" s="561">
        <f t="shared" si="1"/>
        <v>6139970.8603376998</v>
      </c>
      <c r="F38" s="561">
        <f t="shared" si="2"/>
        <v>0</v>
      </c>
      <c r="G38" s="561">
        <f t="shared" si="3"/>
        <v>6139970.8603377007</v>
      </c>
      <c r="H38" s="561">
        <f>D38-E38</f>
        <v>-22073375.486078601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-22073375.486078601</v>
      </c>
      <c r="E39" s="561">
        <f t="shared" si="1"/>
        <v>6139970.8603376998</v>
      </c>
      <c r="F39" s="561">
        <f t="shared" si="2"/>
        <v>0</v>
      </c>
      <c r="G39" s="561">
        <f t="shared" si="3"/>
        <v>6139970.8603377007</v>
      </c>
      <c r="H39" s="561">
        <f t="shared" si="4"/>
        <v>-28213346.346416302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-28213346.346416302</v>
      </c>
      <c r="E40" s="561">
        <f t="shared" si="1"/>
        <v>6139970.8603376998</v>
      </c>
      <c r="F40" s="561">
        <f t="shared" si="2"/>
        <v>34353317.206753999</v>
      </c>
      <c r="G40" s="561">
        <f t="shared" si="3"/>
        <v>-28213346.346416302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6139970.8603376998</v>
      </c>
      <c r="F41" s="561">
        <f t="shared" si="2"/>
        <v>6139970.8603376998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6139970.8603376998</v>
      </c>
      <c r="F42" s="561">
        <f t="shared" si="2"/>
        <v>6139970.8603376998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6139970.8603376998</v>
      </c>
      <c r="F43" s="561">
        <f t="shared" si="2"/>
        <v>6139970.8603376998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6139970.8603376998</v>
      </c>
      <c r="F44" s="561">
        <f t="shared" si="2"/>
        <v>6139970.8603376998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6139970.8603376998</v>
      </c>
      <c r="F45" s="561">
        <f t="shared" si="2"/>
        <v>6139970.8603376998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6139970.8603376998</v>
      </c>
      <c r="F46" s="561">
        <f t="shared" si="2"/>
        <v>6139970.8603376998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6139970.8603376998</v>
      </c>
      <c r="F47" s="561">
        <f t="shared" si="2"/>
        <v>6139970.8603376998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6139970.8603376998</v>
      </c>
      <c r="F48" s="561">
        <f t="shared" si="2"/>
        <v>6139970.8603376998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6139970.8603376998</v>
      </c>
      <c r="F49" s="561">
        <f t="shared" si="2"/>
        <v>6139970.8603376998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6139970.8603376998</v>
      </c>
      <c r="F50" s="561">
        <f t="shared" si="2"/>
        <v>6139970.8603376998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1088</v>
      </c>
      <c r="H54" s="1504"/>
    </row>
    <row r="55" spans="2:28">
      <c r="D55" s="1500" t="s">
        <v>1063</v>
      </c>
      <c r="E55" s="1509">
        <f>'Cash Flow'!K15/0.05</f>
        <v>229404846.29925629</v>
      </c>
      <c r="F55" s="561"/>
      <c r="G55" s="1508" t="s">
        <v>1063</v>
      </c>
      <c r="H55" s="1512">
        <f>'Cash Flow'!N15/0.05</f>
        <v>247043928.30923501</v>
      </c>
    </row>
    <row r="56" spans="2:28">
      <c r="D56" s="1498" t="s">
        <v>1064</v>
      </c>
      <c r="E56" s="1510">
        <f>'Cash Flow'!K21/1.2</f>
        <v>7107043.5540867597</v>
      </c>
      <c r="F56" s="561"/>
      <c r="G56" s="1506" t="s">
        <v>1064</v>
      </c>
      <c r="H56" s="1513">
        <f>'Cash Flow'!N21/1.2</f>
        <v>7641735.0092345802</v>
      </c>
    </row>
    <row r="57" spans="2:28">
      <c r="D57" s="1498" t="s">
        <v>1065</v>
      </c>
      <c r="E57" s="1510">
        <f>E55*0.6</f>
        <v>137642907.77955377</v>
      </c>
      <c r="F57" s="561"/>
      <c r="G57" s="1506" t="s">
        <v>1065</v>
      </c>
      <c r="H57" s="1513">
        <f>H55*0.6</f>
        <v>148226356.98554099</v>
      </c>
    </row>
    <row r="58" spans="2:28">
      <c r="D58" s="1498" t="s">
        <v>1066</v>
      </c>
      <c r="E58" s="1510">
        <f>-PV(6.5%,34,E56)</f>
        <v>96489550.910290688</v>
      </c>
      <c r="F58" s="561"/>
      <c r="G58" s="1506" t="s">
        <v>1066</v>
      </c>
      <c r="H58" s="1513">
        <f>-PV(6.5%,30,H56)</f>
        <v>99790940.845150292</v>
      </c>
    </row>
    <row r="59" spans="2:28">
      <c r="D59" s="1497" t="s">
        <v>1067</v>
      </c>
      <c r="E59" s="1510">
        <f>E58-H27</f>
        <v>51023246.932654589</v>
      </c>
      <c r="F59" s="561"/>
      <c r="G59" s="1505" t="s">
        <v>1067</v>
      </c>
      <c r="H59" s="1513">
        <f>H58-H30</f>
        <v>72744549.448527291</v>
      </c>
    </row>
    <row r="60" spans="2:28" ht="13.5" thickBot="1">
      <c r="D60" s="1499" t="s">
        <v>1068</v>
      </c>
      <c r="E60" s="1511">
        <f>E59*GapCalc!I33</f>
        <v>43369759.892756402</v>
      </c>
      <c r="F60" s="561"/>
      <c r="G60" s="1507" t="s">
        <v>1068</v>
      </c>
      <c r="H60" s="1514">
        <f>H59*GapCalc!I33</f>
        <v>61832867.031248197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16380000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80891329.5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196461.39239999998</v>
      </c>
      <c r="C7" s="1262">
        <f>C4*E4</f>
        <v>970208.98819641001</v>
      </c>
      <c r="D7" s="1254">
        <f>(1-'Rental Income'!O19)</f>
        <v>0.80158730158730163</v>
      </c>
    </row>
    <row r="8" spans="1:5">
      <c r="A8" s="1255" t="s">
        <v>979</v>
      </c>
      <c r="B8" s="1262">
        <f>B7*D7</f>
        <v>157480.95739999998</v>
      </c>
      <c r="C8" s="1262">
        <f>C7*D7</f>
        <v>777707.20482410642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935188.16222410637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98230.696200000006</v>
      </c>
    </row>
    <row r="14" spans="1:5">
      <c r="A14" t="s">
        <v>991</v>
      </c>
      <c r="B14">
        <v>24</v>
      </c>
      <c r="C14" s="1270">
        <f>C3*(E3/12)*B14</f>
        <v>392922.78480000002</v>
      </c>
    </row>
    <row r="15" spans="1:5">
      <c r="A15" s="40" t="s">
        <v>993</v>
      </c>
      <c r="C15" s="1273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10405740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-520566</v>
      </c>
      <c r="E18" s="50"/>
      <c r="F18" s="55">
        <v>0.05</v>
      </c>
    </row>
    <row r="19" spans="1:25">
      <c r="A19" s="40" t="s">
        <v>164</v>
      </c>
      <c r="D19" s="57">
        <f>SUM(D15:D18)</f>
        <v>9890754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935188.16222410637</v>
      </c>
      <c r="Y56" s="1171">
        <f>X56/'Rental Income'!D15</f>
        <v>3711.064135809946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169">
        <f>SUM(X68,X64,X54,X39,X31)</f>
        <v>1455015.2755574398</v>
      </c>
      <c r="Y70" s="1169">
        <f>X70/D10</f>
        <v>5773.8701411009515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171">
        <f>Y70-6000</f>
        <v>-226.12985889904849</v>
      </c>
    </row>
    <row r="75" spans="1:25">
      <c r="A75" s="44" t="s">
        <v>259</v>
      </c>
      <c r="B75" s="45"/>
      <c r="C75" s="45"/>
      <c r="D75" s="52">
        <f>D19-D73</f>
        <v>7722581.4059200007</v>
      </c>
      <c r="E75" s="52">
        <f>D75/D10</f>
        <v>30645.164309206353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245772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366342.57551626547</v>
      </c>
      <c r="C9" s="446">
        <f>'Dev Summary_5-20'!B10</f>
        <v>50000</v>
      </c>
      <c r="D9" s="446">
        <f t="shared" si="0"/>
        <v>316342.57551626547</v>
      </c>
      <c r="E9" s="477">
        <f t="shared" si="1"/>
        <v>0.86351572724099057</v>
      </c>
      <c r="F9" s="477"/>
      <c r="G9" s="473" t="e">
        <f t="shared" si="2"/>
        <v>#REF!</v>
      </c>
      <c r="I9" s="53">
        <f t="shared" si="3"/>
        <v>3330.3870501478677</v>
      </c>
      <c r="J9" s="53">
        <f t="shared" si="4"/>
        <v>1.4905789736677306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107165555.64042634</v>
      </c>
      <c r="C21" s="48">
        <v>18731659</v>
      </c>
      <c r="D21" s="48">
        <f>B21-C21</f>
        <v>88433896.640426338</v>
      </c>
      <c r="E21" s="55">
        <f>D21/B21</f>
        <v>0.82520821276893741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16256555.640426338</v>
      </c>
      <c r="C28" s="50"/>
      <c r="D28" s="50">
        <f t="shared" si="5"/>
        <v>16256555.640426338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111390578.06249999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100751.52025624999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90676.368230624998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802579.41493229149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111390578.06249999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25619.832954375001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1019627.1363735414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89112462.449999988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122057.76818749998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89112462.449999988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129145.26818749998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5" t="s">
        <v>455</v>
      </c>
      <c r="B5" s="1606"/>
      <c r="C5" s="1606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7"/>
      <c r="B6" s="1608"/>
      <c r="C6" s="1608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5" t="s">
        <v>469</v>
      </c>
      <c r="B5" s="1606"/>
      <c r="C5" s="1606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7"/>
      <c r="B6" s="1608"/>
      <c r="C6" s="1608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387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366342.57551626547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90909000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-8314692.5100000016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5"/>
      <c r="B5" s="1606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7"/>
      <c r="B6" s="1609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5"/>
      <c r="B39" s="1606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7"/>
      <c r="B40" s="1609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5"/>
      <c r="B72" s="1606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7"/>
      <c r="B73" s="1608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0" t="s">
        <v>589</v>
      </c>
      <c r="D74" s="1611"/>
      <c r="E74" s="1611"/>
      <c r="F74" s="1611"/>
      <c r="G74" s="1611"/>
      <c r="H74" s="1611"/>
      <c r="I74" s="1612"/>
      <c r="J74" s="1613" t="s">
        <v>582</v>
      </c>
      <c r="K74" s="1614"/>
      <c r="L74" s="1614"/>
      <c r="M74" s="1614"/>
      <c r="N74" s="1614"/>
      <c r="O74" s="1615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8">
        <f>'PreDev Flow of Funds'!D47</f>
        <v>14824249.954999998</v>
      </c>
      <c r="D114" s="1617"/>
    </row>
    <row r="115" spans="2:19">
      <c r="B115" s="397" t="s">
        <v>600</v>
      </c>
      <c r="C115" s="1619">
        <f>M102</f>
        <v>1323400.22</v>
      </c>
      <c r="D115" s="1617"/>
    </row>
    <row r="116" spans="2:19">
      <c r="B116" s="397" t="s">
        <v>582</v>
      </c>
      <c r="C116" s="1619">
        <f>'Development Budget'!G37-Predevelopment!D27-Predevelopment!D28-Predevelopment!D29-Timeline!M102-Predevelopment!D17</f>
        <v>-7034823.5549999988</v>
      </c>
      <c r="D116" s="1617"/>
    </row>
    <row r="117" spans="2:19" ht="16.5" thickBot="1">
      <c r="B117" s="398" t="s">
        <v>601</v>
      </c>
      <c r="C117" s="1620">
        <f>C118-C114-C116-C115</f>
        <v>57244460.380000003</v>
      </c>
      <c r="D117" s="1621"/>
    </row>
    <row r="118" spans="2:19" ht="16.5" thickTop="1">
      <c r="B118" s="368" t="s">
        <v>585</v>
      </c>
      <c r="C118" s="1616">
        <v>66357287</v>
      </c>
      <c r="D118" s="1617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