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Recycled Bonds\"/>
    </mc:Choice>
  </mc:AlternateContent>
  <xr:revisionPtr revIDLastSave="0" documentId="13_ncr:1_{1276FA02-679B-4815-92D0-B3F24C62083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M116" i="1"/>
  <c r="M117" i="1"/>
  <c r="M163" i="1"/>
  <c r="E35" i="1"/>
  <c r="D40" i="28" l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5" i="28" a="1"/>
  <c r="D16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<sst xmlns="http://schemas.openxmlformats.org/spreadsheetml/2006/main" count="1995" uniqueCount="1105">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</sst>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9" fontId="1" fillId="0" borderId="73" xfId="3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20" workbookViewId="0">
      <selection activeCell="I25" sqref="I25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151</v>
      </c>
      <c r="E10" s="699"/>
    </row>
    <row r="11" spans="1:5">
      <c r="A11" s="690"/>
      <c r="B11" s="698" t="s">
        <v>11</v>
      </c>
      <c r="C11" s="698"/>
      <c r="D11" s="700">
        <f>D12+D13</f>
        <v>147144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147144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1094</v>
      </c>
      <c r="B14" s="1691"/>
      <c r="C14" s="1691"/>
      <c r="D14" s="1715" t="s">
        <v>1103</v>
      </c>
      <c r="E14" s="700"/>
    </row>
    <row r="15" spans="1:5">
      <c r="A15" s="1582" t="s">
        <v>1091</v>
      </c>
      <c r="B15" s="1678"/>
      <c r="C15" s="1685"/>
      <c r="D15" s="1679" cm="1">
        <f t="array" aca="1" ref="D15" ca="1">IF(D14="Year 7 Takeout", INDIRECT("GapCalc!K46"), INDIRECT("GapCalc!K58"))</f>
        <v>2.3731463188496854E-3</v>
      </c>
      <c r="E15" s="700"/>
    </row>
    <row r="16" spans="1:5">
      <c r="A16" s="1681" t="s">
        <v>1092</v>
      </c>
      <c r="B16" s="702"/>
      <c r="D16" s="1680" cm="1">
        <f t="array" aca="1" ref="D16" ca="1">IF(D14="Year 7 Takeout", INDIRECT("GapCalc!K51"), INDIRECT("GapCalc!K63"))</f>
        <v>2.3731463188496867E-3</v>
      </c>
      <c r="E16" s="700"/>
    </row>
    <row r="17" spans="1:6">
      <c r="A17" s="1686"/>
      <c r="B17" s="702"/>
      <c r="D17" s="1682"/>
      <c r="E17" s="1753" t="s">
        <v>961</v>
      </c>
    </row>
    <row r="18" spans="1:6">
      <c r="A18" s="1683" t="s">
        <v>1093</v>
      </c>
      <c r="B18" s="47"/>
      <c r="C18" s="47"/>
      <c r="D18" s="1684" cm="1">
        <f t="array" aca="1" ref="D18" ca="1">IF(D14="Year 7 Takeout", INDIRECT("GapCalc!I55"), INDIRECT("GapCalc!I67"))</f>
        <v>-14136833.059098896</v>
      </c>
      <c r="E18" s="1754">
        <f ca="1">-D18/D28</f>
        <v>0.14395972675985311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382</v>
      </c>
    </row>
    <row r="21" spans="1:6">
      <c r="A21" s="64"/>
      <c r="B21" s="63" t="s">
        <v>15</v>
      </c>
      <c r="C21" s="63"/>
      <c r="D21" s="1531">
        <f>'Development Budget'!G28</f>
        <v>10055000</v>
      </c>
      <c r="E21" s="1531">
        <f>D21/$D$10</f>
        <v>66589.403973509936</v>
      </c>
    </row>
    <row r="22" spans="1:6">
      <c r="A22" s="64"/>
      <c r="B22" s="4" t="s">
        <v>16</v>
      </c>
      <c r="C22" s="4"/>
      <c r="D22" s="1531">
        <f>'Development Budget'!G44</f>
        <v>60727208.750000007</v>
      </c>
      <c r="E22" s="1531">
        <f t="shared" ref="E22:E28" si="0">D22/$D$10</f>
        <v>402166.94536423846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1863720</v>
      </c>
      <c r="E23" s="1531">
        <f t="shared" si="0"/>
        <v>12342.51655629139</v>
      </c>
    </row>
    <row r="24" spans="1:6">
      <c r="A24" s="64"/>
      <c r="B24" s="4" t="s">
        <v>18</v>
      </c>
      <c r="C24" s="4"/>
      <c r="D24" s="1531">
        <f>'Development Budget'!G97</f>
        <v>2622699</v>
      </c>
      <c r="E24" s="1531">
        <f t="shared" si="0"/>
        <v>17368.867549668874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8925858.1567734703</v>
      </c>
      <c r="E25" s="1531">
        <f t="shared" si="0"/>
        <v>59111.643422340865</v>
      </c>
    </row>
    <row r="26" spans="1:6">
      <c r="A26" s="64"/>
      <c r="B26" s="4" t="s">
        <v>20</v>
      </c>
      <c r="C26" s="4"/>
      <c r="D26" s="1531">
        <f>'Development Budget'!G181</f>
        <v>3913127.6579796812</v>
      </c>
      <c r="E26" s="1531">
        <f t="shared" si="0"/>
        <v>25914.752701852194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10092302.323398679</v>
      </c>
      <c r="E27" s="1532">
        <f t="shared" si="0"/>
        <v>66836.439227805822</v>
      </c>
    </row>
    <row r="28" spans="1:6" ht="16.5" thickTop="1">
      <c r="A28" s="4"/>
      <c r="B28" s="4"/>
      <c r="C28" s="150" t="s">
        <v>14</v>
      </c>
      <c r="D28" s="1533">
        <f>SUM(D21:D27)</f>
        <v>98199915.888151839</v>
      </c>
      <c r="E28" s="1531">
        <f t="shared" si="0"/>
        <v>650330.56879570754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382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63829945.327298701</v>
      </c>
      <c r="E32" s="1586">
        <f t="shared" si="1"/>
        <v>422714.86971720995</v>
      </c>
    </row>
    <row r="33" spans="1:5">
      <c r="A33" s="64"/>
      <c r="B33" s="4" t="s">
        <v>1051</v>
      </c>
      <c r="C33" s="4"/>
      <c r="D33" s="1587">
        <f>GapCalc!D29</f>
        <v>5155495.5841279719</v>
      </c>
      <c r="E33" s="1586">
        <f>D33/$D$10</f>
        <v>34142.354861774649</v>
      </c>
    </row>
    <row r="34" spans="1:5">
      <c r="A34" s="65"/>
      <c r="B34" s="4" t="s">
        <v>26</v>
      </c>
      <c r="C34" s="4"/>
      <c r="D34" s="1587">
        <f>GapCalc!D30</f>
        <v>29214474.976725172</v>
      </c>
      <c r="E34" s="1586">
        <f>D34/$D$10</f>
        <v>193473.344216723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98199915.888151854</v>
      </c>
      <c r="E36" s="1586">
        <f>D36/$D$10</f>
        <v>650330.56879570766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382</v>
      </c>
    </row>
    <row r="39" spans="1:5">
      <c r="A39" s="60"/>
      <c r="B39" s="4" t="s">
        <v>1047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995</v>
      </c>
      <c r="C40" s="4"/>
      <c r="D40" s="1586">
        <f>GapCalc!D37</f>
        <v>60633092.284415692</v>
      </c>
      <c r="E40" s="1586">
        <f t="shared" ref="E40" si="2">D40/$D$10</f>
        <v>401543.65751268668</v>
      </c>
    </row>
    <row r="41" spans="1:5">
      <c r="A41" s="60"/>
      <c r="B41" s="4" t="s">
        <v>1051</v>
      </c>
      <c r="C41" s="4"/>
      <c r="D41" s="1591">
        <f>GapCalc!D29+GapCalc!D38</f>
        <v>5635023.5405604234</v>
      </c>
      <c r="E41" s="1586">
        <f>D41/$D$10</f>
        <v>37318.036692453134</v>
      </c>
    </row>
    <row r="42" spans="1:5">
      <c r="A42" s="60"/>
      <c r="B42" s="1557" t="s">
        <v>26</v>
      </c>
      <c r="C42" s="4"/>
      <c r="D42" s="1592">
        <f>GapCalc!D30+GapCalc!D39</f>
        <v>31931800.06317573</v>
      </c>
      <c r="E42" s="1586">
        <f>D42/$D$10</f>
        <v>211468.87459056775</v>
      </c>
    </row>
    <row r="43" spans="1:5">
      <c r="A43" s="60"/>
      <c r="B43" s="1714" t="s">
        <v>1102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98199915.888151854</v>
      </c>
      <c r="E45" s="1588">
        <f>D45/$D$10</f>
        <v>650330.56879570766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37" zoomScaleNormal="100" workbookViewId="0">
      <selection activeCell="F45" sqref="F45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147144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147144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10055000</v>
      </c>
      <c r="E17" s="1531">
        <f>D17/$D$11</f>
        <v>66589.403973509936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60727208.750000007</v>
      </c>
      <c r="E18" s="1531">
        <f t="shared" ref="E18:E24" si="0">D18/$D$11</f>
        <v>402166.94536423846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1863720</v>
      </c>
      <c r="E19" s="1531">
        <f t="shared" si="0"/>
        <v>12342.51655629139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2622699</v>
      </c>
      <c r="E20" s="1531">
        <f t="shared" si="0"/>
        <v>17368.867549668874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8925858.1567734703</v>
      </c>
      <c r="E21" s="1531">
        <f t="shared" si="0"/>
        <v>59111.643422340865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3913127.6579796812</v>
      </c>
      <c r="E22" s="1531">
        <f t="shared" si="0"/>
        <v>25914.752701852194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10092302.323398679</v>
      </c>
      <c r="E23" s="1532">
        <f t="shared" si="0"/>
        <v>66836.439227805822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98199915.888151839</v>
      </c>
      <c r="E24" s="1531">
        <f t="shared" si="0"/>
        <v>650330.56879570754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382</v>
      </c>
      <c r="G26" s="1515" t="s">
        <v>1050</v>
      </c>
      <c r="H26" s="1437">
        <f>SUM(D29:D30)/H34</f>
        <v>0.91490222658683684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981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63829945.327298701</v>
      </c>
      <c r="E28" s="1586">
        <f t="shared" si="1"/>
        <v>422714.86971720995</v>
      </c>
      <c r="F28" s="62"/>
      <c r="G28" s="1419" t="s">
        <v>608</v>
      </c>
      <c r="H28" s="1608">
        <f>H32/D11</f>
        <v>37318.036692453134</v>
      </c>
      <c r="I28" s="703"/>
    </row>
    <row r="29" spans="1:10" ht="15.75">
      <c r="A29" s="64"/>
      <c r="B29" s="4" t="s">
        <v>1051</v>
      </c>
      <c r="C29" s="4"/>
      <c r="D29" s="1587">
        <v>5155495.5841279719</v>
      </c>
      <c r="E29" s="1586">
        <f>D29/$D$11</f>
        <v>34142.354861774649</v>
      </c>
      <c r="F29" s="520"/>
      <c r="G29" s="1420" t="s">
        <v>971</v>
      </c>
      <c r="H29" s="1609">
        <f>H33/D11</f>
        <v>211468.87459056775</v>
      </c>
      <c r="I29" s="703"/>
    </row>
    <row r="30" spans="1:10" ht="16.5" thickBot="1">
      <c r="A30" s="65"/>
      <c r="B30" s="4" t="s">
        <v>26</v>
      </c>
      <c r="C30" s="4"/>
      <c r="D30" s="1587">
        <v>29214474.976725172</v>
      </c>
      <c r="E30" s="1586">
        <f>D30/$D$11</f>
        <v>193473.344216723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1000</v>
      </c>
      <c r="H31" s="1610"/>
      <c r="I31" s="1439"/>
      <c r="J31" s="690"/>
    </row>
    <row r="32" spans="1:10" ht="16.5" thickBot="1">
      <c r="A32" s="1433"/>
      <c r="B32" s="67" t="s">
        <v>997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608</v>
      </c>
      <c r="H32" s="1611">
        <f>D29+D38</f>
        <v>5635023.5405604234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98199915.888151854</v>
      </c>
      <c r="E33" s="1586">
        <f>D33/$D$11</f>
        <v>650330.56879570766</v>
      </c>
      <c r="F33" s="62"/>
      <c r="G33" s="1441" t="s">
        <v>971</v>
      </c>
      <c r="H33" s="1611">
        <f>D30+D39</f>
        <v>31931800.06317573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37566823.603736155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382</v>
      </c>
      <c r="F35" s="68"/>
      <c r="G35" s="1339"/>
      <c r="H35" s="1603"/>
      <c r="I35" s="1341" t="s">
        <v>961</v>
      </c>
      <c r="J35" s="690"/>
    </row>
    <row r="36" spans="1:12" ht="16.5" thickBot="1">
      <c r="A36" s="60"/>
      <c r="B36" s="4" t="s">
        <v>1047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0.38255453952245921</v>
      </c>
      <c r="J36" s="704"/>
    </row>
    <row r="37" spans="1:12" ht="16.5" thickBot="1">
      <c r="A37" s="60"/>
      <c r="B37" s="4" t="s">
        <v>995</v>
      </c>
      <c r="C37" s="4"/>
      <c r="D37" s="1586">
        <f>Data!C38</f>
        <v>60633092.284415692</v>
      </c>
      <c r="E37" s="1586">
        <f t="shared" ref="E37" si="2">D37/$D$11</f>
        <v>401543.65751268668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1051</v>
      </c>
      <c r="C38" s="4"/>
      <c r="D38" s="1591">
        <v>479527.95643245126</v>
      </c>
      <c r="E38" s="1586">
        <f>D38/$D$11</f>
        <v>3175.6818306784853</v>
      </c>
      <c r="F38" s="62"/>
      <c r="G38" s="1434" t="s">
        <v>998</v>
      </c>
      <c r="H38" s="1615" t="s">
        <v>982</v>
      </c>
      <c r="I38" s="1442" t="s">
        <v>1002</v>
      </c>
      <c r="J38" s="690"/>
    </row>
    <row r="39" spans="1:12" ht="15.75">
      <c r="A39" s="60"/>
      <c r="B39" s="1557" t="s">
        <v>26</v>
      </c>
      <c r="C39" s="4"/>
      <c r="D39" s="1592">
        <v>2717325.0864505572</v>
      </c>
      <c r="E39" s="1586">
        <f>D39/$D$11</f>
        <v>17995.530373844751</v>
      </c>
      <c r="F39" s="62"/>
      <c r="G39" s="1435" t="s">
        <v>608</v>
      </c>
      <c r="H39" s="1616">
        <f>-D32*0.15</f>
        <v>0</v>
      </c>
      <c r="I39" s="1596">
        <f>D29+H39</f>
        <v>5155495.5841279719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971</v>
      </c>
      <c r="H40" s="1617">
        <f>-D32*0.85</f>
        <v>0</v>
      </c>
      <c r="I40" s="1597">
        <f>D30+H40</f>
        <v>29214474.976725172</v>
      </c>
      <c r="J40" s="690"/>
    </row>
    <row r="41" spans="1:12" ht="16.5" thickBot="1">
      <c r="A41" s="66"/>
      <c r="B41" s="67" t="s">
        <v>997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63829945.327298701</v>
      </c>
      <c r="E42" s="1586">
        <f>D42/$D$11</f>
        <v>422714.86971720995</v>
      </c>
      <c r="G42" s="1434" t="s">
        <v>999</v>
      </c>
      <c r="H42" s="1615" t="s">
        <v>982</v>
      </c>
      <c r="I42" s="1599" t="s">
        <v>1002</v>
      </c>
      <c r="J42" s="690"/>
    </row>
    <row r="43" spans="1:12" ht="15.75">
      <c r="A43" s="65"/>
      <c r="B43" s="60"/>
      <c r="C43" s="60"/>
      <c r="D43" s="61"/>
      <c r="E43" s="61"/>
      <c r="G43" s="1435" t="s">
        <v>608</v>
      </c>
      <c r="H43" s="1616">
        <f>-D41*0.15</f>
        <v>0</v>
      </c>
      <c r="I43" s="1596">
        <f>D38+H43</f>
        <v>479527.95643245126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971</v>
      </c>
      <c r="H44" s="1616">
        <f>-D41*0.85</f>
        <v>0</v>
      </c>
      <c r="I44" s="1596">
        <f>D39+H44</f>
        <v>2717325.0864505572</v>
      </c>
      <c r="J44" s="690"/>
    </row>
    <row r="45" spans="1:12" ht="15.75">
      <c r="A45" s="60"/>
      <c r="D45" s="159"/>
      <c r="E45" s="159"/>
      <c r="G45" s="4"/>
      <c r="H45" s="1705" t="s">
        <v>1095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1061</v>
      </c>
      <c r="I46" s="1600">
        <f>'Cash Flow'!C66</f>
        <v>19915491.962941669</v>
      </c>
      <c r="J46" s="1582" t="s">
        <v>1083</v>
      </c>
      <c r="K46" s="1583">
        <f>'Cash Flow'!C76</f>
        <v>2.3731463188496854E-3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1062</v>
      </c>
      <c r="I47" s="1601">
        <f>'Cash Flow'!C80</f>
        <v>5960250.6640885817</v>
      </c>
      <c r="J47" s="1584" t="s">
        <v>1098</v>
      </c>
      <c r="K47" s="1607">
        <f>'Cash Flow'!C70</f>
        <v>32462251.899594918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1059</v>
      </c>
      <c r="I48" s="1602">
        <f>I46-H33</f>
        <v>-12016308.100234061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1070</v>
      </c>
      <c r="I51" s="1604">
        <f>'Cash Flow'!H66</f>
        <v>3514498.5816955888</v>
      </c>
      <c r="J51" s="1585" t="s">
        <v>1083</v>
      </c>
      <c r="K51" s="1618">
        <f>'Cash Flow'!H76</f>
        <v>2.3731463188496867E-3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1071</v>
      </c>
      <c r="I52" s="1605">
        <f>H32</f>
        <v>5635023.5405604234</v>
      </c>
      <c r="J52" s="1584" t="s">
        <v>1097</v>
      </c>
      <c r="K52" s="1607">
        <f>'Cash Flow'!H70</f>
        <v>5728632.6881638095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1059</v>
      </c>
      <c r="I53" s="1606">
        <f>I51-I52</f>
        <v>-2120524.9588648346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1075</v>
      </c>
      <c r="I55" s="1711">
        <f>I48+I53</f>
        <v>-14136833.059098896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1096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1061</v>
      </c>
      <c r="I58" s="1600">
        <f>'Cash Flow'!C93</f>
        <v>29359268.184658453</v>
      </c>
      <c r="J58" s="1582" t="s">
        <v>1083</v>
      </c>
      <c r="K58" s="1583">
        <f>'Cash Flow'!C103</f>
        <v>4.9868178575316641E-2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1062</v>
      </c>
      <c r="I59" s="1601">
        <f>'Cash Flow'!C92</f>
        <v>0</v>
      </c>
      <c r="J59" s="1584" t="s">
        <v>1097</v>
      </c>
      <c r="K59" s="1607">
        <f>'Cash Flow'!C97</f>
        <v>47855607.140993275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1059</v>
      </c>
      <c r="I60" s="1602">
        <f>I58-H33</f>
        <v>-2572531.8785172775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1070</v>
      </c>
      <c r="I63" s="1604">
        <f>'Cash Flow'!H93</f>
        <v>3980817.5923495847</v>
      </c>
      <c r="J63" s="1585" t="s">
        <v>1083</v>
      </c>
      <c r="K63" s="1618">
        <f>'Cash Flow'!H103</f>
        <v>1.5150054455397979E-2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1071</v>
      </c>
      <c r="I64" s="1605">
        <f>H32</f>
        <v>5635023.5405604234</v>
      </c>
      <c r="J64" s="1584" t="s">
        <v>1097</v>
      </c>
      <c r="K64" s="1607">
        <f>'Cash Flow'!H97</f>
        <v>6488732.6755298227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1059</v>
      </c>
      <c r="I65" s="1606">
        <f>I63-I64</f>
        <v>-1654205.9482108387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1075</v>
      </c>
      <c r="I67" s="1701">
        <f>I60+I65</f>
        <v>-4226737.8267281167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9" zoomScale="130" zoomScaleNormal="130" workbookViewId="0">
      <selection activeCell="P27" sqref="P27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0.19867549668874171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30</v>
      </c>
      <c r="O8" s="521">
        <f t="shared" si="0"/>
        <v>0.19867549668874171</v>
      </c>
      <c r="Q8" s="283">
        <f>SUM(O10:O15)</f>
        <v>0.79470198675496684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33</v>
      </c>
      <c r="E9" s="278">
        <f>IF(D9="","",D9/D$15)</f>
        <v>0.2185430463576159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0</v>
      </c>
      <c r="O9" s="332">
        <f t="shared" si="0"/>
        <v>0</v>
      </c>
    </row>
    <row r="10" spans="2:19" ht="12.75" customHeight="1">
      <c r="B10" s="268"/>
      <c r="C10" s="209" t="s">
        <v>52</v>
      </c>
      <c r="D10" s="210">
        <f>SUM(E24,E33,E42,E51,E60,E78,E69,E87,E96,E116,E106)</f>
        <v>26</v>
      </c>
      <c r="E10" s="278">
        <f>IF(D10="","",D10/D$15)</f>
        <v>0.17218543046357615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92</v>
      </c>
      <c r="E11" s="278">
        <f>IF(D11="","",D11/D$15)</f>
        <v>0.60927152317880795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120</v>
      </c>
      <c r="O13" s="332">
        <f>N13/$N$18</f>
        <v>0.79470198675496684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151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150</v>
      </c>
      <c r="O16" s="283">
        <f>SUM(O7:O15)</f>
        <v>0.99337748344370858</v>
      </c>
    </row>
    <row r="17" spans="2:21" ht="12.75" customHeight="1">
      <c r="B17" s="268"/>
      <c r="C17" s="201" t="s">
        <v>61</v>
      </c>
      <c r="E17" s="284">
        <f>SUM(J28+J37,J46,J55,J64,J82,J91,J73,J100,J120,J110)</f>
        <v>122620</v>
      </c>
      <c r="F17" s="284"/>
      <c r="G17" s="222"/>
      <c r="H17" s="228"/>
      <c r="K17" s="233"/>
      <c r="M17" s="285" t="s">
        <v>62</v>
      </c>
      <c r="N17" s="284">
        <f>E120</f>
        <v>1</v>
      </c>
      <c r="O17" s="332">
        <f t="shared" si="0"/>
        <v>6.6225165562913907E-3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520235</v>
      </c>
      <c r="F18" s="285"/>
      <c r="H18" s="286"/>
      <c r="I18" s="287"/>
      <c r="K18" s="226"/>
      <c r="M18" s="328" t="s">
        <v>10</v>
      </c>
      <c r="N18" s="1423">
        <f>N17+N16</f>
        <v>151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0.19867549668874171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15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6000</v>
      </c>
      <c r="K32" s="292">
        <f>E32*I32</f>
        <v>18195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8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5360</v>
      </c>
      <c r="K33" s="292">
        <f>E33*I33</f>
        <v>10400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7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7000</v>
      </c>
      <c r="K34" s="292">
        <f>E34*I34</f>
        <v>10920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30</v>
      </c>
      <c r="F37" s="241"/>
      <c r="G37" s="241"/>
      <c r="H37" s="243"/>
      <c r="I37" s="241"/>
      <c r="J37" s="293">
        <f>SUM(J32:J36)</f>
        <v>18360</v>
      </c>
      <c r="K37" s="294">
        <f>SUM(K32:K36)</f>
        <v>39515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0</v>
      </c>
      <c r="K41" s="292">
        <f>E41*I41</f>
        <v>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0</v>
      </c>
      <c r="K42" s="292">
        <f>E42*I42</f>
        <v>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0</v>
      </c>
      <c r="K43" s="292">
        <f>E43*I43</f>
        <v>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59</v>
      </c>
      <c r="D46" s="245"/>
      <c r="E46" s="309">
        <f>SUM(E41:E45)</f>
        <v>0</v>
      </c>
      <c r="F46" s="203"/>
      <c r="G46" s="203"/>
      <c r="H46" s="246"/>
      <c r="I46" s="247"/>
      <c r="J46" s="296">
        <f>SUM(J41:J45)</f>
        <v>0</v>
      </c>
      <c r="K46" s="297">
        <f>SUM(K41:K45)</f>
        <v>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7200</v>
      </c>
      <c r="K50" s="292">
        <f>E50*I50</f>
        <v>43200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12060</v>
      </c>
      <c r="K51" s="292">
        <f>E51*I51</f>
        <v>56160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84000</v>
      </c>
      <c r="K52" s="292">
        <f>E52*I52</f>
        <v>381360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59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151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13" zoomScaleNormal="100" workbookViewId="0">
      <selection activeCell="N152" sqref="N152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988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722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723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724</v>
      </c>
      <c r="AK11" s="978"/>
      <c r="AL11" s="979"/>
      <c r="AM11" s="980"/>
      <c r="AN11" s="981"/>
      <c r="AO11" s="981"/>
      <c r="AP11" s="980"/>
      <c r="AQ11" s="982" t="s">
        <v>725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84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347</v>
      </c>
      <c r="D15" s="1000"/>
      <c r="E15" s="987"/>
      <c r="F15" s="987"/>
      <c r="G15" s="987" t="s">
        <v>726</v>
      </c>
      <c r="I15" s="993" t="s">
        <v>382</v>
      </c>
      <c r="J15" s="988"/>
      <c r="K15" s="987" t="s">
        <v>727</v>
      </c>
      <c r="L15" s="988"/>
      <c r="M15" s="1001" t="s">
        <v>728</v>
      </c>
      <c r="N15" s="1002"/>
      <c r="P15" s="1003" t="s">
        <v>729</v>
      </c>
      <c r="Q15" s="1004"/>
      <c r="R15" s="1004"/>
      <c r="S15" s="1004"/>
      <c r="U15" s="995" t="s">
        <v>730</v>
      </c>
      <c r="V15" s="995" t="s">
        <v>731</v>
      </c>
      <c r="X15" s="995" t="s">
        <v>732</v>
      </c>
      <c r="Z15" s="995" t="s">
        <v>733</v>
      </c>
      <c r="AB15" s="995" t="s">
        <v>734</v>
      </c>
      <c r="AD15" s="996" t="s">
        <v>735</v>
      </c>
      <c r="AF15" s="996" t="s">
        <v>736</v>
      </c>
      <c r="AH15" s="997" t="s">
        <v>737</v>
      </c>
      <c r="AJ15" s="1005" t="s">
        <v>738</v>
      </c>
      <c r="AL15" s="997" t="s">
        <v>739</v>
      </c>
      <c r="AN15" s="996" t="s">
        <v>740</v>
      </c>
      <c r="AO15" s="996" t="s">
        <v>741</v>
      </c>
      <c r="AQ15" s="996" t="s">
        <v>742</v>
      </c>
      <c r="AR15" s="996" t="s">
        <v>743</v>
      </c>
      <c r="AS15" s="996" t="s">
        <v>744</v>
      </c>
      <c r="AT15" s="996" t="s">
        <v>745</v>
      </c>
      <c r="AU15" s="996" t="s">
        <v>746</v>
      </c>
      <c r="AV15" s="996" t="s">
        <v>747</v>
      </c>
      <c r="AW15" s="996" t="s">
        <v>748</v>
      </c>
      <c r="AX15" s="996" t="s">
        <v>749</v>
      </c>
      <c r="AY15" s="996" t="s">
        <v>750</v>
      </c>
      <c r="AZ15" s="996" t="s">
        <v>751</v>
      </c>
      <c r="BA15" s="996" t="s">
        <v>752</v>
      </c>
      <c r="BB15" s="996" t="s">
        <v>753</v>
      </c>
      <c r="BC15" s="996" t="s">
        <v>754</v>
      </c>
      <c r="BD15" s="996" t="s">
        <v>755</v>
      </c>
      <c r="BE15" s="996" t="s">
        <v>756</v>
      </c>
      <c r="BF15" s="996" t="s">
        <v>757</v>
      </c>
      <c r="BG15" s="996" t="s">
        <v>758</v>
      </c>
      <c r="BH15" s="996" t="s">
        <v>759</v>
      </c>
      <c r="BI15" s="996" t="s">
        <v>760</v>
      </c>
      <c r="BJ15" s="996" t="s">
        <v>761</v>
      </c>
      <c r="BK15" s="996" t="s">
        <v>762</v>
      </c>
      <c r="BL15" s="996" t="s">
        <v>763</v>
      </c>
      <c r="BM15" s="996" t="s">
        <v>764</v>
      </c>
      <c r="BN15" s="996" t="s">
        <v>765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87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994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640</v>
      </c>
      <c r="D18" s="842"/>
      <c r="E18" s="844">
        <f>N18</f>
        <v>9880000</v>
      </c>
      <c r="F18" s="845"/>
      <c r="G18" s="1392">
        <f>E18</f>
        <v>9880000</v>
      </c>
      <c r="H18" s="950"/>
      <c r="I18" s="950">
        <f>G18/$F$9</f>
        <v>65430.463576158938</v>
      </c>
      <c r="J18" s="1015"/>
      <c r="K18" s="1016"/>
      <c r="L18" s="1016"/>
      <c r="M18" s="1431">
        <f>F9*N17</f>
        <v>9815000</v>
      </c>
      <c r="N18" s="1674">
        <v>9880000</v>
      </c>
      <c r="O18" s="1017"/>
      <c r="P18" s="1018"/>
      <c r="Q18" s="855" t="s">
        <v>766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9880000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641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165.56291390728478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767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642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768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643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644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645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993.37748344370857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646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647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648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769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770</v>
      </c>
      <c r="D28" s="1329"/>
      <c r="E28" s="1330"/>
      <c r="F28" s="1331"/>
      <c r="G28" s="1332">
        <f>SUM(G18:G27)</f>
        <v>10055000</v>
      </c>
      <c r="H28" s="1333"/>
      <c r="I28" s="1325">
        <f t="shared" si="0"/>
        <v>66589.403973509936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10055000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90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707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708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94</v>
      </c>
      <c r="D32" s="842"/>
      <c r="E32" s="1043"/>
      <c r="F32" s="1044"/>
      <c r="G32" s="1038">
        <f>F33+F35</f>
        <v>48461767</v>
      </c>
      <c r="H32" s="1039"/>
      <c r="I32" s="950">
        <f t="shared" si="0"/>
        <v>320938.85430463578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53307943.700000003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669</v>
      </c>
      <c r="E33" s="1063">
        <v>300</v>
      </c>
      <c r="F33" s="1064">
        <f>E33*'Construction Calculation'!C14</f>
        <v>44143200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709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691</v>
      </c>
      <c r="E35" s="1068">
        <f>'Construction Calculation'!G49</f>
        <v>143</v>
      </c>
      <c r="F35" s="1064">
        <f>'Construction Calculation'!I55</f>
        <v>4318567.0000000009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710</v>
      </c>
      <c r="E36" s="1048">
        <v>0.1</v>
      </c>
      <c r="F36" s="1049">
        <f>E36*(G32+G31+G30)</f>
        <v>4846176.7</v>
      </c>
      <c r="G36" s="854">
        <f>F36</f>
        <v>4846176.7</v>
      </c>
      <c r="H36" s="950"/>
      <c r="I36" s="950">
        <f t="shared" si="0"/>
        <v>32093.885430463579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711</v>
      </c>
      <c r="D37" s="842"/>
      <c r="E37" s="1048">
        <v>7.0000000000000007E-2</v>
      </c>
      <c r="F37"/>
      <c r="G37" s="1071">
        <f>SUM($G$29:$G$32,$G$20,$G$21)*E37</f>
        <v>3392323.6900000004</v>
      </c>
      <c r="H37" s="1072"/>
      <c r="I37" s="950">
        <f t="shared" si="0"/>
        <v>22465.719801324507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3392323.6900000004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712</v>
      </c>
      <c r="D38" s="842"/>
      <c r="E38" s="1048">
        <v>0.05</v>
      </c>
      <c r="F38"/>
      <c r="G38" s="1071">
        <f>SUM($G$29:$G$32,$G$20,$G$21)*E38</f>
        <v>2423088.35</v>
      </c>
      <c r="H38" s="1072"/>
      <c r="I38" s="950">
        <f t="shared" si="0"/>
        <v>16046.942715231789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2423088.35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713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714</v>
      </c>
      <c r="D40" s="842"/>
      <c r="E40" s="1048">
        <v>1.4999999999999999E-2</v>
      </c>
      <c r="F40"/>
      <c r="G40" s="1071">
        <f>SUM($G$29:$G$32,$G$20,$G$21)*E40</f>
        <v>726926.505</v>
      </c>
      <c r="H40" s="1072"/>
      <c r="I40" s="950">
        <f t="shared" si="0"/>
        <v>4814.0828145695368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726926.505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715</v>
      </c>
      <c r="D41" s="842"/>
      <c r="E41" s="1048">
        <v>1.4999999999999999E-2</v>
      </c>
      <c r="F41" s="1074"/>
      <c r="G41" s="1071">
        <f>SUM($G$29:$G$33,$G$20,$G$21)*E41</f>
        <v>726926.505</v>
      </c>
      <c r="H41" s="1072"/>
      <c r="I41" s="950">
        <f t="shared" si="0"/>
        <v>4814.0828145695368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726926.505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224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716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717</v>
      </c>
      <c r="D44" s="1320"/>
      <c r="E44" s="1321"/>
      <c r="F44" s="1322"/>
      <c r="G44" s="1323">
        <f>SUM(G30:G43)+G23+G24</f>
        <v>60727208.750000007</v>
      </c>
      <c r="H44" s="1324"/>
      <c r="I44" s="1325">
        <f t="shared" si="0"/>
        <v>402166.94536423846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60727208.750000007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718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719</v>
      </c>
      <c r="D46" s="1335"/>
      <c r="E46" s="1336"/>
      <c r="F46" s="1337"/>
      <c r="G46" s="1332">
        <f>SUM(G44:G45)</f>
        <v>60727208.750000007</v>
      </c>
      <c r="H46" s="1333"/>
      <c r="I46" s="1325">
        <f t="shared" si="0"/>
        <v>402166.94536423846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60727208.750000007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720</v>
      </c>
      <c r="D47" s="842"/>
      <c r="E47" s="1085">
        <v>0.1</v>
      </c>
      <c r="F47" s="1086">
        <v>0.15</v>
      </c>
      <c r="G47" s="1038">
        <f>(E47*G46)</f>
        <v>6072720.8750000009</v>
      </c>
      <c r="H47" s="1039"/>
      <c r="I47" s="950">
        <f t="shared" si="0"/>
        <v>40216.694536423849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6072720.8750000009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721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771</v>
      </c>
      <c r="E49" s="1047"/>
      <c r="F49" s="1091">
        <f>335*F9</f>
        <v>50585</v>
      </c>
      <c r="G49" s="1092">
        <f>F49</f>
        <v>50585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772</v>
      </c>
      <c r="E50" s="1047">
        <v>0</v>
      </c>
      <c r="F50" s="1091">
        <f>368*F9</f>
        <v>55568</v>
      </c>
      <c r="G50" s="1092">
        <f>F50</f>
        <v>55568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773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8.112582781456954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774</v>
      </c>
      <c r="D52" s="841"/>
      <c r="E52" s="1098"/>
      <c r="F52" s="1099"/>
      <c r="G52" s="1100">
        <f>SUM(F49:F51)</f>
        <v>107378</v>
      </c>
      <c r="H52" s="1101"/>
      <c r="I52" s="950">
        <f t="shared" si="0"/>
        <v>711.11258278145692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107378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775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385</v>
      </c>
      <c r="D54" s="842"/>
      <c r="E54" s="1107"/>
      <c r="F54" s="1076"/>
      <c r="G54" s="1038">
        <f>SUM(F55:F56)</f>
        <v>1731800</v>
      </c>
      <c r="H54" s="1039"/>
      <c r="I54" s="950">
        <f t="shared" si="0"/>
        <v>11468.874172185431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776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1089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385</v>
      </c>
      <c r="E56" s="1082">
        <v>0.06</v>
      </c>
      <c r="F56" s="1044">
        <f>M56</f>
        <v>1568000</v>
      </c>
      <c r="G56" s="1110"/>
      <c r="H56" s="1111"/>
      <c r="I56" s="950">
        <f>G56/$F$9</f>
        <v>0</v>
      </c>
      <c r="J56" s="1106"/>
      <c r="K56" s="1113" t="s">
        <v>984</v>
      </c>
      <c r="L56" s="1114"/>
      <c r="M56" s="1670">
        <f>SUM(M57:M58)</f>
        <v>1568000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777</v>
      </c>
      <c r="D57" s="842"/>
      <c r="E57" s="1115">
        <v>6.5000000000000002E-2</v>
      </c>
      <c r="F57" s="1044"/>
      <c r="G57" s="1116">
        <f>E57*F56</f>
        <v>101920</v>
      </c>
      <c r="H57" s="1117"/>
      <c r="I57" s="950">
        <f t="shared" si="0"/>
        <v>674.96688741721857</v>
      </c>
      <c r="J57" s="1015"/>
      <c r="K57" s="1118"/>
      <c r="L57" s="1119"/>
      <c r="M57" s="1120">
        <f>(5000*F9)*1.6</f>
        <v>1208000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101920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778</v>
      </c>
      <c r="D58" s="842"/>
      <c r="E58" s="1122"/>
      <c r="F58" s="1044"/>
      <c r="G58" s="1123">
        <v>30000</v>
      </c>
      <c r="H58" s="1124"/>
      <c r="I58" s="950">
        <f t="shared" si="0"/>
        <v>198.67549668874173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966</v>
      </c>
      <c r="D59" s="841"/>
      <c r="E59" s="1053"/>
      <c r="F59" s="1126"/>
      <c r="G59" s="1127">
        <f>SUM(G54:G58)-SUM(F75:F76,G78:G79,G67:G69)</f>
        <v>1520901.9781249999</v>
      </c>
      <c r="H59" s="1128"/>
      <c r="I59" s="950">
        <f t="shared" si="0"/>
        <v>10072.198530629139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1863720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967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779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385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776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385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777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780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368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781</v>
      </c>
      <c r="D67" s="847"/>
      <c r="E67" s="1133">
        <v>2.5000000000000001E-3</v>
      </c>
      <c r="F67" s="1088"/>
      <c r="G67" s="1038">
        <f>(E67*G46)</f>
        <v>151818.02187500003</v>
      </c>
      <c r="H67" s="1039"/>
      <c r="I67" s="950">
        <f t="shared" si="0"/>
        <v>1005.4173634105963</v>
      </c>
      <c r="J67" s="1134"/>
      <c r="K67" s="1135" t="s">
        <v>782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151818.02187500003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783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46.357615894039732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395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629.13907284768209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784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785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786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787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773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104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165.56291390728478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788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789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790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791</v>
      </c>
      <c r="D78" s="847"/>
      <c r="E78" s="1107"/>
      <c r="F78" s="1044"/>
      <c r="G78" s="1028">
        <v>30000</v>
      </c>
      <c r="H78" s="1146"/>
      <c r="I78" s="950">
        <f t="shared" si="0"/>
        <v>198.67549668874173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792</v>
      </c>
      <c r="D79" s="847"/>
      <c r="E79" s="1107"/>
      <c r="F79" s="1044"/>
      <c r="G79" s="1028">
        <v>34000</v>
      </c>
      <c r="H79" s="1146"/>
      <c r="I79" s="950">
        <f t="shared" si="0"/>
        <v>225.16556291390728</v>
      </c>
      <c r="J79" s="1015"/>
      <c r="K79" s="1147" t="s">
        <v>793</v>
      </c>
      <c r="L79" s="1067"/>
      <c r="M79" s="1014"/>
      <c r="N79" s="855"/>
      <c r="O79" s="855"/>
      <c r="P79" s="855" t="s">
        <v>794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795</v>
      </c>
      <c r="D80" s="841"/>
      <c r="E80" s="1098"/>
      <c r="F80" s="1099"/>
      <c r="G80" s="1100">
        <f>SUM(G67:G79)</f>
        <v>342818.02187500003</v>
      </c>
      <c r="H80" s="1101"/>
      <c r="I80" s="950">
        <f t="shared" si="0"/>
        <v>2270.3180256622518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342818.02187500003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796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797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968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413</v>
      </c>
      <c r="D90" s="842"/>
      <c r="E90" s="847"/>
      <c r="F90" s="1044"/>
      <c r="G90" s="1110">
        <f>SUM(F91:F96)</f>
        <v>2522699</v>
      </c>
      <c r="H90" s="1111"/>
      <c r="I90" s="950">
        <f t="shared" si="3"/>
        <v>16706.615894039736</v>
      </c>
      <c r="J90" s="1094"/>
      <c r="K90" s="1125">
        <v>0</v>
      </c>
      <c r="L90" s="1045"/>
      <c r="M90" s="1014"/>
      <c r="N90" s="855"/>
      <c r="O90" s="855"/>
      <c r="P90" s="868" t="s">
        <v>798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2522699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799</v>
      </c>
      <c r="E91" s="1087"/>
      <c r="F91" s="1156">
        <v>51432</v>
      </c>
      <c r="G91" s="1110">
        <v>100000</v>
      </c>
      <c r="H91" s="1111"/>
      <c r="I91" s="950">
        <f t="shared" si="3"/>
        <v>662.25165562913912</v>
      </c>
      <c r="J91" s="1094"/>
      <c r="K91" s="1143" t="s">
        <v>800</v>
      </c>
      <c r="L91" s="1046"/>
      <c r="M91" s="1672">
        <f>'Permit Fee Breakdown'!F17</f>
        <v>7491</v>
      </c>
      <c r="N91" s="855"/>
      <c r="O91" s="855"/>
      <c r="P91" t="s">
        <v>801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802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803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535</v>
      </c>
      <c r="E94" s="847"/>
      <c r="F94" s="1158">
        <f>M94</f>
        <v>1779837</v>
      </c>
      <c r="G94" s="1110"/>
      <c r="H94" s="1111"/>
      <c r="I94" s="950">
        <f t="shared" si="3"/>
        <v>0</v>
      </c>
      <c r="J94" s="1094"/>
      <c r="K94" s="1143" t="s">
        <v>800</v>
      </c>
      <c r="L94" s="1046"/>
      <c r="M94" s="1672">
        <f>11787*F9</f>
        <v>1779837</v>
      </c>
      <c r="N94" s="855"/>
      <c r="O94" s="855"/>
      <c r="P94" s="1157" t="s">
        <v>801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804</v>
      </c>
      <c r="E95" s="1153">
        <v>2600</v>
      </c>
      <c r="F95" s="1160">
        <f>E95*F9</f>
        <v>392600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805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806</v>
      </c>
      <c r="D97" s="841"/>
      <c r="E97" s="1098"/>
      <c r="F97" s="1099"/>
      <c r="G97" s="1100">
        <f>SUM(G82:G96)</f>
        <v>2622699</v>
      </c>
      <c r="H97" s="1101"/>
      <c r="I97" s="950">
        <f t="shared" si="3"/>
        <v>17368.867549668874</v>
      </c>
      <c r="J97" s="1102"/>
      <c r="K97" s="1166">
        <f>I97/I250</f>
        <v>2.6707752000390845E-2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2622699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807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808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809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810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811</v>
      </c>
      <c r="L101" s="1045"/>
      <c r="M101" s="1014" t="s">
        <v>581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812</v>
      </c>
      <c r="D102" s="842"/>
      <c r="E102" s="847"/>
      <c r="F102" s="1044"/>
      <c r="G102" s="1110">
        <f>SUM(F103:F105)</f>
        <v>249165.84752440249</v>
      </c>
      <c r="H102" s="1111"/>
      <c r="I102" s="950">
        <f t="shared" si="3"/>
        <v>1650.1049504927316</v>
      </c>
      <c r="J102" s="1094"/>
      <c r="K102" s="1112"/>
      <c r="L102" s="1013"/>
      <c r="M102" s="1168" t="s">
        <v>813</v>
      </c>
      <c r="N102" s="1169" t="s">
        <v>814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249165.84752440249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809</v>
      </c>
      <c r="E103" s="1671">
        <v>0.05</v>
      </c>
      <c r="F103" s="1170">
        <f>E103*N103</f>
        <v>234165.84752440249</v>
      </c>
      <c r="G103" s="1110"/>
      <c r="H103" s="1111"/>
      <c r="I103" s="950">
        <f t="shared" si="3"/>
        <v>0</v>
      </c>
      <c r="J103" s="1094"/>
      <c r="K103" s="1112" t="s">
        <v>815</v>
      </c>
      <c r="L103" s="1013"/>
      <c r="M103" s="1171">
        <f>(0.7*G234)+(0.9*(SUM(G97,G59,)+(0.5*G120)))</f>
        <v>4747788.6219578404</v>
      </c>
      <c r="N103" s="1172">
        <v>4683316.9504880495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816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817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818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809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815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816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817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819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809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816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817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820</v>
      </c>
      <c r="D114" s="841"/>
      <c r="E114" s="1053"/>
      <c r="F114" s="1054"/>
      <c r="G114" s="1100">
        <f>SUM(G99:G110)</f>
        <v>249165.84752440249</v>
      </c>
      <c r="H114" s="1101"/>
      <c r="I114" s="950">
        <f t="shared" si="3"/>
        <v>1650.1049504927316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249165.84752440249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821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813</v>
      </c>
      <c r="N115" s="1169" t="s">
        <v>814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108</v>
      </c>
      <c r="D116" s="888"/>
      <c r="E116" s="1174"/>
      <c r="F116" s="1175"/>
      <c r="G116" s="1176">
        <f>N116</f>
        <v>4497719.2800543327</v>
      </c>
      <c r="H116" s="1177"/>
      <c r="I116" s="950">
        <f t="shared" si="3"/>
        <v>29786.220397710811</v>
      </c>
      <c r="J116" s="1178"/>
      <c r="K116" s="1179" t="s">
        <v>822</v>
      </c>
      <c r="L116" s="1073"/>
      <c r="M116" s="1180">
        <f>0.5*Data!C20*Data!C17/12*Data!C19</f>
        <v>4500011.1455745585</v>
      </c>
      <c r="N116" s="1181">
        <v>4497719.2800543327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4497719.2800543327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823</v>
      </c>
      <c r="D117" s="842"/>
      <c r="E117" s="1107"/>
      <c r="F117" s="1044"/>
      <c r="G117" s="1183">
        <f>N117</f>
        <v>637974.36596515356</v>
      </c>
      <c r="H117" s="1094"/>
      <c r="I117" s="950">
        <f t="shared" si="3"/>
        <v>4224.9958010937326</v>
      </c>
      <c r="J117" s="1015"/>
      <c r="K117" s="1184" t="s">
        <v>824</v>
      </c>
      <c r="L117" s="1185"/>
      <c r="M117" s="1186">
        <f>0.01*Data!C20</f>
        <v>638299.45327298704</v>
      </c>
      <c r="N117" s="1172">
        <v>637974.36596515356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637974.36596515356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825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826</v>
      </c>
      <c r="L118" s="1013"/>
      <c r="M118" s="1186">
        <v>0</v>
      </c>
      <c r="N118" s="1172">
        <v>0</v>
      </c>
      <c r="O118" s="1173"/>
      <c r="P118" s="1187" t="s">
        <v>827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828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829</v>
      </c>
      <c r="D120" s="842"/>
      <c r="E120" s="1190">
        <f>'Tax Calc'!E3</f>
        <v>1.199398E-2</v>
      </c>
      <c r="F120"/>
      <c r="G120" s="1038">
        <f>'Tax Calc'!C15</f>
        <v>296251.30599999998</v>
      </c>
      <c r="H120" s="1039"/>
      <c r="I120" s="950">
        <f t="shared" si="3"/>
        <v>1961.929178807947</v>
      </c>
      <c r="J120" s="1015"/>
      <c r="K120" s="1112" t="s">
        <v>987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296251.30599999998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407</v>
      </c>
      <c r="D121" s="842"/>
      <c r="E121" s="1050"/>
      <c r="F121" s="1044"/>
      <c r="G121" s="1116">
        <f>SUM(F122:F124)</f>
        <v>843348.54606131243</v>
      </c>
      <c r="H121" s="1117"/>
      <c r="I121" s="950">
        <f t="shared" si="3"/>
        <v>5585.0897090153139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843348.54606131243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830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831</v>
      </c>
      <c r="E123" s="1193"/>
      <c r="F123" s="1194">
        <f>'Insurance Estimator'!E19*1.35</f>
        <v>843348.54606131243</v>
      </c>
      <c r="G123" s="1110"/>
      <c r="H123" s="1111"/>
      <c r="I123" s="950">
        <f t="shared" si="3"/>
        <v>0</v>
      </c>
      <c r="J123" s="1094"/>
      <c r="K123" s="1195" t="s">
        <v>832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833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832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834</v>
      </c>
      <c r="D125" s="842"/>
      <c r="E125" s="1107"/>
      <c r="F125" s="1044"/>
      <c r="G125" s="1110">
        <f>SUM(F126:F127)</f>
        <v>105696.15489477303</v>
      </c>
      <c r="H125" s="1111"/>
      <c r="I125" s="950">
        <f t="shared" si="3"/>
        <v>699.97453572697373</v>
      </c>
      <c r="J125" s="1094"/>
      <c r="K125" s="1112"/>
      <c r="L125" s="1013"/>
      <c r="M125" s="1168" t="s">
        <v>813</v>
      </c>
      <c r="N125" s="1169" t="s">
        <v>814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105696.15489477303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835</v>
      </c>
      <c r="E126" s="1196">
        <v>1.5E-3</v>
      </c>
      <c r="F126" s="1044">
        <f>N126</f>
        <v>95696.154894773033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95744.917990948059</v>
      </c>
      <c r="N126" s="1172">
        <v>95696.154894773033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836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837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101.98675496688742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838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839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840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841</v>
      </c>
      <c r="D132" s="888"/>
      <c r="E132" s="1200" t="s">
        <v>842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843</v>
      </c>
      <c r="L132" s="1205"/>
      <c r="M132" s="1168"/>
      <c r="N132" s="1169" t="s">
        <v>814</v>
      </c>
      <c r="O132" s="1169"/>
      <c r="P132" t="s">
        <v>844</v>
      </c>
      <c r="Q132" s="1206" t="s">
        <v>845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846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847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848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849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850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851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852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853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854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855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855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856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857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858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859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860</v>
      </c>
      <c r="D148" s="841"/>
      <c r="E148" s="1053"/>
      <c r="F148" s="1126"/>
      <c r="G148" s="1127">
        <f>SUM(G116:G147)</f>
        <v>6396389.6529755723</v>
      </c>
      <c r="H148" s="1128"/>
      <c r="I148" s="950">
        <f t="shared" si="6"/>
        <v>42360.19637732167</v>
      </c>
      <c r="J148" s="1242"/>
      <c r="K148" s="1129"/>
      <c r="L148" s="1130"/>
      <c r="M148" s="1131" t="s">
        <v>1037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6396389.6529755723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996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813</v>
      </c>
      <c r="N149" s="868" t="s">
        <v>963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861</v>
      </c>
      <c r="D151" s="842"/>
      <c r="E151" s="1087"/>
      <c r="F151" s="1044"/>
      <c r="G151" s="1110">
        <f>N151</f>
        <v>0</v>
      </c>
      <c r="H151" s="1093"/>
      <c r="I151" s="950">
        <f t="shared" ref="I151:I158" si="7">G151/$F$9</f>
        <v>0</v>
      </c>
      <c r="J151" s="1094"/>
      <c r="K151" s="1244" t="s">
        <v>862</v>
      </c>
      <c r="L151" s="1245"/>
      <c r="M151" s="1558">
        <f>Data!C31*Data!C30</f>
        <v>562224.77195673715</v>
      </c>
      <c r="N151" s="1345">
        <v>0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863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835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836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204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864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865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865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866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1036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965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813</v>
      </c>
      <c r="N160" s="868" t="s">
        <v>963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962</v>
      </c>
      <c r="D161" s="842"/>
      <c r="E161" s="1107"/>
      <c r="F161" s="1044"/>
      <c r="G161" s="1110">
        <f>N161</f>
        <v>67743.356297473743</v>
      </c>
      <c r="H161" s="1111"/>
      <c r="I161" s="950"/>
      <c r="J161" s="1094"/>
      <c r="K161" s="1112"/>
      <c r="L161" s="1013"/>
      <c r="M161" s="1343">
        <f>37500+(Data!C38*0.0005)</f>
        <v>67816.546142207852</v>
      </c>
      <c r="N161" s="1344">
        <v>67743.356297473743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861</v>
      </c>
      <c r="D162" s="842"/>
      <c r="E162" s="1087"/>
      <c r="F162" s="1044"/>
      <c r="G162" s="1110">
        <f>N162</f>
        <v>604867.12594947487</v>
      </c>
      <c r="H162" s="1093"/>
      <c r="I162" s="950">
        <f t="shared" si="6"/>
        <v>4005.7425559567873</v>
      </c>
      <c r="J162" s="1094"/>
      <c r="K162" s="1244" t="s">
        <v>862</v>
      </c>
      <c r="L162" s="1245"/>
      <c r="M162" s="1343">
        <f>Data!C38*Data!C39</f>
        <v>606330.92284415697</v>
      </c>
      <c r="N162" s="1345">
        <v>604867.12594947487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604867.12594947487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863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1818992.7685324708</v>
      </c>
      <c r="N163" s="1344">
        <v>1814601.3778484243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835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836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1056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204</v>
      </c>
      <c r="D166" s="842"/>
      <c r="E166" s="1107"/>
      <c r="F166" s="1044"/>
      <c r="G166" s="1110">
        <f>SUM(F167:F169)</f>
        <v>1814601.3778484243</v>
      </c>
      <c r="H166" s="1111"/>
      <c r="I166" s="950">
        <f t="shared" si="6"/>
        <v>12017.22766787036</v>
      </c>
      <c r="J166" s="1094"/>
      <c r="K166" s="1103"/>
      <c r="L166" s="1029"/>
      <c r="M166" s="1104" t="s">
        <v>813</v>
      </c>
      <c r="N166" s="868" t="s">
        <v>963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1814601.3778484243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1088</v>
      </c>
      <c r="E167" s="1246"/>
      <c r="F167" s="1247">
        <f>N163</f>
        <v>1814601.3778484243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5744695.0794568826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865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865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866</v>
      </c>
      <c r="D170" s="841"/>
      <c r="E170" s="1053"/>
      <c r="F170" s="1126"/>
      <c r="G170" s="1127">
        <f>SUM(G162:G166)</f>
        <v>2419468.503797899</v>
      </c>
      <c r="H170" s="1128"/>
      <c r="I170" s="950">
        <f t="shared" si="6"/>
        <v>16022.970223827146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2419468.503797899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118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867</v>
      </c>
      <c r="D172" s="842"/>
      <c r="E172" s="1107"/>
      <c r="F172" s="1044"/>
      <c r="G172" s="1110">
        <v>60000</v>
      </c>
      <c r="H172" s="1111"/>
      <c r="I172" s="950">
        <f t="shared" si="6"/>
        <v>397.35099337748346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868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331.12582781456956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869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204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870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871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728.47682119205297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124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872</v>
      </c>
      <c r="D178" s="842"/>
      <c r="E178" s="1253">
        <v>3</v>
      </c>
      <c r="F178" s="1044"/>
      <c r="G178" s="1092">
        <f>E178*(-'Cash Flow'!E18/12)-'Cash Flow'!E22</f>
        <v>3913127.6579796812</v>
      </c>
      <c r="H178" s="1093"/>
      <c r="I178" s="950">
        <f t="shared" si="6"/>
        <v>25914.752701852194</v>
      </c>
      <c r="J178" s="1094"/>
      <c r="K178" s="1125" t="s">
        <v>873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3913127.6579796812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874</v>
      </c>
      <c r="D179" s="888"/>
      <c r="E179" s="1174"/>
      <c r="F179" s="1254" t="s">
        <v>875</v>
      </c>
      <c r="G179" s="1202" t="b">
        <v>0</v>
      </c>
      <c r="H179" s="1203"/>
      <c r="I179" s="950">
        <f t="shared" si="6"/>
        <v>0</v>
      </c>
      <c r="J179" s="1177"/>
      <c r="K179" s="1179" t="s">
        <v>876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253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877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878</v>
      </c>
      <c r="D181" s="841"/>
      <c r="E181" s="1053"/>
      <c r="F181" s="1126"/>
      <c r="G181" s="1127">
        <f>SUM(G178:G180)</f>
        <v>3913127.6579796812</v>
      </c>
      <c r="H181" s="1128"/>
      <c r="I181" s="950">
        <f t="shared" si="6"/>
        <v>25914.752701852194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3913127.6579796812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409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879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86.092715231788077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880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137</v>
      </c>
      <c r="D186" s="842"/>
      <c r="E186" s="1107"/>
      <c r="F186" s="1044"/>
      <c r="G186" s="1256">
        <v>12000</v>
      </c>
      <c r="H186" s="1257"/>
      <c r="I186" s="950">
        <f t="shared" si="6"/>
        <v>79.47019867549669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881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882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883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165.56291390728478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410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813</v>
      </c>
      <c r="N190" s="1169" t="s">
        <v>814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884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411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96.026490066225165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885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886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887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888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889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890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891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892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617.5496688741722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893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894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895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894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896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897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898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899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487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900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901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902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331.12582781456956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903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904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905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906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907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908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909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487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910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106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911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912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1860.9271523178809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224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415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913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148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914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915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916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917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918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919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920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921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922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923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924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925</v>
      </c>
      <c r="D233" s="842"/>
      <c r="E233" s="1277">
        <v>0.05</v>
      </c>
      <c r="F233" s="1088"/>
      <c r="G233" s="1110">
        <f>SUM(G190:G231,G189,G181,G176,G170,G148,G114,G97,G80)*E233</f>
        <v>825870.93420762778</v>
      </c>
      <c r="H233" s="1111"/>
      <c r="I233" s="950">
        <f t="shared" si="8"/>
        <v>5469.3439351498528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825870.93420762778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926</v>
      </c>
      <c r="D234" s="841"/>
      <c r="E234" s="1280"/>
      <c r="F234" s="1126"/>
      <c r="G234" s="1281">
        <f>SUM(G191:G233)</f>
        <v>1264620.9342076278</v>
      </c>
      <c r="H234" s="1282"/>
      <c r="I234" s="950">
        <f t="shared" si="8"/>
        <v>8374.9730742227002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1264620.9342076278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150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151</v>
      </c>
      <c r="D236" s="842"/>
      <c r="E236" s="1042"/>
      <c r="F236" s="1044"/>
      <c r="G236" s="1110">
        <v>2500000</v>
      </c>
      <c r="H236" s="1111"/>
      <c r="I236" s="950">
        <f t="shared" si="8"/>
        <v>16556.291390728478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145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927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143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137.41721854304635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928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929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930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931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16693.708609271522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932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933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934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935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936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937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4.4150110375275933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938</v>
      </c>
      <c r="D248" s="847"/>
      <c r="E248" s="1288"/>
      <c r="F248" s="1088"/>
      <c r="G248" s="1256">
        <v>2000</v>
      </c>
      <c r="H248" s="1257"/>
      <c r="I248" s="950">
        <f t="shared" si="8"/>
        <v>13.245033112582782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939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17.660044150110373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940</v>
      </c>
      <c r="D250" s="1294"/>
      <c r="E250" s="1295"/>
      <c r="F250" s="1296"/>
      <c r="G250" s="1297">
        <f>SUM(G249,G242,G234,G189,G181,G176,G170,G148,G80,G65,G59,G52,G47,G30:G43,G28,G114,G97)</f>
        <v>98199915.888151839</v>
      </c>
      <c r="H250" s="1298"/>
      <c r="I250" s="1299">
        <f>G250/F9</f>
        <v>650330.56879570754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1045</v>
      </c>
    </row>
    <row r="254" spans="2:28">
      <c r="G254" s="1528">
        <f>G250/'Construction Calculation'!C14</f>
        <v>667.37288566405584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abSelected="1" zoomScale="70" zoomScaleNormal="70" workbookViewId="0">
      <selection activeCell="C38" sqref="C38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347" t="s">
        <v>10</v>
      </c>
      <c r="C4" s="1348">
        <f>'Rental Income'!D15</f>
        <v>151</v>
      </c>
      <c r="D4" s="507" t="s">
        <v>261</v>
      </c>
      <c r="E4" s="507"/>
      <c r="F4" s="507"/>
      <c r="G4" s="508"/>
    </row>
    <row r="5" spans="1:15">
      <c r="B5" s="1349" t="s">
        <v>11</v>
      </c>
      <c r="C5" s="700">
        <f>'Construction Calculation'!C19</f>
        <v>147144</v>
      </c>
      <c r="D5" t="s">
        <v>427</v>
      </c>
      <c r="G5" s="510"/>
    </row>
    <row r="6" spans="1:15">
      <c r="B6" s="1350" t="s">
        <v>12</v>
      </c>
      <c r="C6" s="700">
        <f>'Construction Calculation'!C14</f>
        <v>147144</v>
      </c>
      <c r="D6" t="s">
        <v>427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427</v>
      </c>
      <c r="G7" s="1351"/>
    </row>
    <row r="8" spans="1:15">
      <c r="B8" s="1350" t="s">
        <v>428</v>
      </c>
      <c r="C8" s="700">
        <f>'Construction Calculation'!C13</f>
        <v>24524</v>
      </c>
      <c r="D8" t="s">
        <v>427</v>
      </c>
      <c r="G8" s="510"/>
    </row>
    <row r="9" spans="1:15">
      <c r="B9" s="1350" t="s">
        <v>429</v>
      </c>
      <c r="C9" s="700">
        <f>'Construction Calculation'!C47</f>
        <v>75.5</v>
      </c>
      <c r="D9" t="s">
        <v>430</v>
      </c>
      <c r="G9" s="510"/>
    </row>
    <row r="10" spans="1:15" ht="16.5" thickBot="1">
      <c r="B10" s="511"/>
      <c r="C10" s="1352">
        <v>22630</v>
      </c>
      <c r="D10" s="512" t="s">
        <v>427</v>
      </c>
      <c r="E10" s="512"/>
      <c r="F10" s="512"/>
      <c r="G10" s="1353"/>
    </row>
    <row r="11" spans="1:15" ht="16.5" thickBot="1"/>
    <row r="12" spans="1:15">
      <c r="A12" s="1356" t="s">
        <v>431</v>
      </c>
      <c r="B12" s="1357"/>
      <c r="C12" s="1357"/>
      <c r="D12" s="1358"/>
      <c r="E12" s="58"/>
    </row>
    <row r="13" spans="1:15">
      <c r="A13" s="1359"/>
      <c r="B13" t="s">
        <v>432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433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434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435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443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437</v>
      </c>
      <c r="C20" s="1355">
        <v>63829945.327298701</v>
      </c>
      <c r="D20" s="1375">
        <f>MIN(D22,GapCalc!D24)</f>
        <v>63829945.327298701</v>
      </c>
    </row>
    <row r="21" spans="1:13" ht="16.5" thickBot="1">
      <c r="A21" s="1359"/>
      <c r="B21" t="s">
        <v>109</v>
      </c>
      <c r="C21" s="482">
        <v>0.01</v>
      </c>
      <c r="D21" s="1360"/>
    </row>
    <row r="22" spans="1:13" ht="16.5" thickBot="1">
      <c r="A22" s="1359"/>
      <c r="C22" s="516" t="s">
        <v>1038</v>
      </c>
      <c r="D22" s="1391">
        <f>C18*'Development Budget'!G250</f>
        <v>63829945.327298701</v>
      </c>
      <c r="G22" s="147"/>
    </row>
    <row r="23" spans="1:13">
      <c r="A23" s="1430" t="s">
        <v>438</v>
      </c>
      <c r="B23" s="1370"/>
      <c r="C23" s="1370" t="s">
        <v>67</v>
      </c>
      <c r="D23" s="1370"/>
      <c r="E23" s="1390" t="s">
        <v>964</v>
      </c>
      <c r="F23" s="1382" t="s">
        <v>432</v>
      </c>
      <c r="G23" s="1534">
        <v>0.09</v>
      </c>
      <c r="H23" s="1383"/>
    </row>
    <row r="24" spans="1:13">
      <c r="A24" s="1371"/>
      <c r="B24" t="s">
        <v>432</v>
      </c>
      <c r="C24" s="1361">
        <v>6.0499999999999998E-2</v>
      </c>
      <c r="D24" s="1425">
        <f>PMT(C24/12,C25*12,C30)*12</f>
        <v>-3902991.4453824135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439</v>
      </c>
      <c r="C26">
        <v>1.2</v>
      </c>
      <c r="E26" s="1384"/>
      <c r="G26" s="1378"/>
      <c r="H26" s="1385"/>
    </row>
    <row r="27" spans="1:13" ht="16.5" thickTop="1">
      <c r="A27" s="1371"/>
      <c r="B27" t="s">
        <v>440</v>
      </c>
      <c r="C27" s="51">
        <f>'Cash Flow'!E21/Data!C26</f>
        <v>3686627.6579796812</v>
      </c>
      <c r="D27" s="40" t="s">
        <v>443</v>
      </c>
      <c r="E27" s="1384"/>
      <c r="G27" s="1379"/>
      <c r="H27" s="1385"/>
    </row>
    <row r="28" spans="1:13">
      <c r="A28" s="1371"/>
      <c r="B28" t="s">
        <v>441</v>
      </c>
      <c r="C28" s="482">
        <v>0.6</v>
      </c>
      <c r="D28" s="1517">
        <f>'Cash Flow'!E15/0.05*C28</f>
        <v>71231760</v>
      </c>
      <c r="E28" s="1384"/>
      <c r="F28" t="s">
        <v>1046</v>
      </c>
      <c r="G28" s="1380"/>
      <c r="H28" s="55">
        <v>1</v>
      </c>
    </row>
    <row r="29" spans="1:13">
      <c r="A29" s="1371"/>
      <c r="B29" t="s">
        <v>442</v>
      </c>
      <c r="C29">
        <v>34</v>
      </c>
      <c r="E29" s="1384"/>
      <c r="F29" t="s">
        <v>436</v>
      </c>
      <c r="G29" s="1380">
        <v>15</v>
      </c>
      <c r="H29" s="1385"/>
    </row>
    <row r="30" spans="1:13">
      <c r="A30" s="1371"/>
      <c r="B30" t="s">
        <v>437</v>
      </c>
      <c r="C30" s="1432">
        <v>56222477.195673719</v>
      </c>
      <c r="D30" s="1376">
        <f>-PV($C$24/12,$C$29*12,C27/12)</f>
        <v>53105763.18964833</v>
      </c>
      <c r="E30" s="1384"/>
      <c r="F30" t="s">
        <v>437</v>
      </c>
      <c r="G30" s="1381"/>
      <c r="H30" s="1376">
        <f>PV(G23,G29,-'Cash Flow'!E41*H28,)</f>
        <v>5943351.381571494</v>
      </c>
    </row>
    <row r="31" spans="1:13" ht="16.5" thickBot="1">
      <c r="A31" s="1372"/>
      <c r="B31" s="1373" t="s">
        <v>109</v>
      </c>
      <c r="C31" s="1374">
        <v>0.01</v>
      </c>
      <c r="D31" s="1373"/>
      <c r="E31" s="1386"/>
      <c r="F31" s="1387" t="s">
        <v>109</v>
      </c>
      <c r="G31" s="1388">
        <v>0.01</v>
      </c>
      <c r="H31" s="1389"/>
    </row>
    <row r="32" spans="1:13">
      <c r="A32" s="1369" t="s">
        <v>1035</v>
      </c>
      <c r="E32" s="1363"/>
      <c r="G32" s="53"/>
    </row>
    <row r="33" spans="1:10">
      <c r="A33" s="1362"/>
      <c r="B33" t="s">
        <v>432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439</v>
      </c>
      <c r="C35">
        <v>1.2</v>
      </c>
      <c r="E35" s="1363"/>
      <c r="I35" s="54"/>
    </row>
    <row r="36" spans="1:10">
      <c r="A36" s="1362"/>
      <c r="B36" t="s">
        <v>440</v>
      </c>
      <c r="C36" s="51">
        <f>'Cash Flow'!E21/Data!C35</f>
        <v>3686627.6579796812</v>
      </c>
      <c r="E36" s="1365">
        <f>-PV($C$33,$C$34,E34)</f>
        <v>0</v>
      </c>
      <c r="I36" s="1354"/>
    </row>
    <row r="37" spans="1:10" ht="16.5" thickBot="1">
      <c r="A37" s="1362"/>
      <c r="B37" t="s">
        <v>441</v>
      </c>
      <c r="C37" s="482">
        <v>0.8</v>
      </c>
      <c r="E37" s="1363"/>
    </row>
    <row r="38" spans="1:10" ht="16.5" thickBot="1">
      <c r="A38" s="1362"/>
      <c r="B38" t="s">
        <v>437</v>
      </c>
      <c r="C38" s="1432">
        <v>60633092.284415692</v>
      </c>
      <c r="D38" s="516" t="s">
        <v>1038</v>
      </c>
      <c r="E38" s="1391">
        <f>C37*GapCalc!D24</f>
        <v>78559932.710521474</v>
      </c>
    </row>
    <row r="39" spans="1:10">
      <c r="A39" s="1362"/>
      <c r="B39" t="s">
        <v>109</v>
      </c>
      <c r="C39" s="54">
        <f>C21</f>
        <v>0.01</v>
      </c>
      <c r="D39" t="s">
        <v>1052</v>
      </c>
      <c r="E39" s="1376">
        <f>PV($C$33/12,$C$34*12,-C36/12)</f>
        <v>60633092.284415692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6242820</v>
      </c>
      <c r="F12" s="89">
        <f>E12*(1+$D$12)</f>
        <v>6398890.4999999991</v>
      </c>
      <c r="G12" s="89">
        <f t="shared" ref="G12:AH12" si="0">F12*(1+$D$12)</f>
        <v>6558862.7624999983</v>
      </c>
      <c r="H12" s="89">
        <f t="shared" si="0"/>
        <v>6722834.3315624977</v>
      </c>
      <c r="I12" s="89">
        <f t="shared" si="0"/>
        <v>6890905.1898515597</v>
      </c>
      <c r="J12" s="89">
        <f t="shared" si="0"/>
        <v>7063177.8195978478</v>
      </c>
      <c r="K12" s="89">
        <f t="shared" si="0"/>
        <v>7239757.2650877936</v>
      </c>
      <c r="L12" s="89">
        <f t="shared" si="0"/>
        <v>7420751.196714988</v>
      </c>
      <c r="M12" s="89">
        <f t="shared" si="0"/>
        <v>7606269.9766328624</v>
      </c>
      <c r="N12" s="89">
        <f t="shared" si="0"/>
        <v>7796426.7260486828</v>
      </c>
      <c r="O12" s="89">
        <f t="shared" si="0"/>
        <v>7991337.3941998994</v>
      </c>
      <c r="P12" s="89">
        <f t="shared" si="0"/>
        <v>8191120.8290548958</v>
      </c>
      <c r="Q12" s="89">
        <f t="shared" si="0"/>
        <v>8395898.8497812673</v>
      </c>
      <c r="R12" s="89">
        <f t="shared" si="0"/>
        <v>8605796.3210257981</v>
      </c>
      <c r="S12" s="90">
        <f t="shared" si="0"/>
        <v>8820941.2290514428</v>
      </c>
      <c r="T12" s="89">
        <f t="shared" si="0"/>
        <v>9041464.7597777285</v>
      </c>
      <c r="U12" s="89">
        <f t="shared" si="0"/>
        <v>9267501.3787721712</v>
      </c>
      <c r="V12" s="89">
        <f t="shared" si="0"/>
        <v>9499188.913241474</v>
      </c>
      <c r="W12" s="89">
        <f t="shared" si="0"/>
        <v>9736668.6360725109</v>
      </c>
      <c r="X12" s="89">
        <f t="shared" si="0"/>
        <v>9980085.3519743234</v>
      </c>
      <c r="Y12" s="89">
        <f t="shared" si="0"/>
        <v>10229587.485773681</v>
      </c>
      <c r="Z12" s="89">
        <f t="shared" si="0"/>
        <v>10485327.172918022</v>
      </c>
      <c r="AA12" s="89">
        <f t="shared" si="0"/>
        <v>10747460.352240972</v>
      </c>
      <c r="AB12" s="89">
        <f t="shared" si="0"/>
        <v>11016146.861046996</v>
      </c>
      <c r="AC12" s="89">
        <f t="shared" si="0"/>
        <v>11291550.532573169</v>
      </c>
      <c r="AD12" s="89">
        <f t="shared" si="0"/>
        <v>11573839.295887498</v>
      </c>
      <c r="AE12" s="89">
        <f t="shared" si="0"/>
        <v>11863185.278284684</v>
      </c>
      <c r="AF12" s="89">
        <f t="shared" si="0"/>
        <v>12159764.910241799</v>
      </c>
      <c r="AG12" s="89">
        <f t="shared" si="0"/>
        <v>12463759.032997843</v>
      </c>
      <c r="AH12" s="89">
        <f t="shared" si="0"/>
        <v>12775353.008822788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-312420</v>
      </c>
      <c r="F14" s="100">
        <f t="shared" ref="F14:AH14" si="2">-((F12+F13)*$C$14)</f>
        <v>-320230.5</v>
      </c>
      <c r="G14" s="100">
        <f t="shared" si="2"/>
        <v>-328236.26249999995</v>
      </c>
      <c r="H14" s="100">
        <f t="shared" si="2"/>
        <v>-336442.16906249989</v>
      </c>
      <c r="I14" s="100">
        <f t="shared" si="2"/>
        <v>-344853.22328906239</v>
      </c>
      <c r="J14" s="100">
        <f t="shared" si="2"/>
        <v>-353474.5538712889</v>
      </c>
      <c r="K14" s="100">
        <f t="shared" si="2"/>
        <v>-362311.41771807108</v>
      </c>
      <c r="L14" s="100">
        <f t="shared" si="2"/>
        <v>-371369.20316102286</v>
      </c>
      <c r="M14" s="100">
        <f t="shared" si="2"/>
        <v>-380653.43324004841</v>
      </c>
      <c r="N14" s="100">
        <f t="shared" si="2"/>
        <v>-390169.76907104952</v>
      </c>
      <c r="O14" s="100">
        <f t="shared" si="2"/>
        <v>-399924.01329782582</v>
      </c>
      <c r="P14" s="100">
        <f t="shared" si="2"/>
        <v>-409922.11363027134</v>
      </c>
      <c r="Q14" s="100">
        <f t="shared" si="2"/>
        <v>-420170.16647102806</v>
      </c>
      <c r="R14" s="100">
        <f t="shared" si="2"/>
        <v>-430674.42063280375</v>
      </c>
      <c r="S14" s="101">
        <f t="shared" si="2"/>
        <v>-441441.28114862391</v>
      </c>
      <c r="T14" s="100">
        <f t="shared" si="2"/>
        <v>-452477.31317733938</v>
      </c>
      <c r="U14" s="100">
        <f t="shared" si="2"/>
        <v>-463789.24600677285</v>
      </c>
      <c r="V14" s="100">
        <f t="shared" si="2"/>
        <v>-475383.97715694207</v>
      </c>
      <c r="W14" s="100">
        <f t="shared" si="2"/>
        <v>-487268.5765858657</v>
      </c>
      <c r="X14" s="100">
        <f t="shared" si="2"/>
        <v>-499450.29100051225</v>
      </c>
      <c r="Y14" s="100">
        <f t="shared" si="2"/>
        <v>-511936.54827552504</v>
      </c>
      <c r="Z14" s="100">
        <f t="shared" si="2"/>
        <v>-524734.96198241308</v>
      </c>
      <c r="AA14" s="100">
        <f t="shared" si="2"/>
        <v>-537853.33603197348</v>
      </c>
      <c r="AB14" s="100">
        <f t="shared" si="2"/>
        <v>-551299.66943277279</v>
      </c>
      <c r="AC14" s="100">
        <f t="shared" si="2"/>
        <v>-565082.16116859193</v>
      </c>
      <c r="AD14" s="100">
        <f t="shared" si="2"/>
        <v>-579209.21519780683</v>
      </c>
      <c r="AE14" s="100">
        <f t="shared" si="2"/>
        <v>-593689.44557775185</v>
      </c>
      <c r="AF14" s="100">
        <f t="shared" si="2"/>
        <v>-608531.68171719555</v>
      </c>
      <c r="AG14" s="100">
        <f t="shared" si="2"/>
        <v>-623744.97376012546</v>
      </c>
      <c r="AH14" s="100">
        <f t="shared" si="2"/>
        <v>-639338.5981041285</v>
      </c>
    </row>
    <row r="15" spans="1:34">
      <c r="A15" s="76"/>
      <c r="B15" s="102" t="s">
        <v>311</v>
      </c>
      <c r="C15" s="76"/>
      <c r="D15" s="76"/>
      <c r="E15" s="95">
        <f>SUM(E12:E14)</f>
        <v>5935980</v>
      </c>
      <c r="F15" s="95">
        <f t="shared" ref="F15:AH15" si="3">SUM(F12:F14)</f>
        <v>6084379.4999999991</v>
      </c>
      <c r="G15" s="103">
        <f t="shared" si="3"/>
        <v>6236488.987499998</v>
      </c>
      <c r="H15" s="104">
        <f t="shared" si="3"/>
        <v>6392401.2121874979</v>
      </c>
      <c r="I15" s="104">
        <f t="shared" si="3"/>
        <v>6552211.242492185</v>
      </c>
      <c r="J15" s="95">
        <f t="shared" si="3"/>
        <v>6716016.5235544881</v>
      </c>
      <c r="K15" s="103">
        <f t="shared" si="3"/>
        <v>6883916.9366433499</v>
      </c>
      <c r="L15" s="95">
        <f t="shared" si="3"/>
        <v>7056014.8600594336</v>
      </c>
      <c r="M15" s="95">
        <f t="shared" si="3"/>
        <v>7232415.2315609194</v>
      </c>
      <c r="N15" s="95">
        <f t="shared" si="3"/>
        <v>7413225.6123499405</v>
      </c>
      <c r="O15" s="95">
        <f t="shared" si="3"/>
        <v>7598556.2526586894</v>
      </c>
      <c r="P15" s="95">
        <f t="shared" si="3"/>
        <v>7788520.1589751551</v>
      </c>
      <c r="Q15" s="95">
        <f t="shared" si="3"/>
        <v>7983233.1629495332</v>
      </c>
      <c r="R15" s="95">
        <f t="shared" si="3"/>
        <v>8182813.9920232706</v>
      </c>
      <c r="S15" s="96">
        <f t="shared" si="3"/>
        <v>8387384.3418238536</v>
      </c>
      <c r="T15" s="95">
        <f t="shared" si="3"/>
        <v>8597068.9503694475</v>
      </c>
      <c r="U15" s="95">
        <f t="shared" si="3"/>
        <v>8811995.6741286851</v>
      </c>
      <c r="V15" s="95">
        <f t="shared" si="3"/>
        <v>9032295.5659818985</v>
      </c>
      <c r="W15" s="95">
        <f t="shared" si="3"/>
        <v>9258102.9551314469</v>
      </c>
      <c r="X15" s="95">
        <f t="shared" si="3"/>
        <v>9489555.5290097333</v>
      </c>
      <c r="Y15" s="95">
        <f t="shared" si="3"/>
        <v>9726794.4172349758</v>
      </c>
      <c r="Z15" s="95">
        <f t="shared" si="3"/>
        <v>9969964.2776658498</v>
      </c>
      <c r="AA15" s="95">
        <f t="shared" si="3"/>
        <v>10219213.384607496</v>
      </c>
      <c r="AB15" s="95">
        <f t="shared" si="3"/>
        <v>10474693.719222683</v>
      </c>
      <c r="AC15" s="95">
        <f t="shared" si="3"/>
        <v>10736561.062203247</v>
      </c>
      <c r="AD15" s="95">
        <f t="shared" si="3"/>
        <v>11004975.088758329</v>
      </c>
      <c r="AE15" s="95">
        <f t="shared" si="3"/>
        <v>11280099.465977285</v>
      </c>
      <c r="AF15" s="95">
        <f t="shared" si="3"/>
        <v>11562101.952626716</v>
      </c>
      <c r="AG15" s="95">
        <f t="shared" si="3"/>
        <v>11851154.501442382</v>
      </c>
      <c r="AH15" s="95">
        <f t="shared" si="3"/>
        <v>12147433.36397844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338">
        <v>6000</v>
      </c>
      <c r="D18" s="88">
        <v>3.5000000000000003E-2</v>
      </c>
      <c r="E18" s="95">
        <f>-C18*'Rental Income'!D15</f>
        <v>-906000</v>
      </c>
      <c r="F18" s="89">
        <f>E18*(1+$D$18)</f>
        <v>-937709.99999999988</v>
      </c>
      <c r="G18" s="94">
        <f t="shared" ref="G18:AH18" si="5">F18*(1+$D$18)</f>
        <v>-970529.84999999986</v>
      </c>
      <c r="H18" s="106">
        <f t="shared" si="5"/>
        <v>-1004498.3947499997</v>
      </c>
      <c r="I18" s="106">
        <f t="shared" si="5"/>
        <v>-1039655.8385662497</v>
      </c>
      <c r="J18" s="89">
        <f t="shared" si="5"/>
        <v>-1076043.7929160683</v>
      </c>
      <c r="K18" s="94">
        <f t="shared" si="5"/>
        <v>-1113705.3256681305</v>
      </c>
      <c r="L18" s="89">
        <f t="shared" si="5"/>
        <v>-1152685.0120665149</v>
      </c>
      <c r="M18" s="89">
        <f t="shared" si="5"/>
        <v>-1193028.9874888428</v>
      </c>
      <c r="N18" s="89">
        <f t="shared" si="5"/>
        <v>-1234785.0020509523</v>
      </c>
      <c r="O18" s="89">
        <f t="shared" si="5"/>
        <v>-1278002.4771227355</v>
      </c>
      <c r="P18" s="89">
        <f t="shared" si="5"/>
        <v>-1322732.563822031</v>
      </c>
      <c r="Q18" s="89">
        <f t="shared" si="5"/>
        <v>-1369028.2035558021</v>
      </c>
      <c r="R18" s="89">
        <f t="shared" si="5"/>
        <v>-1416944.1906802552</v>
      </c>
      <c r="S18" s="90">
        <f t="shared" si="5"/>
        <v>-1466537.2373540639</v>
      </c>
      <c r="T18" s="89">
        <f t="shared" si="5"/>
        <v>-1517866.0406614561</v>
      </c>
      <c r="U18" s="89">
        <f t="shared" si="5"/>
        <v>-1570991.3520846069</v>
      </c>
      <c r="V18" s="89">
        <f t="shared" si="5"/>
        <v>-1625976.0494075681</v>
      </c>
      <c r="W18" s="89">
        <f t="shared" si="5"/>
        <v>-1682885.2111368328</v>
      </c>
      <c r="X18" s="89">
        <f t="shared" si="5"/>
        <v>-1741786.1935266219</v>
      </c>
      <c r="Y18" s="89">
        <f t="shared" si="5"/>
        <v>-1802748.7103000535</v>
      </c>
      <c r="Z18" s="89">
        <f t="shared" si="5"/>
        <v>-1865844.9151605552</v>
      </c>
      <c r="AA18" s="89">
        <f t="shared" si="5"/>
        <v>-1931149.4871911744</v>
      </c>
      <c r="AB18" s="89">
        <f t="shared" si="5"/>
        <v>-1998739.7192428655</v>
      </c>
      <c r="AC18" s="89">
        <f t="shared" si="5"/>
        <v>-2068695.6094163656</v>
      </c>
      <c r="AD18" s="89">
        <f t="shared" si="5"/>
        <v>-2141099.9557459382</v>
      </c>
      <c r="AE18" s="89">
        <f t="shared" si="5"/>
        <v>-2216038.4541970459</v>
      </c>
      <c r="AF18" s="89">
        <f t="shared" si="5"/>
        <v>-2293599.8000939423</v>
      </c>
      <c r="AG18" s="89">
        <f t="shared" si="5"/>
        <v>-2373875.7930972301</v>
      </c>
      <c r="AH18" s="89">
        <f t="shared" si="5"/>
        <v>-2456961.4458556329</v>
      </c>
    </row>
    <row r="19" spans="1:34">
      <c r="A19" s="86"/>
      <c r="B19" s="87" t="s">
        <v>314</v>
      </c>
      <c r="C19" s="1713" t="s">
        <v>1099</v>
      </c>
      <c r="D19" s="88">
        <v>1.2500000000000001E-2</v>
      </c>
      <c r="E19" s="95">
        <f>IF(C19="Abatement", 0, -'Tax Calc'!B10)</f>
        <v>-560726.81042438315</v>
      </c>
      <c r="F19" s="89">
        <f>E19*(1+$D$19)</f>
        <v>-567735.89555468794</v>
      </c>
      <c r="G19" s="89">
        <f t="shared" ref="G19:AH19" si="6">F19*(1+$D$19)</f>
        <v>-574832.5942491215</v>
      </c>
      <c r="H19" s="89">
        <f t="shared" si="6"/>
        <v>-582018.00167723547</v>
      </c>
      <c r="I19" s="89">
        <f t="shared" si="6"/>
        <v>-589293.22669820092</v>
      </c>
      <c r="J19" s="89">
        <f t="shared" si="6"/>
        <v>-596659.39203192841</v>
      </c>
      <c r="K19" s="89">
        <f t="shared" si="6"/>
        <v>-604117.63443232747</v>
      </c>
      <c r="L19" s="89">
        <f t="shared" si="6"/>
        <v>-611669.10486273153</v>
      </c>
      <c r="M19" s="89">
        <f t="shared" si="6"/>
        <v>-619314.9686735156</v>
      </c>
      <c r="N19" s="89">
        <f t="shared" si="6"/>
        <v>-627056.4057819345</v>
      </c>
      <c r="O19" s="89">
        <f t="shared" si="6"/>
        <v>-634894.6108542087</v>
      </c>
      <c r="P19" s="89">
        <f t="shared" si="6"/>
        <v>-642830.79348988633</v>
      </c>
      <c r="Q19" s="89">
        <f t="shared" si="6"/>
        <v>-650866.17840850994</v>
      </c>
      <c r="R19" s="89">
        <f t="shared" si="6"/>
        <v>-659002.00563861628</v>
      </c>
      <c r="S19" s="90">
        <f t="shared" si="6"/>
        <v>-667239.53070909891</v>
      </c>
      <c r="T19" s="89">
        <f t="shared" si="6"/>
        <v>-675580.02484296262</v>
      </c>
      <c r="U19" s="89">
        <f t="shared" si="6"/>
        <v>-684024.77515349968</v>
      </c>
      <c r="V19" s="89">
        <f t="shared" si="6"/>
        <v>-692575.08484291844</v>
      </c>
      <c r="W19" s="89">
        <f t="shared" si="6"/>
        <v>-701232.27340345492</v>
      </c>
      <c r="X19" s="89">
        <f t="shared" si="6"/>
        <v>-709997.67682099808</v>
      </c>
      <c r="Y19" s="89">
        <f t="shared" si="6"/>
        <v>-718872.64778126054</v>
      </c>
      <c r="Z19" s="89">
        <f t="shared" si="6"/>
        <v>-727858.5558785263</v>
      </c>
      <c r="AA19" s="89">
        <f t="shared" si="6"/>
        <v>-736956.78782700782</v>
      </c>
      <c r="AB19" s="89">
        <f t="shared" si="6"/>
        <v>-746168.74767484539</v>
      </c>
      <c r="AC19" s="89">
        <f t="shared" si="6"/>
        <v>-755495.85702078091</v>
      </c>
      <c r="AD19" s="89">
        <f t="shared" si="6"/>
        <v>-764939.5552335406</v>
      </c>
      <c r="AE19" s="89">
        <f t="shared" si="6"/>
        <v>-774501.29967395985</v>
      </c>
      <c r="AF19" s="89">
        <f t="shared" si="6"/>
        <v>-784182.56591988436</v>
      </c>
      <c r="AG19" s="89">
        <f t="shared" si="6"/>
        <v>-793984.84799388284</v>
      </c>
      <c r="AH19" s="89">
        <f t="shared" si="6"/>
        <v>-803909.65859380632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-45300</v>
      </c>
      <c r="F20" s="108">
        <f>+E20</f>
        <v>-45300</v>
      </c>
      <c r="G20" s="108">
        <f>F20</f>
        <v>-45300</v>
      </c>
      <c r="H20" s="108">
        <f>G20</f>
        <v>-45300</v>
      </c>
      <c r="I20" s="108">
        <f>H20</f>
        <v>-45300</v>
      </c>
      <c r="J20" s="108">
        <f t="shared" ref="J20:AH20" si="7">I20</f>
        <v>-45300</v>
      </c>
      <c r="K20" s="108">
        <f t="shared" si="7"/>
        <v>-45300</v>
      </c>
      <c r="L20" s="108">
        <f t="shared" si="7"/>
        <v>-45300</v>
      </c>
      <c r="M20" s="108">
        <f t="shared" si="7"/>
        <v>-45300</v>
      </c>
      <c r="N20" s="108">
        <f t="shared" si="7"/>
        <v>-45300</v>
      </c>
      <c r="O20" s="108">
        <f>N20</f>
        <v>-45300</v>
      </c>
      <c r="P20" s="108">
        <f t="shared" si="7"/>
        <v>-45300</v>
      </c>
      <c r="Q20" s="108">
        <f t="shared" si="7"/>
        <v>-45300</v>
      </c>
      <c r="R20" s="108">
        <f t="shared" si="7"/>
        <v>-45300</v>
      </c>
      <c r="S20" s="109">
        <f t="shared" si="7"/>
        <v>-45300</v>
      </c>
      <c r="T20" s="108">
        <f t="shared" si="7"/>
        <v>-45300</v>
      </c>
      <c r="U20" s="108">
        <f t="shared" si="7"/>
        <v>-45300</v>
      </c>
      <c r="V20" s="108">
        <f t="shared" si="7"/>
        <v>-45300</v>
      </c>
      <c r="W20" s="108">
        <f t="shared" si="7"/>
        <v>-45300</v>
      </c>
      <c r="X20" s="108">
        <f t="shared" si="7"/>
        <v>-45300</v>
      </c>
      <c r="Y20" s="108">
        <f t="shared" si="7"/>
        <v>-45300</v>
      </c>
      <c r="Z20" s="108">
        <f t="shared" si="7"/>
        <v>-45300</v>
      </c>
      <c r="AA20" s="108">
        <f t="shared" si="7"/>
        <v>-45300</v>
      </c>
      <c r="AB20" s="108">
        <f t="shared" si="7"/>
        <v>-45300</v>
      </c>
      <c r="AC20" s="108">
        <f t="shared" si="7"/>
        <v>-45300</v>
      </c>
      <c r="AD20" s="108">
        <f t="shared" si="7"/>
        <v>-45300</v>
      </c>
      <c r="AE20" s="108">
        <f t="shared" si="7"/>
        <v>-45300</v>
      </c>
      <c r="AF20" s="108">
        <f t="shared" si="7"/>
        <v>-45300</v>
      </c>
      <c r="AG20" s="108">
        <f t="shared" si="7"/>
        <v>-45300</v>
      </c>
      <c r="AH20" s="108">
        <f t="shared" si="7"/>
        <v>-45300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4423953.1895756172</v>
      </c>
      <c r="F21" s="95">
        <f t="shared" si="8"/>
        <v>4533633.6044453112</v>
      </c>
      <c r="G21" s="95">
        <f t="shared" si="8"/>
        <v>4645826.5432508765</v>
      </c>
      <c r="H21" s="95">
        <f t="shared" si="8"/>
        <v>4760584.8157602623</v>
      </c>
      <c r="I21" s="95">
        <f t="shared" si="8"/>
        <v>4877962.1772277337</v>
      </c>
      <c r="J21" s="95">
        <f t="shared" si="8"/>
        <v>4998013.3386064917</v>
      </c>
      <c r="K21" s="95">
        <f t="shared" si="8"/>
        <v>5120793.9765428919</v>
      </c>
      <c r="L21" s="95">
        <f t="shared" si="8"/>
        <v>5246360.7431301866</v>
      </c>
      <c r="M21" s="95">
        <f t="shared" si="8"/>
        <v>5374771.2753985617</v>
      </c>
      <c r="N21" s="95">
        <f t="shared" si="8"/>
        <v>5506084.2045170534</v>
      </c>
      <c r="O21" s="95">
        <f t="shared" si="8"/>
        <v>5640359.1646817457</v>
      </c>
      <c r="P21" s="95">
        <f t="shared" si="8"/>
        <v>5777656.8016632376</v>
      </c>
      <c r="Q21" s="95">
        <f t="shared" si="8"/>
        <v>5918038.7809852213</v>
      </c>
      <c r="R21" s="95">
        <f t="shared" si="8"/>
        <v>6061567.7957043992</v>
      </c>
      <c r="S21" s="96">
        <f t="shared" si="8"/>
        <v>6208307.5737606902</v>
      </c>
      <c r="T21" s="95">
        <f t="shared" si="8"/>
        <v>6358322.8848650288</v>
      </c>
      <c r="U21" s="95">
        <f t="shared" si="8"/>
        <v>6511679.5468905782</v>
      </c>
      <c r="V21" s="95">
        <f t="shared" si="8"/>
        <v>6668444.4317314122</v>
      </c>
      <c r="W21" s="95">
        <f t="shared" si="8"/>
        <v>6828685.4705911595</v>
      </c>
      <c r="X21" s="95">
        <f t="shared" si="8"/>
        <v>6992471.6586621134</v>
      </c>
      <c r="Y21" s="95">
        <f t="shared" si="8"/>
        <v>7159873.0591536621</v>
      </c>
      <c r="Z21" s="95">
        <f t="shared" si="8"/>
        <v>7330960.8066267679</v>
      </c>
      <c r="AA21" s="95">
        <f t="shared" si="8"/>
        <v>7505807.1095893141</v>
      </c>
      <c r="AB21" s="95">
        <f t="shared" si="8"/>
        <v>7684485.2523049731</v>
      </c>
      <c r="AC21" s="95">
        <f t="shared" si="8"/>
        <v>7867069.595766101</v>
      </c>
      <c r="AD21" s="95">
        <f t="shared" si="8"/>
        <v>8053635.5777788507</v>
      </c>
      <c r="AE21" s="95">
        <f t="shared" si="8"/>
        <v>8244259.71210628</v>
      </c>
      <c r="AF21" s="95">
        <f t="shared" si="8"/>
        <v>8439019.5866128914</v>
      </c>
      <c r="AG21" s="95">
        <f t="shared" si="8"/>
        <v>8637993.8603512701</v>
      </c>
      <c r="AH21" s="95">
        <f t="shared" si="8"/>
        <v>8841262.259529002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-3686627.6579796812</v>
      </c>
      <c r="F22" s="95">
        <f t="shared" ref="F22:AH22" si="9">$E$22</f>
        <v>-3686627.6579796812</v>
      </c>
      <c r="G22" s="95">
        <f t="shared" si="9"/>
        <v>-3686627.6579796812</v>
      </c>
      <c r="H22" s="95">
        <f t="shared" si="9"/>
        <v>-3686627.6579796812</v>
      </c>
      <c r="I22" s="95">
        <f t="shared" si="9"/>
        <v>-3686627.6579796812</v>
      </c>
      <c r="J22" s="95">
        <f t="shared" si="9"/>
        <v>-3686627.6579796812</v>
      </c>
      <c r="K22" s="95">
        <f t="shared" si="9"/>
        <v>-3686627.6579796812</v>
      </c>
      <c r="L22" s="95">
        <f t="shared" si="9"/>
        <v>-3686627.6579796812</v>
      </c>
      <c r="M22" s="95">
        <f t="shared" si="9"/>
        <v>-3686627.6579796812</v>
      </c>
      <c r="N22" s="95">
        <f t="shared" si="9"/>
        <v>-3686627.6579796812</v>
      </c>
      <c r="O22" s="95">
        <f t="shared" si="9"/>
        <v>-3686627.6579796812</v>
      </c>
      <c r="P22" s="95">
        <f t="shared" si="9"/>
        <v>-3686627.6579796812</v>
      </c>
      <c r="Q22" s="95">
        <f t="shared" si="9"/>
        <v>-3686627.6579796812</v>
      </c>
      <c r="R22" s="95">
        <f t="shared" si="9"/>
        <v>-3686627.6579796812</v>
      </c>
      <c r="S22" s="96">
        <f t="shared" si="9"/>
        <v>-3686627.6579796812</v>
      </c>
      <c r="T22" s="95">
        <f t="shared" si="9"/>
        <v>-3686627.6579796812</v>
      </c>
      <c r="U22" s="95">
        <f t="shared" si="9"/>
        <v>-3686627.6579796812</v>
      </c>
      <c r="V22" s="95">
        <f t="shared" si="9"/>
        <v>-3686627.6579796812</v>
      </c>
      <c r="W22" s="95">
        <f t="shared" si="9"/>
        <v>-3686627.6579796812</v>
      </c>
      <c r="X22" s="95">
        <f t="shared" si="9"/>
        <v>-3686627.6579796812</v>
      </c>
      <c r="Y22" s="95">
        <f t="shared" si="9"/>
        <v>-3686627.6579796812</v>
      </c>
      <c r="Z22" s="95">
        <f t="shared" si="9"/>
        <v>-3686627.6579796812</v>
      </c>
      <c r="AA22" s="95">
        <f t="shared" si="9"/>
        <v>-3686627.6579796812</v>
      </c>
      <c r="AB22" s="95">
        <f t="shared" si="9"/>
        <v>-3686627.6579796812</v>
      </c>
      <c r="AC22" s="95">
        <f t="shared" si="9"/>
        <v>-3686627.6579796812</v>
      </c>
      <c r="AD22" s="95">
        <f t="shared" si="9"/>
        <v>-3686627.6579796812</v>
      </c>
      <c r="AE22" s="95">
        <f t="shared" si="9"/>
        <v>-3686627.6579796812</v>
      </c>
      <c r="AF22" s="95">
        <f t="shared" si="9"/>
        <v>-3686627.6579796812</v>
      </c>
      <c r="AG22" s="95">
        <f t="shared" si="9"/>
        <v>-3686627.6579796812</v>
      </c>
      <c r="AH22" s="95">
        <f t="shared" si="9"/>
        <v>-3686627.6579796812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737325.53159593605</v>
      </c>
      <c r="F25" s="119">
        <f t="shared" ref="F25:AH25" si="11">+F21+F22+F23</f>
        <v>847005.94646563008</v>
      </c>
      <c r="G25" s="119">
        <f t="shared" si="11"/>
        <v>959198.88527119532</v>
      </c>
      <c r="H25" s="119">
        <f t="shared" si="11"/>
        <v>1073957.1577805812</v>
      </c>
      <c r="I25" s="119">
        <f t="shared" si="11"/>
        <v>1191334.5192480525</v>
      </c>
      <c r="J25" s="119">
        <f t="shared" si="11"/>
        <v>1311385.6806268105</v>
      </c>
      <c r="K25" s="119">
        <f t="shared" si="11"/>
        <v>1434166.3185632108</v>
      </c>
      <c r="L25" s="119">
        <f t="shared" si="11"/>
        <v>1559733.0851505054</v>
      </c>
      <c r="M25" s="119">
        <f t="shared" si="11"/>
        <v>1688143.6174188806</v>
      </c>
      <c r="N25" s="119">
        <f t="shared" si="11"/>
        <v>1819456.5465373723</v>
      </c>
      <c r="O25" s="119">
        <f t="shared" si="11"/>
        <v>1953731.5067020645</v>
      </c>
      <c r="P25" s="119">
        <f t="shared" si="11"/>
        <v>2091029.1436835565</v>
      </c>
      <c r="Q25" s="119">
        <f t="shared" si="11"/>
        <v>2231411.1230055401</v>
      </c>
      <c r="R25" s="119">
        <f t="shared" si="11"/>
        <v>2374940.1377247181</v>
      </c>
      <c r="S25" s="160">
        <f t="shared" si="11"/>
        <v>2521679.915781009</v>
      </c>
      <c r="T25" s="119">
        <f t="shared" si="11"/>
        <v>2671695.2268853476</v>
      </c>
      <c r="U25" s="119">
        <f t="shared" si="11"/>
        <v>2825051.8889108971</v>
      </c>
      <c r="V25" s="119">
        <f t="shared" si="11"/>
        <v>2981816.773751731</v>
      </c>
      <c r="W25" s="119">
        <f t="shared" si="11"/>
        <v>3142057.8126114784</v>
      </c>
      <c r="X25" s="119">
        <f t="shared" si="11"/>
        <v>3305844.0006824322</v>
      </c>
      <c r="Y25" s="119">
        <f t="shared" si="11"/>
        <v>3473245.4011739809</v>
      </c>
      <c r="Z25" s="119">
        <f t="shared" si="11"/>
        <v>3644333.1486470867</v>
      </c>
      <c r="AA25" s="119">
        <f t="shared" si="11"/>
        <v>3819179.4516096329</v>
      </c>
      <c r="AB25" s="119">
        <f t="shared" si="11"/>
        <v>3997857.5943252919</v>
      </c>
      <c r="AC25" s="119">
        <f t="shared" si="11"/>
        <v>4180441.9377864199</v>
      </c>
      <c r="AD25" s="119">
        <f t="shared" si="11"/>
        <v>4367007.9197991695</v>
      </c>
      <c r="AE25" s="119">
        <f t="shared" si="11"/>
        <v>4557632.0541265989</v>
      </c>
      <c r="AF25" s="119">
        <f t="shared" si="11"/>
        <v>4752391.9286332102</v>
      </c>
      <c r="AG25" s="119">
        <f t="shared" si="11"/>
        <v>4951366.2023715889</v>
      </c>
      <c r="AH25" s="119">
        <f t="shared" si="11"/>
        <v>5154634.6015493209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1.2297508794066283</v>
      </c>
      <c r="G27" s="122">
        <f t="shared" si="12"/>
        <v>1.2601832824627721</v>
      </c>
      <c r="H27" s="122">
        <f t="shared" si="12"/>
        <v>1.2913115338501864</v>
      </c>
      <c r="I27" s="122">
        <f t="shared" si="12"/>
        <v>1.3231502147143654</v>
      </c>
      <c r="J27" s="122">
        <f t="shared" si="12"/>
        <v>1.3557141654347231</v>
      </c>
      <c r="K27" s="122">
        <f t="shared" si="12"/>
        <v>1.3890184883355299</v>
      </c>
      <c r="L27" s="122">
        <f t="shared" si="12"/>
        <v>1.4230785503316217</v>
      </c>
      <c r="M27" s="122">
        <f t="shared" si="12"/>
        <v>1.4579099855025786</v>
      </c>
      <c r="N27" s="122">
        <f t="shared" si="12"/>
        <v>1.4935286975887492</v>
      </c>
      <c r="O27" s="122">
        <f t="shared" si="12"/>
        <v>1.5299508624021809</v>
      </c>
      <c r="P27" s="122">
        <f t="shared" si="12"/>
        <v>1.5671929301451253</v>
      </c>
      <c r="Q27" s="122">
        <f t="shared" si="12"/>
        <v>1.605271627628482</v>
      </c>
      <c r="R27" s="122">
        <f t="shared" si="12"/>
        <v>1.6442039603821059</v>
      </c>
      <c r="S27" s="161">
        <f t="shared" si="12"/>
        <v>1.6840072146485554</v>
      </c>
      <c r="T27" s="122">
        <f t="shared" si="12"/>
        <v>1.7246989592514126</v>
      </c>
      <c r="U27" s="122">
        <f t="shared" si="12"/>
        <v>1.7662970473289026</v>
      </c>
      <c r="V27" s="122">
        <f t="shared" si="12"/>
        <v>1.8088196179230653</v>
      </c>
      <c r="W27" s="122">
        <f t="shared" si="12"/>
        <v>1.8522850974143035</v>
      </c>
      <c r="X27" s="122">
        <f t="shared" si="12"/>
        <v>1.8967122007905937</v>
      </c>
      <c r="Y27" s="122">
        <f t="shared" si="12"/>
        <v>1.9421199327402008</v>
      </c>
      <c r="Z27" s="122">
        <f t="shared" si="12"/>
        <v>1.9885275885561569</v>
      </c>
      <c r="AA27" s="122">
        <f t="shared" si="12"/>
        <v>2.0359547548402519</v>
      </c>
      <c r="AB27" s="122">
        <f t="shared" si="12"/>
        <v>2.0844213099936892</v>
      </c>
      <c r="AC27" s="122">
        <f t="shared" si="12"/>
        <v>2.1339474244809837</v>
      </c>
      <c r="AD27" s="122">
        <f t="shared" si="12"/>
        <v>2.1845535608530495</v>
      </c>
      <c r="AE27" s="122">
        <f t="shared" si="12"/>
        <v>2.2362604735147675</v>
      </c>
      <c r="AF27" s="122">
        <f t="shared" si="12"/>
        <v>2.2890892082216898</v>
      </c>
      <c r="AG27" s="122">
        <f t="shared" si="12"/>
        <v>2.3430611012897899</v>
      </c>
      <c r="AH27" s="122">
        <f t="shared" si="12"/>
        <v>2.3981977785014843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737325.53159593605</v>
      </c>
      <c r="F41" s="129">
        <f t="shared" ref="F41:S41" si="20">F25+F37</f>
        <v>847005.94646563008</v>
      </c>
      <c r="G41" s="129">
        <f t="shared" si="20"/>
        <v>959198.88527119532</v>
      </c>
      <c r="H41" s="129">
        <f t="shared" si="20"/>
        <v>1073957.1577805812</v>
      </c>
      <c r="I41" s="129">
        <f t="shared" si="20"/>
        <v>1191334.5192480525</v>
      </c>
      <c r="J41" s="129">
        <f t="shared" si="20"/>
        <v>1311385.6806268105</v>
      </c>
      <c r="K41" s="129">
        <f t="shared" si="20"/>
        <v>1434166.3185632108</v>
      </c>
      <c r="L41" s="129">
        <f t="shared" si="20"/>
        <v>1559733.0851505054</v>
      </c>
      <c r="M41" s="129">
        <f t="shared" si="20"/>
        <v>1688143.6174188806</v>
      </c>
      <c r="N41" s="129">
        <f t="shared" si="20"/>
        <v>1819456.5465373723</v>
      </c>
      <c r="O41" s="129">
        <f t="shared" si="20"/>
        <v>1953731.5067020645</v>
      </c>
      <c r="P41" s="129">
        <f t="shared" si="20"/>
        <v>2091029.1436835565</v>
      </c>
      <c r="Q41" s="129">
        <f t="shared" si="20"/>
        <v>2231411.1230055401</v>
      </c>
      <c r="R41" s="129">
        <f t="shared" si="20"/>
        <v>2374940.1377247181</v>
      </c>
      <c r="S41" s="130">
        <f t="shared" si="20"/>
        <v>2521679.915781009</v>
      </c>
      <c r="T41" s="130">
        <f t="shared" ref="T41:AH41" si="21">T25+T37</f>
        <v>2671695.2268853476</v>
      </c>
      <c r="U41" s="130">
        <f t="shared" si="21"/>
        <v>2825051.8889108971</v>
      </c>
      <c r="V41" s="130">
        <f t="shared" si="21"/>
        <v>2981816.773751731</v>
      </c>
      <c r="W41" s="130">
        <f t="shared" si="21"/>
        <v>3142057.8126114784</v>
      </c>
      <c r="X41" s="130">
        <f t="shared" si="21"/>
        <v>3305844.0006824322</v>
      </c>
      <c r="Y41" s="130">
        <f t="shared" si="21"/>
        <v>3473245.4011739809</v>
      </c>
      <c r="Z41" s="130">
        <f t="shared" si="21"/>
        <v>3644333.1486470867</v>
      </c>
      <c r="AA41" s="130">
        <f t="shared" si="21"/>
        <v>3819179.4516096329</v>
      </c>
      <c r="AB41" s="130">
        <f t="shared" si="21"/>
        <v>3997857.5943252919</v>
      </c>
      <c r="AC41" s="130">
        <f t="shared" si="21"/>
        <v>4180441.9377864199</v>
      </c>
      <c r="AD41" s="130">
        <f t="shared" si="21"/>
        <v>4367007.9197991695</v>
      </c>
      <c r="AE41" s="130">
        <f t="shared" si="21"/>
        <v>4557632.0541265989</v>
      </c>
      <c r="AF41" s="130">
        <f t="shared" si="21"/>
        <v>4752391.9286332102</v>
      </c>
      <c r="AG41" s="130">
        <f t="shared" si="21"/>
        <v>4951366.2023715889</v>
      </c>
      <c r="AH41" s="130">
        <f t="shared" si="21"/>
        <v>5154634.6015493209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626726.70185654564</v>
      </c>
      <c r="F42" s="129">
        <f t="shared" ref="F42:S42" si="22">((F41*$C$42))</f>
        <v>719955.0544957855</v>
      </c>
      <c r="G42" s="129">
        <f t="shared" si="22"/>
        <v>815319.05248051602</v>
      </c>
      <c r="H42" s="129">
        <f t="shared" si="22"/>
        <v>912863.58411349391</v>
      </c>
      <c r="I42" s="129">
        <f t="shared" si="22"/>
        <v>1012634.3413608446</v>
      </c>
      <c r="J42" s="129">
        <f t="shared" si="22"/>
        <v>1114677.8285327889</v>
      </c>
      <c r="K42" s="129">
        <f t="shared" si="22"/>
        <v>1219041.3707787292</v>
      </c>
      <c r="L42" s="129">
        <f t="shared" si="22"/>
        <v>1325773.1223779295</v>
      </c>
      <c r="M42" s="129">
        <f t="shared" si="22"/>
        <v>1434922.0748060485</v>
      </c>
      <c r="N42" s="129">
        <f t="shared" si="22"/>
        <v>1546538.0645567663</v>
      </c>
      <c r="O42" s="129">
        <f t="shared" si="22"/>
        <v>1660671.7806967548</v>
      </c>
      <c r="P42" s="129">
        <f t="shared" si="22"/>
        <v>1777374.772131023</v>
      </c>
      <c r="Q42" s="129">
        <f t="shared" si="22"/>
        <v>1896699.4545547091</v>
      </c>
      <c r="R42" s="129">
        <f t="shared" si="22"/>
        <v>2018699.1170660104</v>
      </c>
      <c r="S42" s="129">
        <f t="shared" si="22"/>
        <v>2143427.9284138577</v>
      </c>
      <c r="T42" s="129">
        <f t="shared" ref="T42:AH42" si="23">((T41*$C$42))</f>
        <v>2270940.9428525455</v>
      </c>
      <c r="U42" s="129">
        <f t="shared" si="23"/>
        <v>2401294.1055742623</v>
      </c>
      <c r="V42" s="129">
        <f t="shared" si="23"/>
        <v>2534544.2576889712</v>
      </c>
      <c r="W42" s="129">
        <f t="shared" si="23"/>
        <v>2670749.1407197565</v>
      </c>
      <c r="X42" s="129">
        <f t="shared" si="23"/>
        <v>2809967.4005800672</v>
      </c>
      <c r="Y42" s="129">
        <f t="shared" si="23"/>
        <v>2952258.5909978836</v>
      </c>
      <c r="Z42" s="129">
        <f t="shared" si="23"/>
        <v>3097683.1763500236</v>
      </c>
      <c r="AA42" s="129">
        <f t="shared" si="23"/>
        <v>3246302.533868188</v>
      </c>
      <c r="AB42" s="129">
        <f t="shared" si="23"/>
        <v>3398178.9551764983</v>
      </c>
      <c r="AC42" s="129">
        <f t="shared" si="23"/>
        <v>3553375.6471184567</v>
      </c>
      <c r="AD42" s="129">
        <f t="shared" si="23"/>
        <v>3711956.731829294</v>
      </c>
      <c r="AE42" s="129">
        <f t="shared" si="23"/>
        <v>3873987.2460076087</v>
      </c>
      <c r="AF42" s="129">
        <f t="shared" si="23"/>
        <v>4039533.1393382284</v>
      </c>
      <c r="AG42" s="129">
        <f t="shared" si="23"/>
        <v>4208661.2720158501</v>
      </c>
      <c r="AH42" s="129">
        <f t="shared" si="23"/>
        <v>4381439.4113169229</v>
      </c>
    </row>
    <row r="43" spans="1:34">
      <c r="A43" s="86"/>
      <c r="B43" s="132" t="s">
        <v>330</v>
      </c>
      <c r="C43" s="324">
        <f>GapCalc!I32</f>
        <v>0.15</v>
      </c>
      <c r="D43" s="133" t="s">
        <v>1048</v>
      </c>
      <c r="E43" s="108">
        <f>$C$43*(E41)</f>
        <v>110598.82973939041</v>
      </c>
      <c r="F43" s="108">
        <f t="shared" ref="F43:S43" si="24">$C$43*(F41)</f>
        <v>127050.89196984451</v>
      </c>
      <c r="G43" s="108">
        <f t="shared" si="24"/>
        <v>143879.8327906793</v>
      </c>
      <c r="H43" s="108">
        <f t="shared" si="24"/>
        <v>161093.57366708716</v>
      </c>
      <c r="I43" s="108">
        <f t="shared" si="24"/>
        <v>178700.17788720786</v>
      </c>
      <c r="J43" s="108">
        <f t="shared" si="24"/>
        <v>196707.85209402157</v>
      </c>
      <c r="K43" s="108">
        <f t="shared" si="24"/>
        <v>215124.9477844816</v>
      </c>
      <c r="L43" s="108">
        <f t="shared" si="24"/>
        <v>233959.96277257582</v>
      </c>
      <c r="M43" s="108">
        <f t="shared" si="24"/>
        <v>253221.54261283207</v>
      </c>
      <c r="N43" s="108">
        <f t="shared" si="24"/>
        <v>272918.48198060581</v>
      </c>
      <c r="O43" s="108">
        <f t="shared" si="24"/>
        <v>293059.72600530967</v>
      </c>
      <c r="P43" s="108">
        <f t="shared" si="24"/>
        <v>313654.37155253347</v>
      </c>
      <c r="Q43" s="108">
        <f t="shared" si="24"/>
        <v>334711.66845083103</v>
      </c>
      <c r="R43" s="108">
        <f t="shared" si="24"/>
        <v>356241.02065870771</v>
      </c>
      <c r="S43" s="108">
        <f t="shared" si="24"/>
        <v>378251.98736715136</v>
      </c>
      <c r="T43" s="108">
        <f t="shared" ref="T43:AH43" si="25">$C$43*(T41)</f>
        <v>400754.28403280216</v>
      </c>
      <c r="U43" s="108">
        <f t="shared" si="25"/>
        <v>423757.78333663457</v>
      </c>
      <c r="V43" s="108">
        <f t="shared" si="25"/>
        <v>447272.51606275962</v>
      </c>
      <c r="W43" s="108">
        <f t="shared" si="25"/>
        <v>471308.67189172172</v>
      </c>
      <c r="X43" s="108">
        <f t="shared" si="25"/>
        <v>495876.60010236478</v>
      </c>
      <c r="Y43" s="108">
        <f t="shared" si="25"/>
        <v>520986.81017609709</v>
      </c>
      <c r="Z43" s="108">
        <f t="shared" si="25"/>
        <v>546649.97229706298</v>
      </c>
      <c r="AA43" s="108">
        <f t="shared" si="25"/>
        <v>572876.91774144489</v>
      </c>
      <c r="AB43" s="108">
        <f t="shared" si="25"/>
        <v>599678.63914879377</v>
      </c>
      <c r="AC43" s="108">
        <f t="shared" si="25"/>
        <v>627066.29066796298</v>
      </c>
      <c r="AD43" s="108">
        <f t="shared" si="25"/>
        <v>655051.18796987541</v>
      </c>
      <c r="AE43" s="108">
        <f t="shared" si="25"/>
        <v>683644.80811898981</v>
      </c>
      <c r="AF43" s="108">
        <f t="shared" si="25"/>
        <v>712858.78929498151</v>
      </c>
      <c r="AG43" s="108">
        <f t="shared" si="25"/>
        <v>742704.93035573827</v>
      </c>
      <c r="AH43" s="108">
        <f t="shared" si="25"/>
        <v>773195.1902323981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529">
        <f>E21/Data!$C$38</f>
        <v>7.2962684614927512E-2</v>
      </c>
      <c r="F46" s="1529">
        <f>F21/Data!$C$38</f>
        <v>7.4771604640896314E-2</v>
      </c>
      <c r="G46" s="1529">
        <f>G21/Data!$C$38</f>
        <v>7.6621962829446139E-2</v>
      </c>
      <c r="H46" s="1529">
        <f>H21/Data!$C$38</f>
        <v>7.8514630153274548E-2</v>
      </c>
      <c r="I46" s="1529">
        <f>I21/Data!$C$38</f>
        <v>8.0450493178648233E-2</v>
      </c>
      <c r="J46" s="1529">
        <f>J21/Data!$C$38</f>
        <v>8.2430454233836159E-2</v>
      </c>
      <c r="K46" s="1529">
        <f>K21/Data!$C$38</f>
        <v>8.4455431573940545E-2</v>
      </c>
      <c r="L46" s="1529">
        <f>L21/Data!$C$38</f>
        <v>8.652635954176198E-2</v>
      </c>
      <c r="M46" s="1529">
        <f>M21/Data!$C$38</f>
        <v>8.8644188724315162E-2</v>
      </c>
      <c r="N46" s="1529">
        <f>N21/Data!$C$38</f>
        <v>9.0809886104592799E-2</v>
      </c>
      <c r="O46" s="1529">
        <f>O21/Data!$C$38</f>
        <v>9.3024435208155579E-2</v>
      </c>
      <c r="P46" s="1529">
        <f>P21/Data!$C$38</f>
        <v>9.5288836244102434E-2</v>
      </c>
      <c r="Q46" s="1529">
        <f>Q21/Data!$C$38</f>
        <v>9.7604106239956911E-2</v>
      </c>
      <c r="R46" s="1529">
        <f>R21/Data!$C$38</f>
        <v>9.9971279169978639E-2</v>
      </c>
      <c r="S46" s="1529">
        <f>S21/Data!$C$38</f>
        <v>0.10239140607638758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2.3090634732059211E-2</v>
      </c>
      <c r="F47" s="142">
        <f>F41/GapCalc!$H$33</f>
        <v>2.6525468178739197E-2</v>
      </c>
      <c r="G47" s="142">
        <f>G41/GapCalc!$H$33</f>
        <v>3.0038985693680294E-2</v>
      </c>
      <c r="H47" s="142">
        <f>H41/GapCalc!$H$33</f>
        <v>3.3632841106852787E-2</v>
      </c>
      <c r="I47" s="142">
        <f>I41/GapCalc!$H$33</f>
        <v>3.7308717857779609E-2</v>
      </c>
      <c r="J47" s="142">
        <f>J41/GapCalc!$H$33</f>
        <v>4.106832931536239E-2</v>
      </c>
      <c r="K47" s="142">
        <f>K41/GapCalc!$H$33</f>
        <v>4.4913419090867809E-2</v>
      </c>
      <c r="L47" s="142">
        <f>L41/GapCalc!$H$33</f>
        <v>4.8845761343383046E-2</v>
      </c>
      <c r="M47" s="142">
        <f>M41/GapCalc!$H$33</f>
        <v>5.2867161077012857E-2</v>
      </c>
      <c r="N47" s="142">
        <f>N41/GapCalc!$H$33</f>
        <v>5.6979454429053597E-2</v>
      </c>
      <c r="O47" s="142">
        <f>O41/GapCalc!$H$33</f>
        <v>6.1184508948342674E-2</v>
      </c>
      <c r="P47" s="142">
        <f>P41/GapCalc!$H$33</f>
        <v>6.5484223862937341E-2</v>
      </c>
      <c r="Q47" s="142">
        <f>Q41/GapCalc!$H$33</f>
        <v>6.9880530336241198E-2</v>
      </c>
      <c r="R47" s="142">
        <f>R41/GapCalc!$H$33</f>
        <v>7.4375391710645763E-2</v>
      </c>
      <c r="S47" s="142">
        <f>S41/GapCalc!$H$33</f>
        <v>7.897080373771509E-2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1.9627039522250329E-2</v>
      </c>
      <c r="F48" s="142">
        <f>F43/GapCalc!$H$32</f>
        <v>2.2546647951928313E-2</v>
      </c>
      <c r="G48" s="142">
        <f>G43/GapCalc!$H$32</f>
        <v>2.553313783962825E-2</v>
      </c>
      <c r="H48" s="142">
        <f>H43/GapCalc!$H$32</f>
        <v>2.8587914940824865E-2</v>
      </c>
      <c r="I48" s="142">
        <f>I43/GapCalc!$H$32</f>
        <v>3.1712410179112666E-2</v>
      </c>
      <c r="J48" s="142">
        <f>J43/GapCalc!$H$32</f>
        <v>3.4908079918058027E-2</v>
      </c>
      <c r="K48" s="142">
        <f>K43/GapCalc!$H$32</f>
        <v>3.8176406227237634E-2</v>
      </c>
      <c r="L48" s="142">
        <f>L43/GapCalc!$H$32</f>
        <v>4.1518897141875587E-2</v>
      </c>
      <c r="M48" s="142">
        <f>M43/GapCalc!$H$32</f>
        <v>4.4937086915460916E-2</v>
      </c>
      <c r="N48" s="142">
        <f>N43/GapCalc!$H$32</f>
        <v>4.8432536264695548E-2</v>
      </c>
      <c r="O48" s="142">
        <f>O43/GapCalc!$H$32</f>
        <v>5.2006832606091263E-2</v>
      </c>
      <c r="P48" s="142">
        <f>P43/GapCalc!$H$32</f>
        <v>5.5661590283496744E-2</v>
      </c>
      <c r="Q48" s="142">
        <f>Q43/GapCalc!$H$32</f>
        <v>5.939845078580501E-2</v>
      </c>
      <c r="R48" s="142">
        <f>R43/GapCalc!$H$32</f>
        <v>6.3219082954048891E-2</v>
      </c>
      <c r="S48" s="142">
        <f>S43/GapCalc!$H$32</f>
        <v>6.7125183177057832E-2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1057</v>
      </c>
      <c r="G64" s="70" t="s">
        <v>1069</v>
      </c>
    </row>
    <row r="65" spans="2:10" ht="13.5" thickBot="1">
      <c r="B65" s="1518" t="s">
        <v>1039</v>
      </c>
      <c r="C65" s="1519"/>
      <c r="D65" s="1543"/>
      <c r="E65" s="70" t="s">
        <v>1055</v>
      </c>
      <c r="G65" s="1518" t="s">
        <v>1039</v>
      </c>
      <c r="H65" s="1519"/>
      <c r="I65" s="1543"/>
      <c r="J65" s="70" t="s">
        <v>1055</v>
      </c>
    </row>
    <row r="66" spans="2:10">
      <c r="B66" s="1520" t="s">
        <v>1053</v>
      </c>
      <c r="C66" s="1565">
        <f>C70/1.63</f>
        <v>19915491.962941669</v>
      </c>
      <c r="D66" s="1544"/>
      <c r="E66" s="1564" t="s">
        <v>284</v>
      </c>
      <c r="G66" s="1520" t="s">
        <v>1072</v>
      </c>
      <c r="H66" s="1565">
        <f>H70/1.63</f>
        <v>3514498.5816955888</v>
      </c>
      <c r="I66" s="1544"/>
      <c r="J66" s="1564" t="s">
        <v>284</v>
      </c>
    </row>
    <row r="67" spans="2:10" ht="15">
      <c r="B67" s="1521" t="s">
        <v>1054</v>
      </c>
      <c r="C67" s="1580">
        <f>SUMIFS(E42:AH42, E50:AH50, "&lt;=" &amp; VALUE(RIGHT(E66, LEN(E66)-FIND(" ", E66))))</f>
        <v>6421217.9336187039</v>
      </c>
      <c r="D67" s="1545" t="s">
        <v>67</v>
      </c>
      <c r="G67" s="1521" t="s">
        <v>1073</v>
      </c>
      <c r="H67" s="1560">
        <f>SUMIFS(E43:AH43, E50:AH50, "&lt;=" &amp; VALUE(RIGHT(E66, LEN(E66)-FIND(" ", E66))))</f>
        <v>1133156.1059327123</v>
      </c>
      <c r="I67" s="1545" t="s">
        <v>67</v>
      </c>
    </row>
    <row r="68" spans="2:10">
      <c r="B68" s="1521" t="s">
        <v>1077</v>
      </c>
      <c r="C68" s="1568">
        <f>IF(GapCalc!D41*C42&lt; 0,0,GapCalc!D41*C42)</f>
        <v>0</v>
      </c>
      <c r="D68" s="1545" t="s">
        <v>67</v>
      </c>
      <c r="G68" s="1521" t="s">
        <v>1078</v>
      </c>
      <c r="H68" s="1568">
        <f>IF(GapCalc!D41*C43&lt; 0,0,GapCalc!D41*C43)</f>
        <v>0</v>
      </c>
      <c r="I68" s="1545" t="s">
        <v>67</v>
      </c>
    </row>
    <row r="69" spans="2:10">
      <c r="B69" s="1521" t="s">
        <v>1058</v>
      </c>
      <c r="C69" s="1568">
        <f>'Debt Calc'!E60</f>
        <v>26041033.965976216</v>
      </c>
      <c r="D69" s="1546">
        <v>0.9</v>
      </c>
      <c r="G69" s="1521" t="s">
        <v>1074</v>
      </c>
      <c r="H69" s="1568">
        <f>'Debt Calc'!E59*C43</f>
        <v>4595476.5822310969</v>
      </c>
      <c r="I69" s="1546">
        <v>0.9</v>
      </c>
    </row>
    <row r="70" spans="2:10">
      <c r="B70" s="1523" t="s">
        <v>1041</v>
      </c>
      <c r="C70" s="1577">
        <f>C67+C68+C69</f>
        <v>32462251.899594918</v>
      </c>
      <c r="D70" s="1545" t="s">
        <v>67</v>
      </c>
      <c r="G70" s="1523" t="s">
        <v>1041</v>
      </c>
      <c r="H70" s="1577">
        <f>H67+H68+H69</f>
        <v>5728632.6881638095</v>
      </c>
      <c r="I70" s="1545" t="s">
        <v>67</v>
      </c>
    </row>
    <row r="71" spans="2:10">
      <c r="B71" s="1523" t="s">
        <v>1042</v>
      </c>
      <c r="C71" s="1571">
        <f>C70/C66</f>
        <v>1.63</v>
      </c>
      <c r="D71" s="1547"/>
      <c r="G71" s="1523" t="s">
        <v>1042</v>
      </c>
      <c r="H71" s="1571">
        <f>H70/H66</f>
        <v>1.63</v>
      </c>
      <c r="I71" s="1547"/>
    </row>
    <row r="72" spans="2:10">
      <c r="B72" s="1521" t="s">
        <v>1043</v>
      </c>
      <c r="C72" s="1524">
        <f>(C70-C66)/C66</f>
        <v>0.62999999999999989</v>
      </c>
      <c r="D72" s="1548"/>
      <c r="G72" s="1521" t="s">
        <v>1043</v>
      </c>
      <c r="H72" s="1524">
        <f>(H70-H66)/H66</f>
        <v>0.62999999999999989</v>
      </c>
      <c r="I72" s="1548"/>
    </row>
    <row r="73" spans="2:10">
      <c r="B73" s="1523" t="s">
        <v>1044</v>
      </c>
      <c r="C73" s="1566">
        <f>C72/7</f>
        <v>8.9999999999999983E-2</v>
      </c>
      <c r="D73" s="1548"/>
      <c r="G73" s="1523" t="s">
        <v>1044</v>
      </c>
      <c r="H73" s="1566">
        <f>H72/7</f>
        <v>8.9999999999999983E-2</v>
      </c>
      <c r="I73" s="1548"/>
    </row>
    <row r="74" spans="2:10" ht="13.5" thickBot="1">
      <c r="B74" s="1578" t="s">
        <v>1079</v>
      </c>
      <c r="C74" s="1581">
        <f>GapCalc!H33</f>
        <v>31931800.06317573</v>
      </c>
      <c r="D74" s="1549"/>
      <c r="F74" s="1559"/>
      <c r="G74" s="1578" t="s">
        <v>1081</v>
      </c>
      <c r="H74" s="1581">
        <f>GapCalc!H32</f>
        <v>5635023.5405604234</v>
      </c>
      <c r="I74" s="1549"/>
    </row>
    <row r="75" spans="2:10">
      <c r="B75" s="70" t="s">
        <v>1080</v>
      </c>
      <c r="C75" s="1579">
        <f>(C70-C74)/C74</f>
        <v>1.6612024231947797E-2</v>
      </c>
      <c r="G75" s="70" t="s">
        <v>1080</v>
      </c>
      <c r="H75" s="1579">
        <f>(H70-H74)/H74</f>
        <v>1.6612024231947808E-2</v>
      </c>
    </row>
    <row r="76" spans="2:10">
      <c r="B76" s="70" t="s">
        <v>1044</v>
      </c>
      <c r="C76" s="1579">
        <f>C75/7</f>
        <v>2.3731463188496854E-3</v>
      </c>
      <c r="G76" s="70" t="s">
        <v>1044</v>
      </c>
      <c r="H76" s="1579">
        <f>H75/7</f>
        <v>2.3731463188496867E-3</v>
      </c>
    </row>
    <row r="78" spans="2:10" ht="13.5" thickBot="1">
      <c r="B78" s="70" t="s">
        <v>1060</v>
      </c>
    </row>
    <row r="79" spans="2:10" ht="13.5" thickBot="1">
      <c r="B79" s="1518" t="s">
        <v>1039</v>
      </c>
      <c r="C79" s="1519"/>
      <c r="D79" s="1543"/>
      <c r="E79" s="70" t="s">
        <v>1055</v>
      </c>
    </row>
    <row r="80" spans="2:10">
      <c r="B80" s="1520" t="s">
        <v>1053</v>
      </c>
      <c r="C80" s="1565">
        <f>C84/1.8</f>
        <v>5960250.6640885817</v>
      </c>
      <c r="D80" s="1544"/>
      <c r="E80" s="1564" t="s">
        <v>287</v>
      </c>
    </row>
    <row r="81" spans="2:10" ht="15">
      <c r="B81" s="1521" t="s">
        <v>1054</v>
      </c>
      <c r="C81" s="1560">
        <f>SUMIFS(E42:AH42, E50:AH50, "&lt;=" &amp; VALUE(RIGHT(E80, LEN(E80)-FIND(" ", E80))))</f>
        <v>10728451.195359448</v>
      </c>
      <c r="D81" s="1545" t="s">
        <v>67</v>
      </c>
    </row>
    <row r="82" spans="2:10">
      <c r="B82" s="1521" t="s">
        <v>1058</v>
      </c>
      <c r="C82" s="1568">
        <f>C68</f>
        <v>0</v>
      </c>
      <c r="D82" s="1545" t="s">
        <v>67</v>
      </c>
    </row>
    <row r="83" spans="2:10">
      <c r="B83" s="1521" t="s">
        <v>1040</v>
      </c>
      <c r="C83" s="1522"/>
      <c r="D83" s="1546">
        <v>0.9</v>
      </c>
    </row>
    <row r="84" spans="2:10">
      <c r="B84" s="1523" t="s">
        <v>1041</v>
      </c>
      <c r="C84" s="1577">
        <f>C81+C82+C83</f>
        <v>10728451.195359448</v>
      </c>
      <c r="D84" s="1545" t="s">
        <v>67</v>
      </c>
    </row>
    <row r="85" spans="2:10">
      <c r="B85" s="1523" t="s">
        <v>1042</v>
      </c>
      <c r="C85" s="1567">
        <v>1.8</v>
      </c>
      <c r="D85" s="1547"/>
    </row>
    <row r="86" spans="2:10">
      <c r="B86" s="1521" t="s">
        <v>1043</v>
      </c>
      <c r="C86" s="1524">
        <f>(C84-C80)/C80</f>
        <v>0.80000000000000016</v>
      </c>
      <c r="D86" s="1548"/>
    </row>
    <row r="87" spans="2:10">
      <c r="B87" s="1523" t="s">
        <v>1044</v>
      </c>
      <c r="C87" s="1566">
        <f>C86/10</f>
        <v>8.0000000000000016E-2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1057</v>
      </c>
      <c r="G91" s="70" t="s">
        <v>1069</v>
      </c>
    </row>
    <row r="92" spans="2:10" ht="13.5" thickBot="1">
      <c r="B92" s="1518" t="s">
        <v>1039</v>
      </c>
      <c r="C92" s="1519"/>
      <c r="D92" s="1543"/>
      <c r="E92" s="70" t="s">
        <v>1055</v>
      </c>
      <c r="G92" s="1518" t="s">
        <v>1039</v>
      </c>
      <c r="H92" s="1519"/>
      <c r="I92" s="1543"/>
      <c r="J92" s="70" t="s">
        <v>1055</v>
      </c>
    </row>
    <row r="93" spans="2:10">
      <c r="B93" s="1520" t="s">
        <v>1053</v>
      </c>
      <c r="C93" s="1565">
        <f>C97/1.63</f>
        <v>29359268.184658453</v>
      </c>
      <c r="D93" s="1544"/>
      <c r="E93" s="1564" t="s">
        <v>287</v>
      </c>
      <c r="G93" s="1520" t="s">
        <v>1072</v>
      </c>
      <c r="H93" s="1565">
        <f>H97/1.63</f>
        <v>3980817.5923495847</v>
      </c>
      <c r="I93" s="1544"/>
      <c r="J93" s="1564" t="s">
        <v>287</v>
      </c>
    </row>
    <row r="94" spans="2:10" ht="15">
      <c r="B94" s="1521" t="s">
        <v>1054</v>
      </c>
      <c r="C94" s="1580">
        <f>SUMIFS(E42:AH42, E50:AH50, "&lt;=" &amp; VALUE(RIGHT(E93, LEN(E93)-FIND(" ", E93))))</f>
        <v>10728451.195359448</v>
      </c>
      <c r="D94" s="1545" t="s">
        <v>67</v>
      </c>
      <c r="G94" s="1521" t="s">
        <v>1073</v>
      </c>
      <c r="H94" s="1560">
        <f>SUMIFS(E43:AH43, E50:AH50, "&lt;=" &amp; VALUE(RIGHT(J93, LEN(J93)-FIND(" ", J93))))</f>
        <v>1893256.093298726</v>
      </c>
      <c r="I94" s="1545" t="s">
        <v>67</v>
      </c>
    </row>
    <row r="95" spans="2:10">
      <c r="B95" s="1521" t="s">
        <v>1077</v>
      </c>
      <c r="C95" s="1568">
        <f>IF(GapCalc!D41*C42&lt; 0,0,GapCalc!D41*C42)</f>
        <v>0</v>
      </c>
      <c r="D95" s="1545" t="s">
        <v>67</v>
      </c>
      <c r="G95" s="1521" t="s">
        <v>1078</v>
      </c>
      <c r="H95" s="1568">
        <f>IF(GapCalc!D41*C43&lt; 0,0,GapCalc!D41*C43)</f>
        <v>0</v>
      </c>
      <c r="I95" s="1545" t="s">
        <v>67</v>
      </c>
    </row>
    <row r="96" spans="2:10">
      <c r="B96" s="1521" t="s">
        <v>1058</v>
      </c>
      <c r="C96" s="1568">
        <f>'Debt Calc'!H60</f>
        <v>37127155.945633829</v>
      </c>
      <c r="D96" s="1546">
        <v>0.9</v>
      </c>
      <c r="G96" s="1521" t="s">
        <v>1074</v>
      </c>
      <c r="H96" s="1568">
        <f>'Debt Calc'!E59*C43</f>
        <v>4595476.5822310969</v>
      </c>
      <c r="I96" s="1546">
        <v>0.9</v>
      </c>
    </row>
    <row r="97" spans="2:9">
      <c r="B97" s="1523" t="s">
        <v>1041</v>
      </c>
      <c r="C97" s="1577">
        <f>C94+C95+C96</f>
        <v>47855607.140993275</v>
      </c>
      <c r="D97" s="1545" t="s">
        <v>67</v>
      </c>
      <c r="G97" s="1523" t="s">
        <v>1041</v>
      </c>
      <c r="H97" s="1577">
        <f>H94+H95+H96</f>
        <v>6488732.6755298227</v>
      </c>
      <c r="I97" s="1545" t="s">
        <v>67</v>
      </c>
    </row>
    <row r="98" spans="2:9">
      <c r="B98" s="1523" t="s">
        <v>1042</v>
      </c>
      <c r="C98" s="1571">
        <f>C97/C93</f>
        <v>1.63</v>
      </c>
      <c r="D98" s="1547"/>
      <c r="G98" s="1523" t="s">
        <v>1042</v>
      </c>
      <c r="H98" s="1571">
        <f>H97/H93</f>
        <v>1.63</v>
      </c>
      <c r="I98" s="1547"/>
    </row>
    <row r="99" spans="2:9">
      <c r="B99" s="1521" t="s">
        <v>1043</v>
      </c>
      <c r="C99" s="1524">
        <f>(C97-C93)/C93</f>
        <v>0.62999999999999989</v>
      </c>
      <c r="D99" s="1548"/>
      <c r="G99" s="1521" t="s">
        <v>1043</v>
      </c>
      <c r="H99" s="1524">
        <f>(H97-H93)/H93</f>
        <v>0.62999999999999989</v>
      </c>
      <c r="I99" s="1548"/>
    </row>
    <row r="100" spans="2:9">
      <c r="B100" s="1523" t="s">
        <v>1044</v>
      </c>
      <c r="C100" s="1566">
        <f>C99/7</f>
        <v>8.9999999999999983E-2</v>
      </c>
      <c r="D100" s="1548"/>
      <c r="G100" s="1523" t="s">
        <v>1044</v>
      </c>
      <c r="H100" s="1566">
        <f>H99/7</f>
        <v>8.9999999999999983E-2</v>
      </c>
      <c r="I100" s="1548"/>
    </row>
    <row r="101" spans="2:9" ht="13.5" thickBot="1">
      <c r="B101" s="1578" t="s">
        <v>1079</v>
      </c>
      <c r="C101" s="1581">
        <f>GapCalc!H33</f>
        <v>31931800.06317573</v>
      </c>
      <c r="D101" s="1549"/>
      <c r="G101" s="1578" t="s">
        <v>1081</v>
      </c>
      <c r="H101" s="1581">
        <f>GapCalc!H32</f>
        <v>5635023.5405604234</v>
      </c>
      <c r="I101" s="1549"/>
    </row>
    <row r="102" spans="2:9">
      <c r="B102" s="70" t="s">
        <v>1080</v>
      </c>
      <c r="C102" s="1579">
        <f>(C97-C101)/C101</f>
        <v>0.49868178575316641</v>
      </c>
      <c r="G102" s="70" t="s">
        <v>1080</v>
      </c>
      <c r="H102" s="1579">
        <f>(H97-H101)/H101</f>
        <v>0.15150054455397979</v>
      </c>
    </row>
    <row r="103" spans="2:9">
      <c r="B103" s="70" t="s">
        <v>1044</v>
      </c>
      <c r="C103" s="1579">
        <f>C102/10</f>
        <v>4.9868178575316641E-2</v>
      </c>
      <c r="G103" s="70" t="s">
        <v>1044</v>
      </c>
      <c r="H103" s="1579">
        <f>H102/10</f>
        <v>1.5150054455397979E-2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649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650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651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652</v>
      </c>
      <c r="C11" s="875">
        <f>'Rental Income'!E17</f>
        <v>122620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653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654</v>
      </c>
      <c r="C13" s="875">
        <f>SUM(C11:C12)*D13</f>
        <v>24524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655</v>
      </c>
      <c r="C14" s="886">
        <f>SUM(C11:C13)</f>
        <v>147144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656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657</v>
      </c>
      <c r="C19" s="897">
        <f>SUM(C14:C16)</f>
        <v>147144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658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659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660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652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654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661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655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662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663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656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657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664</v>
      </c>
      <c r="C34" s="904">
        <f>C19+C32</f>
        <v>147144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665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666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667</v>
      </c>
      <c r="C38" s="909" t="s">
        <v>668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669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605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670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429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671</v>
      </c>
      <c r="B46" s="855"/>
      <c r="C46" s="855"/>
      <c r="D46" s="855"/>
      <c r="E46" s="855" t="s">
        <v>672</v>
      </c>
      <c r="F46" s="915"/>
      <c r="G46" s="855"/>
      <c r="H46" s="855"/>
      <c r="I46" s="855"/>
      <c r="J46" s="855"/>
      <c r="K46" s="855"/>
      <c r="L46" s="1397" t="s">
        <v>969</v>
      </c>
      <c r="M46" s="1399">
        <f>'Rental Income'!D15</f>
        <v>151</v>
      </c>
      <c r="N46" s="1394"/>
      <c r="O46" s="1394"/>
      <c r="P46" s="1394"/>
      <c r="Q46" s="855"/>
    </row>
    <row r="47" spans="1:18">
      <c r="A47" s="889"/>
      <c r="B47" s="888" t="s">
        <v>673</v>
      </c>
      <c r="C47" s="916">
        <f>ROUNDDOWN(M46*M47,1)</f>
        <v>75.5</v>
      </c>
      <c r="D47" s="876"/>
      <c r="E47" s="917"/>
      <c r="F47" s="918"/>
      <c r="G47" s="873" t="s">
        <v>674</v>
      </c>
      <c r="H47" s="919" t="s">
        <v>675</v>
      </c>
      <c r="I47" s="873" t="s">
        <v>676</v>
      </c>
      <c r="J47" s="873" t="s">
        <v>677</v>
      </c>
      <c r="K47" s="855"/>
      <c r="L47" s="1398" t="s">
        <v>970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605</v>
      </c>
      <c r="C48" s="922">
        <f>P65</f>
        <v>0</v>
      </c>
      <c r="D48" s="876"/>
      <c r="E48" s="855" t="s">
        <v>678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679</v>
      </c>
      <c r="C49" s="916">
        <f>SUM(C47:C48)</f>
        <v>75.5</v>
      </c>
      <c r="D49" s="876"/>
      <c r="E49" s="855" t="s">
        <v>576</v>
      </c>
      <c r="F49" s="855"/>
      <c r="G49" s="923">
        <v>143</v>
      </c>
      <c r="H49" s="884">
        <f>C53*D53</f>
        <v>30199.769230769234</v>
      </c>
      <c r="I49" s="884">
        <f>G49*H49</f>
        <v>4318567.0000000009</v>
      </c>
      <c r="J49" s="925">
        <f>IFERROR(I49/C53,0)</f>
        <v>56823.250000000015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680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681</v>
      </c>
      <c r="C51" s="917"/>
      <c r="D51" s="918" t="s">
        <v>682</v>
      </c>
      <c r="E51" s="929" t="s">
        <v>59</v>
      </c>
      <c r="F51" s="929"/>
      <c r="G51" s="929"/>
      <c r="H51" s="930">
        <f>SUM(H48:H50)</f>
        <v>30199.769230769234</v>
      </c>
      <c r="I51" s="930">
        <f>SUM(I48:I50)</f>
        <v>4318567.0000000009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678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576</v>
      </c>
      <c r="C53" s="931">
        <v>76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669</v>
      </c>
      <c r="I53" s="934">
        <f>I51/C49*C47</f>
        <v>4318567.0000000009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680</v>
      </c>
      <c r="C54" s="935">
        <v>0</v>
      </c>
      <c r="D54" s="936">
        <v>425</v>
      </c>
      <c r="E54" s="855"/>
      <c r="F54" s="937"/>
      <c r="G54" s="855"/>
      <c r="H54" s="879" t="s">
        <v>683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679</v>
      </c>
      <c r="C55" s="880">
        <f>SUM(C52:C54)</f>
        <v>76</v>
      </c>
      <c r="D55" s="855"/>
      <c r="E55" s="855"/>
      <c r="F55" s="937"/>
      <c r="G55" s="855"/>
      <c r="H55" s="872" t="s">
        <v>684</v>
      </c>
      <c r="I55" s="939">
        <f>SUM(I53:I54)</f>
        <v>4318567.0000000009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685</v>
      </c>
      <c r="C56" s="941">
        <f>C49-C55</f>
        <v>-0.5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686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687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688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689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690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692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693</v>
      </c>
      <c r="C65" s="1743"/>
      <c r="D65" s="1743"/>
      <c r="E65" s="1735"/>
      <c r="F65" s="1745" t="s">
        <v>694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695</v>
      </c>
      <c r="C66" s="1736">
        <f>2000+1000</f>
        <v>3000</v>
      </c>
      <c r="D66" s="1735"/>
      <c r="E66" s="1735"/>
      <c r="F66" s="1737" t="s">
        <v>696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697</v>
      </c>
      <c r="C67" s="1736">
        <v>0</v>
      </c>
      <c r="D67" s="1733">
        <v>0.04</v>
      </c>
      <c r="E67" s="1735"/>
      <c r="F67" s="1737" t="s">
        <v>698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698</v>
      </c>
      <c r="C68" s="1736">
        <v>0</v>
      </c>
      <c r="D68" s="1733">
        <v>0.04</v>
      </c>
      <c r="E68" s="1735"/>
      <c r="F68" s="1735" t="s">
        <v>59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699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59</v>
      </c>
      <c r="C70" s="1736">
        <f>SUM(C66:C69)</f>
        <v>8330</v>
      </c>
      <c r="D70" s="1748"/>
      <c r="E70" s="1735"/>
      <c r="F70" s="1749" t="s">
        <v>700</v>
      </c>
      <c r="G70" s="1750" t="s">
        <v>701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702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695</v>
      </c>
      <c r="C73" s="1736">
        <v>1000</v>
      </c>
      <c r="D73" s="1748" t="s">
        <v>703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704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698</v>
      </c>
      <c r="C75" s="1732">
        <v>0</v>
      </c>
      <c r="D75" s="1733">
        <v>0.02</v>
      </c>
      <c r="E75" s="1735" t="s">
        <v>705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699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59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700</v>
      </c>
      <c r="B79" s="1752" t="s">
        <v>706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3686627.6579796812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53105763.18964833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53105700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16239467.286761554</v>
      </c>
    </row>
    <row r="15" spans="2:36">
      <c r="B15" s="556"/>
      <c r="C15" s="560" t="s">
        <v>633</v>
      </c>
      <c r="H15" s="561">
        <f>12*PMT(Data!C24/12,Data!C29*12,-'Debt Calc'!H14)</f>
        <v>3686623.2713238434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1332452.2467164341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1332452.2467164341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53105700</v>
      </c>
      <c r="E21" s="561">
        <f>$H$15</f>
        <v>3686623.2713238434</v>
      </c>
      <c r="F21" s="561">
        <f>E21-G21</f>
        <v>0</v>
      </c>
      <c r="G21" s="561">
        <f>D21-H21</f>
        <v>3686623.2713238448</v>
      </c>
      <c r="H21" s="561">
        <f>D21-E21</f>
        <v>49419076.728676155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49419076.728676155</v>
      </c>
      <c r="E22" s="561">
        <f t="shared" ref="E22:E50" si="1">$H$15</f>
        <v>3686623.2713238434</v>
      </c>
      <c r="F22" s="561">
        <f t="shared" ref="F22:F50" si="2">E22-G22</f>
        <v>0</v>
      </c>
      <c r="G22" s="561">
        <f t="shared" ref="G22:G50" si="3">D22-H22</f>
        <v>3686623.2713238448</v>
      </c>
      <c r="H22" s="561">
        <f t="shared" ref="H22:H39" si="4">D22-E22</f>
        <v>45732453.45735231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45732453.45735231</v>
      </c>
      <c r="E23" s="561">
        <f t="shared" si="1"/>
        <v>3686623.2713238434</v>
      </c>
      <c r="F23" s="561">
        <f t="shared" si="2"/>
        <v>0</v>
      </c>
      <c r="G23" s="561">
        <f t="shared" si="3"/>
        <v>3686623.2713238448</v>
      </c>
      <c r="H23" s="561">
        <f t="shared" si="4"/>
        <v>42045830.186028466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42045830.186028466</v>
      </c>
      <c r="E24" s="561">
        <f t="shared" si="1"/>
        <v>3686623.2713238434</v>
      </c>
      <c r="F24" s="561">
        <f t="shared" si="2"/>
        <v>0</v>
      </c>
      <c r="G24" s="561">
        <f t="shared" si="3"/>
        <v>3686623.2713238448</v>
      </c>
      <c r="H24" s="561">
        <f t="shared" si="4"/>
        <v>38359206.914704621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38359206.914704621</v>
      </c>
      <c r="E25" s="561">
        <f t="shared" si="1"/>
        <v>3686623.2713238434</v>
      </c>
      <c r="F25" s="561">
        <f t="shared" si="2"/>
        <v>0</v>
      </c>
      <c r="G25" s="561">
        <f t="shared" si="3"/>
        <v>3686623.2713238448</v>
      </c>
      <c r="H25" s="561">
        <f t="shared" si="4"/>
        <v>34672583.643380776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34672583.643380776</v>
      </c>
      <c r="E26" s="561">
        <f t="shared" si="1"/>
        <v>3686623.2713238434</v>
      </c>
      <c r="F26" s="561">
        <f t="shared" si="2"/>
        <v>0</v>
      </c>
      <c r="G26" s="561">
        <f t="shared" si="3"/>
        <v>3686623.2713238448</v>
      </c>
      <c r="H26" s="561">
        <f t="shared" si="4"/>
        <v>30985960.372056931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30985960.372056931</v>
      </c>
      <c r="E27" s="561">
        <f t="shared" si="1"/>
        <v>3686623.2713238434</v>
      </c>
      <c r="F27" s="561">
        <f t="shared" si="2"/>
        <v>0</v>
      </c>
      <c r="G27" s="561">
        <f t="shared" si="3"/>
        <v>3686623.2713238448</v>
      </c>
      <c r="H27" s="561">
        <f t="shared" si="4"/>
        <v>27299337.100733086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27299337.100733086</v>
      </c>
      <c r="E28" s="561">
        <f t="shared" si="1"/>
        <v>3686623.2713238434</v>
      </c>
      <c r="F28" s="561">
        <f t="shared" si="2"/>
        <v>0</v>
      </c>
      <c r="G28" s="561">
        <f t="shared" si="3"/>
        <v>3686623.2713238448</v>
      </c>
      <c r="H28" s="561">
        <f t="shared" si="4"/>
        <v>23612713.829409242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23612713.829409242</v>
      </c>
      <c r="E29" s="561">
        <f t="shared" si="1"/>
        <v>3686623.2713238434</v>
      </c>
      <c r="F29" s="561">
        <f t="shared" si="2"/>
        <v>0</v>
      </c>
      <c r="G29" s="561">
        <f t="shared" si="3"/>
        <v>3686623.2713238448</v>
      </c>
      <c r="H29" s="561">
        <f t="shared" si="4"/>
        <v>19926090.558085397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19926090.558085397</v>
      </c>
      <c r="E30" s="561">
        <f t="shared" si="1"/>
        <v>3686623.2713238434</v>
      </c>
      <c r="F30" s="561">
        <f t="shared" si="2"/>
        <v>0</v>
      </c>
      <c r="G30" s="561">
        <f t="shared" si="3"/>
        <v>3686623.2713238429</v>
      </c>
      <c r="H30" s="561">
        <f>D30-E30</f>
        <v>16239467.286761554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16239467.286761554</v>
      </c>
      <c r="E31" s="561">
        <f t="shared" si="1"/>
        <v>3686623.2713238434</v>
      </c>
      <c r="F31" s="561">
        <f t="shared" si="2"/>
        <v>0</v>
      </c>
      <c r="G31" s="561">
        <f t="shared" si="3"/>
        <v>3686623.2713238429</v>
      </c>
      <c r="H31" s="561">
        <f t="shared" si="4"/>
        <v>12552844.015437711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12552844.015437711</v>
      </c>
      <c r="E32" s="561">
        <f t="shared" si="1"/>
        <v>3686623.2713238434</v>
      </c>
      <c r="F32" s="561">
        <f t="shared" si="2"/>
        <v>0</v>
      </c>
      <c r="G32" s="561">
        <f t="shared" si="3"/>
        <v>3686623.2713238429</v>
      </c>
      <c r="H32" s="561">
        <f t="shared" si="4"/>
        <v>8866220.7441138681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8866220.7441138681</v>
      </c>
      <c r="E33" s="561">
        <f t="shared" si="1"/>
        <v>3686623.2713238434</v>
      </c>
      <c r="F33" s="561">
        <f t="shared" si="2"/>
        <v>0</v>
      </c>
      <c r="G33" s="561">
        <f t="shared" si="3"/>
        <v>3686623.2713238429</v>
      </c>
      <c r="H33" s="561">
        <f t="shared" si="4"/>
        <v>5179597.4727900252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5179597.4727900252</v>
      </c>
      <c r="E34" s="561">
        <f t="shared" si="1"/>
        <v>3686623.2713238434</v>
      </c>
      <c r="F34" s="561">
        <f t="shared" si="2"/>
        <v>0</v>
      </c>
      <c r="G34" s="561">
        <f t="shared" si="3"/>
        <v>3686623.2713238434</v>
      </c>
      <c r="H34" s="561">
        <f t="shared" si="4"/>
        <v>1492974.2014661818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1492974.2014661818</v>
      </c>
      <c r="E35" s="561">
        <f t="shared" si="1"/>
        <v>3686623.2713238434</v>
      </c>
      <c r="F35" s="561">
        <f t="shared" si="2"/>
        <v>0</v>
      </c>
      <c r="G35" s="561">
        <f t="shared" si="3"/>
        <v>3686623.2713238434</v>
      </c>
      <c r="H35" s="561">
        <f t="shared" si="4"/>
        <v>-2193649.0698576616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-2193649.0698576616</v>
      </c>
      <c r="E36" s="561">
        <f t="shared" si="1"/>
        <v>3686623.2713238434</v>
      </c>
      <c r="F36" s="561">
        <f t="shared" si="2"/>
        <v>0</v>
      </c>
      <c r="G36" s="561">
        <f t="shared" si="3"/>
        <v>3686623.2713238439</v>
      </c>
      <c r="H36" s="561">
        <f t="shared" si="4"/>
        <v>-5880272.3411815055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-5880272.3411815055</v>
      </c>
      <c r="E37" s="561">
        <f t="shared" si="1"/>
        <v>3686623.2713238434</v>
      </c>
      <c r="F37" s="561">
        <f t="shared" si="2"/>
        <v>0</v>
      </c>
      <c r="G37" s="561">
        <f t="shared" si="3"/>
        <v>3686623.2713238429</v>
      </c>
      <c r="H37" s="561">
        <f t="shared" si="4"/>
        <v>-9566895.6125053484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-9566895.6125053484</v>
      </c>
      <c r="E38" s="561">
        <f t="shared" si="1"/>
        <v>3686623.2713238434</v>
      </c>
      <c r="F38" s="561">
        <f t="shared" si="2"/>
        <v>0</v>
      </c>
      <c r="G38" s="561">
        <f t="shared" si="3"/>
        <v>3686623.2713238429</v>
      </c>
      <c r="H38" s="561">
        <f>D38-E38</f>
        <v>-13253518.883829191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-13253518.883829191</v>
      </c>
      <c r="E39" s="561">
        <f t="shared" si="1"/>
        <v>3686623.2713238434</v>
      </c>
      <c r="F39" s="561">
        <f t="shared" si="2"/>
        <v>0</v>
      </c>
      <c r="G39" s="561">
        <f t="shared" si="3"/>
        <v>3686623.2713238448</v>
      </c>
      <c r="H39" s="561">
        <f t="shared" si="4"/>
        <v>-16940142.155153036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-16940142.155153036</v>
      </c>
      <c r="E40" s="561">
        <f t="shared" si="1"/>
        <v>3686623.2713238434</v>
      </c>
      <c r="F40" s="561">
        <f t="shared" si="2"/>
        <v>20626765.426476881</v>
      </c>
      <c r="G40" s="561">
        <f t="shared" si="3"/>
        <v>-16940142.155153036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3686623.2713238434</v>
      </c>
      <c r="F41" s="561">
        <f t="shared" si="2"/>
        <v>3686623.2713238434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3686623.2713238434</v>
      </c>
      <c r="F42" s="561">
        <f t="shared" si="2"/>
        <v>3686623.2713238434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3686623.2713238434</v>
      </c>
      <c r="F43" s="561">
        <f t="shared" si="2"/>
        <v>3686623.2713238434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3686623.2713238434</v>
      </c>
      <c r="F44" s="561">
        <f t="shared" si="2"/>
        <v>3686623.2713238434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3686623.2713238434</v>
      </c>
      <c r="F45" s="561">
        <f t="shared" si="2"/>
        <v>3686623.2713238434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3686623.2713238434</v>
      </c>
      <c r="F46" s="561">
        <f t="shared" si="2"/>
        <v>3686623.2713238434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3686623.2713238434</v>
      </c>
      <c r="F47" s="561">
        <f t="shared" si="2"/>
        <v>3686623.2713238434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3686623.2713238434</v>
      </c>
      <c r="F48" s="561">
        <f t="shared" si="2"/>
        <v>3686623.2713238434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3686623.2713238434</v>
      </c>
      <c r="F49" s="561">
        <f t="shared" si="2"/>
        <v>3686623.2713238434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3686623.2713238434</v>
      </c>
      <c r="F50" s="561">
        <f t="shared" si="2"/>
        <v>3686623.2713238434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1076</v>
      </c>
      <c r="E54" s="1657"/>
      <c r="F54" s="561"/>
      <c r="G54" s="1658" t="s">
        <v>1087</v>
      </c>
      <c r="H54" s="1659"/>
    </row>
    <row r="55" spans="2:28">
      <c r="D55" s="1655" t="s">
        <v>1063</v>
      </c>
      <c r="E55" s="1664">
        <f>'Cash Flow'!K15/0.05</f>
        <v>137678338.732867</v>
      </c>
      <c r="F55" s="561"/>
      <c r="G55" s="1663" t="s">
        <v>1063</v>
      </c>
      <c r="H55" s="1667">
        <f>'Cash Flow'!N15/0.05</f>
        <v>148264512.24699879</v>
      </c>
    </row>
    <row r="56" spans="2:28">
      <c r="D56" s="1653" t="s">
        <v>1064</v>
      </c>
      <c r="E56" s="1665">
        <f>'Cash Flow'!K21/1.2</f>
        <v>4267328.3137857439</v>
      </c>
      <c r="F56" s="561"/>
      <c r="G56" s="1661" t="s">
        <v>1064</v>
      </c>
      <c r="H56" s="1668">
        <f>'Cash Flow'!N21/1.2</f>
        <v>4588403.5037642112</v>
      </c>
    </row>
    <row r="57" spans="2:28">
      <c r="D57" s="1653" t="s">
        <v>1065</v>
      </c>
      <c r="E57" s="1665">
        <f>E55*0.6</f>
        <v>82607003.239720196</v>
      </c>
      <c r="F57" s="561"/>
      <c r="G57" s="1661" t="s">
        <v>1065</v>
      </c>
      <c r="H57" s="1668">
        <f>H55*0.6</f>
        <v>88958707.348199263</v>
      </c>
    </row>
    <row r="58" spans="2:28">
      <c r="D58" s="1653" t="s">
        <v>1066</v>
      </c>
      <c r="E58" s="1665">
        <f>-PV(6.5%,34,E56)</f>
        <v>57935847.648940399</v>
      </c>
      <c r="F58" s="561"/>
      <c r="G58" s="1661" t="s">
        <v>1066</v>
      </c>
      <c r="H58" s="1668">
        <f>-PV(6.5%,30,H56)</f>
        <v>59918474.281624883</v>
      </c>
    </row>
    <row r="59" spans="2:28">
      <c r="D59" s="1652" t="s">
        <v>1067</v>
      </c>
      <c r="E59" s="1665">
        <f>E58-H27</f>
        <v>30636510.548207313</v>
      </c>
      <c r="F59" s="561"/>
      <c r="G59" s="1660" t="s">
        <v>1067</v>
      </c>
      <c r="H59" s="1668">
        <f>H58-H30</f>
        <v>43679006.994863331</v>
      </c>
    </row>
    <row r="60" spans="2:28" ht="13.5" thickBot="1">
      <c r="D60" s="1654" t="s">
        <v>1068</v>
      </c>
      <c r="E60" s="1666">
        <f>E59*GapCalc!I33</f>
        <v>26041033.965976216</v>
      </c>
      <c r="F60" s="561"/>
      <c r="G60" s="1662" t="s">
        <v>1068</v>
      </c>
      <c r="H60" s="1669">
        <f>H59*GapCalc!I33</f>
        <v>37127155.945633829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401" t="s">
        <v>972</v>
      </c>
      <c r="C3" s="1415">
        <f>'Development Budget'!E18</f>
        <v>9880000</v>
      </c>
      <c r="D3" s="1402" t="s">
        <v>974</v>
      </c>
      <c r="E3" s="1413">
        <v>1.199398E-2</v>
      </c>
    </row>
    <row r="4" spans="1:5" ht="31.5">
      <c r="B4" s="1403" t="s">
        <v>973</v>
      </c>
      <c r="C4" s="1416">
        <f>SUM('Development Budget'!G31+'Development Budget'!G32)</f>
        <v>48461767</v>
      </c>
      <c r="D4" s="1404" t="s">
        <v>975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976</v>
      </c>
      <c r="C6" s="1402" t="s">
        <v>977</v>
      </c>
      <c r="D6" s="1405" t="s">
        <v>978</v>
      </c>
      <c r="E6" s="1315"/>
    </row>
    <row r="7" spans="1:5">
      <c r="A7" s="1408"/>
      <c r="B7" s="1417">
        <f>C3*E3</f>
        <v>118500.5224</v>
      </c>
      <c r="C7" s="1417">
        <f>C4*E4</f>
        <v>581249.46416265995</v>
      </c>
      <c r="D7" s="1409">
        <f>(1-'Rental Income'!O19)</f>
        <v>0.80132450331125826</v>
      </c>
    </row>
    <row r="8" spans="1:5">
      <c r="A8" s="1410" t="s">
        <v>979</v>
      </c>
      <c r="B8" s="1417">
        <f>B7*D7</f>
        <v>94957.372254304631</v>
      </c>
      <c r="C8" s="1417">
        <f>C7*D7</f>
        <v>465769.4381700785</v>
      </c>
      <c r="D8" s="1411"/>
    </row>
    <row r="9" spans="1:5">
      <c r="A9" s="1408"/>
      <c r="B9" s="1417"/>
      <c r="C9" s="1417"/>
      <c r="D9" s="1411"/>
    </row>
    <row r="10" spans="1:5">
      <c r="A10" s="1412" t="s">
        <v>980</v>
      </c>
      <c r="B10" s="1418">
        <f>SUM(B8:C8)</f>
        <v>560726.81042438315</v>
      </c>
      <c r="C10" s="1418"/>
      <c r="D10" s="1406"/>
    </row>
    <row r="12" spans="1:5">
      <c r="A12" t="s">
        <v>989</v>
      </c>
    </row>
    <row r="13" spans="1:5">
      <c r="A13" t="s">
        <v>990</v>
      </c>
      <c r="B13">
        <v>6</v>
      </c>
      <c r="C13" s="1425">
        <f>C3*(E3/12)*B13</f>
        <v>59250.261200000001</v>
      </c>
    </row>
    <row r="14" spans="1:5">
      <c r="A14" t="s">
        <v>991</v>
      </c>
      <c r="B14">
        <v>24</v>
      </c>
      <c r="C14" s="1425">
        <f>C3*(E3/12)*B14</f>
        <v>237001.0448</v>
      </c>
    </row>
    <row r="15" spans="1:5">
      <c r="A15" s="40" t="s">
        <v>993</v>
      </c>
      <c r="C15" s="1428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151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6242820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-312420</v>
      </c>
      <c r="E18" s="50"/>
      <c r="F18" s="55">
        <v>0.05</v>
      </c>
    </row>
    <row r="19" spans="1:25">
      <c r="A19" s="40" t="s">
        <v>164</v>
      </c>
      <c r="D19" s="57">
        <f>SUM(D15:D18)</f>
        <v>5935980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1132.5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78761.5</v>
      </c>
      <c r="E22" s="48">
        <v>1043</v>
      </c>
      <c r="F22" s="453" t="s">
        <v>171</v>
      </c>
      <c r="N22" s="428">
        <f>D22*0.8</f>
        <v>63009.200000000004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23320.44</v>
      </c>
      <c r="Y22" s="688">
        <f>T22/5</f>
        <v>154.44</v>
      </c>
    </row>
    <row r="23" spans="1:25">
      <c r="B23" t="s">
        <v>173</v>
      </c>
      <c r="D23" s="48">
        <f>(E23*$D$10-20)/2</f>
        <v>100707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14073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79933.279999999999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906</v>
      </c>
      <c r="Y25" s="688">
        <f>T25/5</f>
        <v>6</v>
      </c>
    </row>
    <row r="26" spans="1:25">
      <c r="A26" s="40" t="s">
        <v>182</v>
      </c>
      <c r="D26" s="51">
        <f>SUM(D22:D25)</f>
        <v>273474.78000000003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28086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15100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60400</v>
      </c>
      <c r="Y30">
        <v>400</v>
      </c>
    </row>
    <row r="31" spans="1:25">
      <c r="B31" t="s">
        <v>191</v>
      </c>
      <c r="D31" s="48">
        <f>E31*$D$10</f>
        <v>24764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140060.04</v>
      </c>
    </row>
    <row r="32" spans="1:25">
      <c r="A32" s="42"/>
      <c r="B32" s="43" t="s">
        <v>193</v>
      </c>
      <c r="C32" s="43"/>
      <c r="D32" s="50">
        <f>E32*$D$10</f>
        <v>4530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72480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6795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17616.666666666668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80030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6795</v>
      </c>
      <c r="Y36" s="688">
        <f>T36/6</f>
        <v>45</v>
      </c>
    </row>
    <row r="37" spans="1:25">
      <c r="B37" t="s">
        <v>201</v>
      </c>
      <c r="D37" s="48">
        <f>E37*$D$10</f>
        <v>119290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18875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63571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50081.666666666672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262891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55719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40116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59796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20536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128350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8305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246027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560726.81042438315</v>
      </c>
      <c r="Y56" s="1309">
        <f>X56/'Rental Income'!D15</f>
        <v>3713.4225855919412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728.09426543046357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2228.0942654304636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126840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264.9006622516556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633310.94375771657</v>
      </c>
    </row>
    <row r="65" spans="1:25">
      <c r="B65" t="s">
        <v>249</v>
      </c>
      <c r="D65" s="48">
        <f>E65*$D$10</f>
        <v>22650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201490</v>
      </c>
      <c r="E67" s="48">
        <f>SUM(E62:E66)</f>
        <v>1439.9006622516556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45300</v>
      </c>
      <c r="E69" s="426">
        <v>300</v>
      </c>
    </row>
    <row r="70" spans="1:25">
      <c r="V70" s="40" t="s">
        <v>255</v>
      </c>
      <c r="X70" s="1307">
        <f>SUM(X68,X64,X54,X39,X31)</f>
        <v>989693.65042438323</v>
      </c>
      <c r="Y70" s="1307">
        <f>X70/D10</f>
        <v>6554.2625855919423</v>
      </c>
    </row>
    <row r="71" spans="1:25">
      <c r="A71" s="40" t="s">
        <v>256</v>
      </c>
      <c r="D71" s="48">
        <f>E71*$D$10</f>
        <v>75500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1382940.0140799999</v>
      </c>
      <c r="E73" s="52">
        <f>E71+E69+E67+E54+E59+E45+E43+E41+E33+E26</f>
        <v>12020.994927682119</v>
      </c>
      <c r="G73" s="147"/>
      <c r="H73">
        <f>('Operating Budget'!D73-'Operating Budget'!D69-'Operating Budget'!D57)*-1</f>
        <v>-1337640.0140799999</v>
      </c>
      <c r="Y73" s="1309">
        <f>Y70-6000</f>
        <v>554.2625855919423</v>
      </c>
    </row>
    <row r="75" spans="1:25">
      <c r="A75" s="44" t="s">
        <v>259</v>
      </c>
      <c r="B75" s="45"/>
      <c r="C75" s="45"/>
      <c r="D75" s="52">
        <f>D19-D73</f>
        <v>4553039.9859199999</v>
      </c>
      <c r="E75" s="52">
        <f>D75/D10</f>
        <v>30152.582688211918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147144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60727208.750000007</v>
      </c>
      <c r="C7" s="465">
        <f>'Dev Summary_5-20'!B8</f>
        <v>3190331</v>
      </c>
      <c r="D7" s="465">
        <f t="shared" ref="D7:D14" si="0">B7-C7</f>
        <v>57536877.750000007</v>
      </c>
      <c r="E7" s="477">
        <f t="shared" ref="E7:E15" si="1">D7/B7</f>
        <v>0.94746455393440099</v>
      </c>
      <c r="F7" s="477"/>
      <c r="G7" s="472" t="e">
        <f t="shared" ref="G7:G14" si="2">B7/$B$15</f>
        <v>#REF!</v>
      </c>
      <c r="I7" s="147">
        <f>B7/$H$4</f>
        <v>552065.53409090918</v>
      </c>
      <c r="J7" s="53">
        <f>B7/$H$5</f>
        <v>412.70598019627039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249165.84752440249</v>
      </c>
      <c r="C9" s="446">
        <f>'Dev Summary_5-20'!B10</f>
        <v>50000</v>
      </c>
      <c r="D9" s="446">
        <f t="shared" si="0"/>
        <v>199165.84752440249</v>
      </c>
      <c r="E9" s="477">
        <f t="shared" si="1"/>
        <v>0.79933044397224962</v>
      </c>
      <c r="F9" s="477"/>
      <c r="G9" s="473" t="e">
        <f t="shared" si="2"/>
        <v>#REF!</v>
      </c>
      <c r="I9" s="53">
        <f t="shared" si="3"/>
        <v>2265.1440684036588</v>
      </c>
      <c r="J9" s="53">
        <f t="shared" si="4"/>
        <v>1.6933469765970919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0.21747403903659002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2.0133427526776488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2522699</v>
      </c>
      <c r="C14" s="467">
        <f>'Dev Summary_5-20'!B14</f>
        <v>282276.62941911275</v>
      </c>
      <c r="D14" s="467">
        <f t="shared" si="0"/>
        <v>2240422.3705808874</v>
      </c>
      <c r="E14" s="478">
        <f t="shared" si="1"/>
        <v>0.88810530728433612</v>
      </c>
      <c r="F14" s="478"/>
      <c r="G14" s="474" t="e">
        <f t="shared" si="2"/>
        <v>#REF!</v>
      </c>
      <c r="I14" s="53">
        <f t="shared" si="3"/>
        <v>22933.627272727274</v>
      </c>
      <c r="J14" s="53">
        <f t="shared" si="4"/>
        <v>17.144423150111454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60633092.284415692</v>
      </c>
      <c r="C21" s="48">
        <v>18731659</v>
      </c>
      <c r="D21" s="48">
        <f>B21-C21</f>
        <v>41901433.284415692</v>
      </c>
      <c r="E21" s="55">
        <f>D21/B21</f>
        <v>0.6910654183340319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479527.95643245126</v>
      </c>
      <c r="C26" s="48">
        <v>12677529</v>
      </c>
      <c r="D26" s="48">
        <f t="shared" si="5"/>
        <v>-12198001.043567549</v>
      </c>
      <c r="E26" s="55">
        <f t="shared" si="6"/>
        <v>-25.437518042362189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1003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1004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1005</v>
      </c>
      <c r="B3" s="1452" t="s">
        <v>1086</v>
      </c>
      <c r="C3" s="1453"/>
      <c r="D3" s="1453" t="s">
        <v>1006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1007</v>
      </c>
      <c r="B4" s="1456" t="s">
        <v>1008</v>
      </c>
      <c r="C4" s="1457"/>
      <c r="D4" s="1457"/>
      <c r="E4" s="1457" t="s">
        <v>1009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1010</v>
      </c>
      <c r="D5" s="1457"/>
      <c r="E5" s="1457"/>
      <c r="F5" s="1457"/>
      <c r="G5" s="1457"/>
      <c r="H5" s="1457"/>
      <c r="I5" s="1460" t="s">
        <v>1011</v>
      </c>
      <c r="J5" s="1457"/>
      <c r="K5" s="1459"/>
    </row>
    <row r="6" spans="1:11" ht="16.5" thickBot="1">
      <c r="A6" s="1461" t="s">
        <v>1012</v>
      </c>
      <c r="B6" s="1462"/>
      <c r="C6" s="1463">
        <v>20</v>
      </c>
      <c r="D6" s="1462"/>
      <c r="E6" s="1462" t="s">
        <v>1013</v>
      </c>
      <c r="F6" s="1462"/>
      <c r="G6" s="1462"/>
      <c r="H6" s="1464">
        <f>'Development Budget'!G46+'Development Budget'!G47</f>
        <v>66799929.625000007</v>
      </c>
      <c r="I6" s="1465"/>
      <c r="J6" s="1466"/>
      <c r="K6" s="1467"/>
    </row>
    <row r="7" spans="1:11">
      <c r="A7" s="1468" t="s">
        <v>1014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1015</v>
      </c>
      <c r="B8" s="1470"/>
      <c r="C8" s="1470"/>
      <c r="D8" s="1473">
        <f>SUM(H6/1000)*0.9+500</f>
        <v>60619.936662500004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1016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54557.942996250007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1017</v>
      </c>
      <c r="B13" s="1470"/>
      <c r="C13" s="1470"/>
      <c r="D13" s="1473">
        <f>SUM(A14+A15+A16)/100*0.415/12*C6</f>
        <v>494160.76323958323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66799929.625000007</v>
      </c>
      <c r="B14" s="1470" t="s">
        <v>1018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1019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1020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1021</v>
      </c>
      <c r="B17" s="1470"/>
      <c r="C17" s="1470"/>
      <c r="D17" s="1473">
        <f>SUM(H6/1000)*0.23</f>
        <v>15363.983813750001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1022</v>
      </c>
      <c r="B19" s="1470"/>
      <c r="C19" s="1470"/>
      <c r="D19" s="1473"/>
      <c r="E19" s="1478">
        <f>SUM(D8:D17)</f>
        <v>624702.62671208323</v>
      </c>
      <c r="F19" s="1470"/>
      <c r="G19" s="1479" t="s">
        <v>1023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1024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1025</v>
      </c>
      <c r="B23" s="1491" t="str">
        <f>B3</f>
        <v>St. James UMC</v>
      </c>
      <c r="C23" s="1491"/>
      <c r="D23" s="1491"/>
      <c r="E23" s="1491" t="s">
        <v>1026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1008</v>
      </c>
      <c r="C24" s="1491"/>
      <c r="D24" s="1491"/>
      <c r="E24" s="1491"/>
      <c r="F24" s="1491"/>
      <c r="G24" s="1491"/>
      <c r="H24" s="1491"/>
      <c r="I24" s="1495" t="s">
        <v>1011</v>
      </c>
      <c r="J24" s="1491"/>
      <c r="K24" s="1493"/>
    </row>
    <row r="25" spans="1:11" ht="16.5" thickBot="1">
      <c r="A25" s="1496" t="s">
        <v>1027</v>
      </c>
      <c r="B25" s="1497"/>
      <c r="C25" s="1498">
        <v>50</v>
      </c>
      <c r="D25" s="1497"/>
      <c r="E25" s="1497" t="s">
        <v>1028</v>
      </c>
      <c r="F25" s="1497"/>
      <c r="G25" s="1497"/>
      <c r="H25" s="1499">
        <f>SUM(H6*0.8)</f>
        <v>53439943.70000001</v>
      </c>
      <c r="I25" s="1500"/>
      <c r="J25" s="1501"/>
      <c r="K25" s="1502"/>
    </row>
    <row r="26" spans="1:11">
      <c r="A26" s="1503" t="s">
        <v>1014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1015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1016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1029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1030</v>
      </c>
      <c r="B32" s="1505"/>
      <c r="C32" s="1505"/>
      <c r="D32" s="1508">
        <f>SUM(A33+A34+A35)/100*0.135+500</f>
        <v>73899.867875000011</v>
      </c>
      <c r="E32" s="1505" t="s">
        <v>1031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53439943.70000001</v>
      </c>
      <c r="B33" s="1505" t="s">
        <v>1032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159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1033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1034</v>
      </c>
      <c r="B36" s="1505"/>
      <c r="C36" s="1505"/>
      <c r="D36" s="1508"/>
      <c r="E36" s="1511">
        <f>SUM(D27:D34)</f>
        <v>80987.367875000011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455</v>
      </c>
      <c r="B5" s="1762"/>
      <c r="C5" s="1762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469</v>
      </c>
      <c r="B5" s="1762"/>
      <c r="C5" s="1762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726926.505</v>
      </c>
      <c r="E10" s="748">
        <f>'PreDev Flow of Funds'!Y10+'PreDev Flow of Funds'!Y12</f>
        <v>1395966</v>
      </c>
      <c r="F10" s="748">
        <f>(D10-E10)/18</f>
        <v>-37168.860833333332</v>
      </c>
      <c r="G10" s="748">
        <f>$F$10</f>
        <v>-37168.860833333332</v>
      </c>
      <c r="H10" s="748">
        <f t="shared" ref="H10:W10" si="2">$F$10</f>
        <v>-37168.860833333332</v>
      </c>
      <c r="I10" s="748">
        <f t="shared" si="2"/>
        <v>-37168.860833333332</v>
      </c>
      <c r="J10" s="748">
        <f t="shared" si="2"/>
        <v>-37168.860833333332</v>
      </c>
      <c r="K10" s="748">
        <f t="shared" si="2"/>
        <v>-37168.860833333332</v>
      </c>
      <c r="L10" s="748">
        <f t="shared" si="2"/>
        <v>-37168.860833333332</v>
      </c>
      <c r="M10" s="748">
        <f t="shared" si="2"/>
        <v>-37168.860833333332</v>
      </c>
      <c r="N10" s="748">
        <f t="shared" si="2"/>
        <v>-37168.860833333332</v>
      </c>
      <c r="O10" s="748">
        <f t="shared" si="2"/>
        <v>-37168.860833333332</v>
      </c>
      <c r="P10" s="748">
        <f t="shared" si="2"/>
        <v>-37168.860833333332</v>
      </c>
      <c r="Q10" s="748">
        <f t="shared" si="2"/>
        <v>-37168.860833333332</v>
      </c>
      <c r="R10" s="748">
        <f t="shared" si="2"/>
        <v>-37168.860833333332</v>
      </c>
      <c r="S10" s="748">
        <f t="shared" si="2"/>
        <v>-37168.860833333332</v>
      </c>
      <c r="T10" s="748">
        <f t="shared" si="2"/>
        <v>-37168.860833333332</v>
      </c>
      <c r="U10" s="748">
        <f t="shared" si="2"/>
        <v>-37168.860833333332</v>
      </c>
      <c r="V10" s="748">
        <f t="shared" si="2"/>
        <v>-37168.860833333332</v>
      </c>
      <c r="W10" s="748">
        <f t="shared" si="2"/>
        <v>-37168.860833333332</v>
      </c>
      <c r="X10" s="748"/>
      <c r="Y10" s="748">
        <f>SUM(E10:W10)</f>
        <v>726926.50499999989</v>
      </c>
    </row>
    <row r="11" spans="1:25" ht="15">
      <c r="A11" s="402"/>
      <c r="B11" s="403" t="s">
        <v>387</v>
      </c>
      <c r="C11" s="748"/>
      <c r="D11" s="748">
        <f>'Development Budget'!G41</f>
        <v>726926.505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60727208.750000007</v>
      </c>
      <c r="E13" s="748">
        <f>'PreDev Flow of Funds'!Y14</f>
        <v>69798.3</v>
      </c>
      <c r="F13" s="748">
        <f>(D13-E13)/18</f>
        <v>3369856.1361111118</v>
      </c>
      <c r="G13" s="748">
        <f>$F$13</f>
        <v>3369856.1361111118</v>
      </c>
      <c r="H13" s="748">
        <f t="shared" ref="H13:W13" si="5">$F$13</f>
        <v>3369856.1361111118</v>
      </c>
      <c r="I13" s="748">
        <f t="shared" si="5"/>
        <v>3369856.1361111118</v>
      </c>
      <c r="J13" s="748">
        <f t="shared" si="5"/>
        <v>3369856.1361111118</v>
      </c>
      <c r="K13" s="748">
        <f t="shared" si="5"/>
        <v>3369856.1361111118</v>
      </c>
      <c r="L13" s="748">
        <f t="shared" si="5"/>
        <v>3369856.1361111118</v>
      </c>
      <c r="M13" s="748">
        <f t="shared" si="5"/>
        <v>3369856.1361111118</v>
      </c>
      <c r="N13" s="748">
        <f t="shared" si="5"/>
        <v>3369856.1361111118</v>
      </c>
      <c r="O13" s="748">
        <f t="shared" si="5"/>
        <v>3369856.1361111118</v>
      </c>
      <c r="P13" s="748">
        <f t="shared" si="5"/>
        <v>3369856.1361111118</v>
      </c>
      <c r="Q13" s="748">
        <f t="shared" si="5"/>
        <v>3369856.1361111118</v>
      </c>
      <c r="R13" s="748">
        <f t="shared" si="5"/>
        <v>3369856.1361111118</v>
      </c>
      <c r="S13" s="748">
        <f t="shared" si="5"/>
        <v>3369856.1361111118</v>
      </c>
      <c r="T13" s="748">
        <f t="shared" si="5"/>
        <v>3369856.1361111118</v>
      </c>
      <c r="U13" s="748">
        <f t="shared" si="5"/>
        <v>3369856.1361111118</v>
      </c>
      <c r="V13" s="748">
        <f t="shared" si="5"/>
        <v>3369856.1361111118</v>
      </c>
      <c r="W13" s="748">
        <f t="shared" si="5"/>
        <v>3369856.1361111118</v>
      </c>
      <c r="X13" s="748"/>
      <c r="Y13" s="748">
        <f t="shared" si="3"/>
        <v>60727208.75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60727208.750000007</v>
      </c>
      <c r="E15" s="748">
        <f>'PreDev Flow of Funds'!Y16+'PreDev Flow of Funds'!Y17+'PreDev Flow of Funds'!Y19</f>
        <v>72500</v>
      </c>
      <c r="F15" s="748">
        <f>(D15-E15)/18</f>
        <v>3369706.041666667</v>
      </c>
      <c r="G15" s="748">
        <f>$F$15</f>
        <v>3369706.041666667</v>
      </c>
      <c r="H15" s="748">
        <f t="shared" ref="H15:W15" si="7">$F$15</f>
        <v>3369706.041666667</v>
      </c>
      <c r="I15" s="748">
        <f t="shared" si="7"/>
        <v>3369706.041666667</v>
      </c>
      <c r="J15" s="748">
        <f t="shared" si="7"/>
        <v>3369706.041666667</v>
      </c>
      <c r="K15" s="748">
        <f t="shared" si="7"/>
        <v>3369706.041666667</v>
      </c>
      <c r="L15" s="748">
        <f t="shared" si="7"/>
        <v>3369706.041666667</v>
      </c>
      <c r="M15" s="748">
        <f t="shared" si="7"/>
        <v>3369706.041666667</v>
      </c>
      <c r="N15" s="748">
        <f t="shared" si="7"/>
        <v>3369706.041666667</v>
      </c>
      <c r="O15" s="748">
        <f t="shared" si="7"/>
        <v>3369706.041666667</v>
      </c>
      <c r="P15" s="748">
        <f t="shared" si="7"/>
        <v>3369706.041666667</v>
      </c>
      <c r="Q15" s="748">
        <f t="shared" si="7"/>
        <v>3369706.041666667</v>
      </c>
      <c r="R15" s="748">
        <f t="shared" si="7"/>
        <v>3369706.041666667</v>
      </c>
      <c r="S15" s="748">
        <f t="shared" si="7"/>
        <v>3369706.041666667</v>
      </c>
      <c r="T15" s="748">
        <f t="shared" si="7"/>
        <v>3369706.041666667</v>
      </c>
      <c r="U15" s="748">
        <f t="shared" si="7"/>
        <v>3369706.041666667</v>
      </c>
      <c r="V15" s="748">
        <f t="shared" si="7"/>
        <v>3369706.041666667</v>
      </c>
      <c r="W15" s="748">
        <f t="shared" si="7"/>
        <v>3369706.041666667</v>
      </c>
      <c r="X15" s="748"/>
      <c r="Y15" s="748">
        <f t="shared" si="3"/>
        <v>60727208.749999985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48461767</v>
      </c>
      <c r="E33" s="748">
        <v>0</v>
      </c>
      <c r="F33" s="748">
        <f>D33</f>
        <v>48461767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48461767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151818.02187500003</v>
      </c>
      <c r="E43" s="748">
        <f>D43</f>
        <v>151818.02187500003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151818.02187500003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342818.02187500003</v>
      </c>
      <c r="E52" s="748">
        <f>D52</f>
        <v>342818.02187500003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342818.02187500003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2522699</v>
      </c>
      <c r="E58" s="748">
        <f>'PreDev Flow of Funds'!Y46</f>
        <v>96238.814999999988</v>
      </c>
      <c r="F58" s="748">
        <f>(D58-E58)/18</f>
        <v>134803.34361111111</v>
      </c>
      <c r="G58" s="748">
        <f>$F$58</f>
        <v>134803.34361111111</v>
      </c>
      <c r="H58" s="748">
        <f t="shared" ref="H58:W58" si="18">$F$58</f>
        <v>134803.34361111111</v>
      </c>
      <c r="I58" s="748">
        <f t="shared" si="18"/>
        <v>134803.34361111111</v>
      </c>
      <c r="J58" s="748">
        <f t="shared" si="18"/>
        <v>134803.34361111111</v>
      </c>
      <c r="K58" s="748">
        <f t="shared" si="18"/>
        <v>134803.34361111111</v>
      </c>
      <c r="L58" s="748">
        <f t="shared" si="18"/>
        <v>134803.34361111111</v>
      </c>
      <c r="M58" s="748">
        <f t="shared" si="18"/>
        <v>134803.34361111111</v>
      </c>
      <c r="N58" s="748">
        <f t="shared" si="18"/>
        <v>134803.34361111111</v>
      </c>
      <c r="O58" s="748">
        <f t="shared" si="18"/>
        <v>134803.34361111111</v>
      </c>
      <c r="P58" s="748">
        <f t="shared" si="18"/>
        <v>134803.34361111111</v>
      </c>
      <c r="Q58" s="748">
        <f t="shared" si="18"/>
        <v>134803.34361111111</v>
      </c>
      <c r="R58" s="748">
        <f t="shared" si="18"/>
        <v>134803.34361111111</v>
      </c>
      <c r="S58" s="748">
        <f t="shared" si="18"/>
        <v>134803.34361111111</v>
      </c>
      <c r="T58" s="748">
        <f t="shared" si="18"/>
        <v>134803.34361111111</v>
      </c>
      <c r="U58" s="748">
        <f t="shared" si="18"/>
        <v>134803.34361111111</v>
      </c>
      <c r="V58" s="748">
        <f t="shared" si="18"/>
        <v>134803.34361111111</v>
      </c>
      <c r="W58" s="748">
        <f t="shared" si="18"/>
        <v>134803.34361111111</v>
      </c>
      <c r="X58" s="748"/>
      <c r="Y58" s="748">
        <f t="shared" si="3"/>
        <v>2522699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249165.84752440249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15339789.118749997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63829945.327298701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-10501846.925872028</v>
      </c>
      <c r="E87" s="749">
        <f>E80-E84-E85-E86-E88-E89-E90-E91</f>
        <v>498636.04374999553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15339789.118749997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941</v>
      </c>
    </row>
    <row r="5" spans="3:6">
      <c r="D5" t="s">
        <v>942</v>
      </c>
    </row>
    <row r="6" spans="3:6">
      <c r="E6" t="s">
        <v>943</v>
      </c>
      <c r="F6" s="1310">
        <f>544</f>
        <v>544</v>
      </c>
    </row>
    <row r="7" spans="3:6">
      <c r="D7" t="s">
        <v>944</v>
      </c>
      <c r="F7" s="1310"/>
    </row>
    <row r="8" spans="3:6">
      <c r="F8" s="1310">
        <v>0</v>
      </c>
    </row>
    <row r="9" spans="3:6">
      <c r="D9" t="s">
        <v>945</v>
      </c>
      <c r="F9" s="1310">
        <v>234</v>
      </c>
    </row>
    <row r="10" spans="3:6">
      <c r="F10" s="1310"/>
    </row>
    <row r="11" spans="3:6">
      <c r="D11" t="s">
        <v>946</v>
      </c>
      <c r="F11" s="1310"/>
    </row>
    <row r="12" spans="3:6">
      <c r="E12" t="s">
        <v>947</v>
      </c>
      <c r="F12" s="1310">
        <v>3437</v>
      </c>
    </row>
    <row r="13" spans="3:6">
      <c r="E13" t="s">
        <v>948</v>
      </c>
      <c r="F13" s="1310">
        <v>426</v>
      </c>
    </row>
    <row r="14" spans="3:6">
      <c r="E14" t="s">
        <v>949</v>
      </c>
      <c r="F14" s="1310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311" t="s">
        <v>59</v>
      </c>
      <c r="F17" s="1312">
        <f>SUM(F6:F16)</f>
        <v>7491</v>
      </c>
    </row>
    <row r="19" spans="3:6">
      <c r="D19" t="s">
        <v>951</v>
      </c>
    </row>
    <row r="20" spans="3:6">
      <c r="D20" t="s">
        <v>952</v>
      </c>
      <c r="F20" s="1313">
        <v>2379</v>
      </c>
    </row>
    <row r="24" spans="3:6">
      <c r="C24" s="1157" t="s">
        <v>953</v>
      </c>
    </row>
    <row r="27" spans="3:6">
      <c r="D27" t="s">
        <v>954</v>
      </c>
    </row>
    <row r="29" spans="3:6">
      <c r="D29" t="s">
        <v>955</v>
      </c>
      <c r="F29" s="1310">
        <v>37.33</v>
      </c>
    </row>
    <row r="31" spans="3:6">
      <c r="D31" t="s">
        <v>956</v>
      </c>
      <c r="E31" s="1314">
        <v>10000000</v>
      </c>
      <c r="F31" s="1310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310">
        <v>1743.09</v>
      </c>
    </row>
    <row r="35" spans="4:6" ht="31.5">
      <c r="E35" s="1315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761"/>
      <c r="B5" s="1762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763"/>
      <c r="B6" s="1765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763"/>
      <c r="B40" s="1765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763"/>
      <c r="B73" s="1764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766" t="s">
        <v>589</v>
      </c>
      <c r="D74" s="1767"/>
      <c r="E74" s="1767"/>
      <c r="F74" s="1767"/>
      <c r="G74" s="1767"/>
      <c r="H74" s="1767"/>
      <c r="I74" s="1768"/>
      <c r="J74" s="1769" t="s">
        <v>582</v>
      </c>
      <c r="K74" s="1770"/>
      <c r="L74" s="1770"/>
      <c r="M74" s="1770"/>
      <c r="N74" s="1770"/>
      <c r="O74" s="1771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-1163111.61625</v>
      </c>
      <c r="K103" s="162">
        <f>J103+(C116*0.25)/2</f>
        <v>-2326223.2324999999</v>
      </c>
      <c r="L103" s="162">
        <f>K103+((C116-K103)/4)</f>
        <v>-4070890.6568749999</v>
      </c>
      <c r="M103" s="162">
        <f>L103+((C116-K103)/4)</f>
        <v>-5815558.0812499998</v>
      </c>
      <c r="N103" s="162">
        <f>M103+((C116-K103)/4)</f>
        <v>-7560225.5056250002</v>
      </c>
      <c r="O103" s="162">
        <f>N103+((C116-K103)/4)</f>
        <v>-9304892.9299999997</v>
      </c>
      <c r="P103" s="162">
        <f>O103</f>
        <v>-9304892.9299999997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9746839.4591666665</v>
      </c>
      <c r="K104" s="371">
        <f>((C117-1033493)/6)+J104</f>
        <v>19493678.918333333</v>
      </c>
      <c r="L104" s="371">
        <f>((C117-1033493)/6)+K104</f>
        <v>29240518.377499998</v>
      </c>
      <c r="M104" s="371">
        <f>((C117-1033493)/6)+L104</f>
        <v>38987357.836666666</v>
      </c>
      <c r="N104" s="371">
        <f>((C117-1033493)/6)+M104</f>
        <v>48734197.295833334</v>
      </c>
      <c r="O104" s="371">
        <f>((C117-1033493)/6)+N104</f>
        <v>58481036.755000003</v>
      </c>
      <c r="P104" s="371">
        <f>(286645+100000+646848)+O104</f>
        <v>59514529.755000003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8583727.8429166675</v>
      </c>
      <c r="K110" s="371">
        <f t="shared" ref="K110:P110" si="9">SUM(K103:K104)</f>
        <v>17167455.685833335</v>
      </c>
      <c r="L110" s="371">
        <f t="shared" si="9"/>
        <v>25169627.720624998</v>
      </c>
      <c r="M110" s="371">
        <f t="shared" si="9"/>
        <v>33171799.755416665</v>
      </c>
      <c r="N110" s="371">
        <f t="shared" si="9"/>
        <v>41173971.790208332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774">
        <f>'PreDev Flow of Funds'!D47</f>
        <v>14824249.954999998</v>
      </c>
      <c r="D114" s="1773"/>
    </row>
    <row r="115" spans="2:19">
      <c r="B115" s="397" t="s">
        <v>600</v>
      </c>
      <c r="C115" s="1775">
        <f>M102</f>
        <v>1323400.22</v>
      </c>
      <c r="D115" s="1773"/>
    </row>
    <row r="116" spans="2:19">
      <c r="B116" s="397" t="s">
        <v>582</v>
      </c>
      <c r="C116" s="1775">
        <f>'Development Budget'!G37-Predevelopment!D27-Predevelopment!D28-Predevelopment!D29-Timeline!M102-Predevelopment!D17</f>
        <v>-9304892.9299999997</v>
      </c>
      <c r="D116" s="1773"/>
    </row>
    <row r="117" spans="2:19" ht="16.5" thickBot="1">
      <c r="B117" s="398" t="s">
        <v>601</v>
      </c>
      <c r="C117" s="1776">
        <f>C118-C114-C116-C115</f>
        <v>59514529.755000003</v>
      </c>
      <c r="D117" s="1777"/>
    </row>
    <row r="118" spans="2:19" ht="16.5" thickTop="1">
      <c r="B118" s="368" t="s">
        <v>585</v>
      </c>
      <c r="C118" s="1772">
        <v>66357287</v>
      </c>
      <c r="D118" s="1773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