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ech\Documents\NonLIHTCAnalysis - External\Recycled Bonds\"/>
    </mc:Choice>
  </mc:AlternateContent>
  <xr:revisionPtr revIDLastSave="0" documentId="13_ncr:1_{666CFB2F-4E6D-4863-B697-0C892879884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28" r:id="rId1"/>
    <sheet name="GapCalc" sheetId="2" r:id="rId2"/>
    <sheet name="Rental Income" sheetId="10" r:id="rId3"/>
    <sheet name="Development Budget" sheetId="1" r:id="rId4"/>
    <sheet name="Data" sheetId="6" r:id="rId5"/>
    <sheet name="Cash Flow" sheetId="5" r:id="rId6"/>
    <sheet name="Construction Calculation" sheetId="26" r:id="rId7"/>
    <sheet name="Debt Calc" sheetId="23" r:id="rId8"/>
    <sheet name="Tax Calc" sheetId="27" r:id="rId9"/>
    <sheet name="Operating Budget" sheetId="4" state="hidden" r:id="rId10"/>
    <sheet name="Dev Summary" sheetId="16" state="hidden" r:id="rId11"/>
    <sheet name="Insurance Estimator" sheetId="25" state="hidden" r:id="rId12"/>
    <sheet name="EV" sheetId="21" state="hidden" r:id="rId13"/>
    <sheet name="Dev Budget_5-20" sheetId="18" state="hidden" r:id="rId14"/>
    <sheet name="Dev Summary_5-20" sheetId="19" state="hidden" r:id="rId15"/>
    <sheet name="Predev_5-20" sheetId="20" state="hidden" r:id="rId16"/>
    <sheet name="Predevelopment" sheetId="8" state="hidden" r:id="rId17"/>
    <sheet name="PreDev Flow of Funds" sheetId="12" state="hidden" r:id="rId18"/>
    <sheet name="Construction Flow of Funds" sheetId="15" state="hidden" r:id="rId19"/>
    <sheet name="Arch Fees" sheetId="13" state="hidden" r:id="rId20"/>
    <sheet name="Income" sheetId="14" state="hidden" r:id="rId21"/>
    <sheet name="Permit Fee Breakdown" sheetId="17" state="hidden" r:id="rId22"/>
    <sheet name="Timeline" sheetId="11" state="hidden" r:id="rId23"/>
    <sheet name="Operating Budget (2)" sheetId="24" state="hidden" r:id="rId24"/>
  </sheets>
  <definedNames>
    <definedName name="ActiveRow">1</definedName>
    <definedName name="AtiveRow2">1</definedName>
    <definedName name="CalHFArents">#REF!</definedName>
    <definedName name="Funding" localSheetId="23" hidden="1">{"Sources and Uses - Construction",#N/A,FALSE,"Construction S &amp; U"}</definedName>
    <definedName name="Funding" hidden="1">{"Sources and Uses - Construction",#N/A,FALSE,"Construction S &amp; U"}</definedName>
    <definedName name="FundingX" localSheetId="23" hidden="1">{"Sources and Uses - Construction",#N/A,FALSE,"Construction S &amp; U"}</definedName>
    <definedName name="FundingX" hidden="1">{"Sources and Uses - Construction",#N/A,FALSE,"Construction S &amp; U"}</definedName>
    <definedName name="George3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George4" localSheetId="23" hidden="1">{"Cash Flow",#N/A,FALSE,"Cash Flow"}</definedName>
    <definedName name="George4" hidden="1">{"Cash Flow",#N/A,FALSE,"Cash Flow"}</definedName>
    <definedName name="hfgjhfgh" hidden="1">{"Operating Budget Detail",#N/A,FALSE,"Operations"}</definedName>
    <definedName name="OperatingRow">1</definedName>
    <definedName name="Otherrents">#REF!</definedName>
    <definedName name="PDF">"Object 4"</definedName>
    <definedName name="_xlnm.Print_Area" localSheetId="7">'Debt Calc'!$C$1:$AJ$55</definedName>
    <definedName name="_xlnm.Print_Area" localSheetId="20">Income!$A$1:$N$61</definedName>
    <definedName name="_xlnm.Print_Area" localSheetId="23">'Operating Budget (2)'!$B$1:$I$60</definedName>
    <definedName name="_xlnm.Print_Area" localSheetId="16">Predevelopment!$A$1:$E$62</definedName>
    <definedName name="_xlnm.Print_Area" localSheetId="2">'Rental Income'!$B$2:$K$123</definedName>
    <definedName name="_xlnm.Print_Area">#REF!</definedName>
    <definedName name="ProjectCredits">#REF!</definedName>
    <definedName name="ProjectLocation">#REF!</definedName>
    <definedName name="ProjectType">#REF!</definedName>
    <definedName name="Sample" localSheetId="23" hidden="1">{"Operating Budget Detail",#N/A,FALSE,"Operations"}</definedName>
    <definedName name="Sample" hidden="1">{"Operating Budget Detail",#N/A,FALSE,"Operations"}</definedName>
    <definedName name="SampleX" localSheetId="23" hidden="1">{"Operating Budget Detail",#N/A,FALSE,"Operations"}</definedName>
    <definedName name="SampleX" hidden="1">{"Operating Budget Detail",#N/A,FALSE,"Operations"}</definedName>
    <definedName name="SD_1x1_18x1_1_S_0" hidden="1">#REF!</definedName>
    <definedName name="SD_1x1_18x1_11_S_0" hidden="1">#REF!</definedName>
    <definedName name="SD_1x1_18x1_12_S_0" hidden="1">#REF!</definedName>
    <definedName name="SD_1x1_18x1_3_S_0" hidden="1">#REF!</definedName>
    <definedName name="SD_1x1_18x1_5_S_0" hidden="1">#REF!</definedName>
    <definedName name="SD_1x1_18x1_6_S_152" hidden="1">#REF!</definedName>
    <definedName name="SD_1x1_18x1_7_S_0" hidden="1">#REF!</definedName>
    <definedName name="SD_1x1_18x1_9_S_0" hidden="1">#REF!</definedName>
    <definedName name="SD_1x1_20x1_1_S_0" hidden="1">#REF!</definedName>
    <definedName name="SD_1x1_20x1_11_S_0" hidden="1">#REF!</definedName>
    <definedName name="SD_1x1_20x1_12_S_0" hidden="1">#REF!</definedName>
    <definedName name="SD_1x1_20x1_3_S_0" hidden="1">#REF!</definedName>
    <definedName name="SD_1x1_20x1_5_S_0" hidden="1">#REF!</definedName>
    <definedName name="SD_1x1_20x1_6_S_152" hidden="1">#REF!</definedName>
    <definedName name="SD_1x1_20x1_7_S_0" hidden="1">#REF!</definedName>
    <definedName name="SD_1x1_20x1_9_S_0" hidden="1">#REF!</definedName>
    <definedName name="SD_1x1_22x1_1_S_0" hidden="1">#REF!</definedName>
    <definedName name="SD_1x1_22x1_11_S_0" hidden="1">#REF!</definedName>
    <definedName name="SD_1x1_22x1_12_S_0" hidden="1">#REF!</definedName>
    <definedName name="SD_1x1_22x1_3_S_0" hidden="1">#REF!</definedName>
    <definedName name="SD_1x1_22x1_5_S_0" hidden="1">#REF!</definedName>
    <definedName name="SD_1x1_22x1_6_S_152" hidden="1">#REF!</definedName>
    <definedName name="SD_1x1_22x1_7_S_0" hidden="1">#REF!</definedName>
    <definedName name="SD_1x1_22x1_9_S_0" hidden="1">#REF!</definedName>
    <definedName name="SD_1x1_23x1_1_S_0" hidden="1">#REF!</definedName>
    <definedName name="SD_1x1_23x1_11_S_0" hidden="1">#REF!</definedName>
    <definedName name="SD_1x1_23x1_3_S_0" hidden="1">#REF!</definedName>
    <definedName name="SD_1x1_23x1_5_S_0" hidden="1">#REF!</definedName>
    <definedName name="SD_1x1_23x1_6_S_152" hidden="1">#REF!</definedName>
    <definedName name="SD_1x1_23x1_7_S_0" hidden="1">#REF!</definedName>
    <definedName name="SD_1x1_23x1_9_S_0" hidden="1">#REF!</definedName>
    <definedName name="SD_1x1_23x2_1_S_0" hidden="1">#REF!</definedName>
    <definedName name="SD_1x1_23x2_11_S_0" hidden="1">#REF!</definedName>
    <definedName name="SD_1x1_23x2_12_S_0" hidden="1">#REF!</definedName>
    <definedName name="SD_1x1_23x2_3_S_0" hidden="1">#REF!</definedName>
    <definedName name="SD_1x1_23x2_5_S_0" hidden="1">#REF!</definedName>
    <definedName name="SD_1x1_23x2_6_S_152" hidden="1">#REF!</definedName>
    <definedName name="SD_1x1_23x2_7_S_0" hidden="1">#REF!</definedName>
    <definedName name="SD_1x1_23x2_9_S_0" hidden="1">#REF!</definedName>
    <definedName name="SD_1x1_23x3_1_S_0" hidden="1">#REF!</definedName>
    <definedName name="SD_1x1_23x3_11_S_0" hidden="1">#REF!</definedName>
    <definedName name="SD_1x1_23x3_12_S_0" hidden="1">#REF!</definedName>
    <definedName name="SD_1x1_23x3_3_S_0" hidden="1">#REF!</definedName>
    <definedName name="SD_1x1_23x3_5_S_0" hidden="1">#REF!</definedName>
    <definedName name="SD_1x1_23x3_6_S_152" hidden="1">#REF!</definedName>
    <definedName name="SD_1x1_23x3_7_S_0" hidden="1">#REF!</definedName>
    <definedName name="SD_1x1_23x3_9_S_0" hidden="1">#REF!</definedName>
    <definedName name="SD_1x1_28_S_0" hidden="1">#REF!</definedName>
    <definedName name="SD_1x1_29x1_1_S_0" hidden="1">#REF!</definedName>
    <definedName name="SD_1x1_29x1_11_S_0" hidden="1">#REF!</definedName>
    <definedName name="SD_1x1_29x1_12_S_0" hidden="1">#REF!</definedName>
    <definedName name="SD_1x1_29x1_3_S_0" hidden="1">#REF!</definedName>
    <definedName name="SD_1x1_29x1_5_S_0" hidden="1">#REF!</definedName>
    <definedName name="SD_1x1_29x1_6_S_152" hidden="1">#REF!</definedName>
    <definedName name="SD_1x1_29x1_7_S_0" hidden="1">#REF!</definedName>
    <definedName name="SD_1x1_29x1_9_S_0" hidden="1">#REF!</definedName>
    <definedName name="SD_1x1_3_S_0" hidden="1">#REF!</definedName>
    <definedName name="SD_1x1_34_S_0" hidden="1">#REF!</definedName>
    <definedName name="SD_1x1_46x1_1_S_0" hidden="1">#REF!</definedName>
    <definedName name="SD_1x1_46x1_11_S_0" hidden="1">#REF!</definedName>
    <definedName name="SD_1x1_46x1_12_S_0" hidden="1">#REF!</definedName>
    <definedName name="SD_1x1_46x1_3_S_0" hidden="1">#REF!</definedName>
    <definedName name="SD_1x1_46x1_5_S_0" hidden="1">#REF!</definedName>
    <definedName name="SD_1x1_46x1_6_S_152" hidden="1">#REF!</definedName>
    <definedName name="SD_1x1_46x1_7_S_0" hidden="1">#REF!</definedName>
    <definedName name="SD_1x1_46x1_9_S_0" hidden="1">#REF!</definedName>
    <definedName name="SD_1x1_63x1_1_S_0" hidden="1">#REF!</definedName>
    <definedName name="SD_1x1_63x1_11_S_0" hidden="1">#REF!</definedName>
    <definedName name="SD_1x1_63x1_12_S_0" hidden="1">#REF!</definedName>
    <definedName name="SD_1x1_63x1_3_S_0" hidden="1">#REF!</definedName>
    <definedName name="SD_1x1_63x1_5_S_0" hidden="1">#REF!</definedName>
    <definedName name="SD_1x1_63x1_6_S_152" hidden="1">#REF!</definedName>
    <definedName name="SD_1x1_63x1_7_S_0" hidden="1">#REF!</definedName>
    <definedName name="SD_1x1_63x1_9_S_0" hidden="1">#REF!</definedName>
    <definedName name="SD_1x1_64x1_1_S_0" hidden="1">#REF!</definedName>
    <definedName name="SD_1x1_64x1_11_S_0" hidden="1">#REF!</definedName>
    <definedName name="SD_1x1_64x1_12_S_0" hidden="1">#REF!</definedName>
    <definedName name="SD_1x1_64x1_3_S_0" hidden="1">#REF!</definedName>
    <definedName name="SD_1x1_64x1_5_S_0" hidden="1">#REF!</definedName>
    <definedName name="SD_1x1_64x1_6_S_152" hidden="1">#REF!</definedName>
    <definedName name="SD_1x1_64x1_7_S_0" hidden="1">#REF!</definedName>
    <definedName name="SD_1x1_64x1_9_S_0" hidden="1">#REF!</definedName>
    <definedName name="SD_1x1_79x1_1_S_0" hidden="1">#REF!</definedName>
    <definedName name="SD_1x1_79x1_11_S_0" hidden="1">#REF!</definedName>
    <definedName name="SD_1x1_79x1_12_S_0" hidden="1">#REF!</definedName>
    <definedName name="SD_1x1_79x1_3_S_0" hidden="1">#REF!</definedName>
    <definedName name="SD_1x1_79x1_5_S_0" hidden="1">#REF!</definedName>
    <definedName name="SD_1x1_79x1_6_S_152" hidden="1">#REF!</definedName>
    <definedName name="SD_1x1_79x1_7_S_0" hidden="1">#REF!</definedName>
    <definedName name="SD_1x1_79x1_9_S_0" hidden="1">#REF!</definedName>
    <definedName name="SD_1x1_83x1_1_S_0" hidden="1">#REF!</definedName>
    <definedName name="SD_1x1_83x1_11_S_0" hidden="1">#REF!</definedName>
    <definedName name="SD_1x1_83x1_12_S_0" hidden="1">#REF!</definedName>
    <definedName name="SD_1x1_83x1_3_S_0" hidden="1">#REF!</definedName>
    <definedName name="SD_1x1_83x1_5_S_0" hidden="1">#REF!</definedName>
    <definedName name="SD_1x1_83x1_6_S_152" hidden="1">#REF!</definedName>
    <definedName name="SD_1x1_83x1_7_S_0" hidden="1">#REF!</definedName>
    <definedName name="SD_1x1_83x1_9_S_0" hidden="1">#REF!</definedName>
    <definedName name="SD_1x1_84x1_1_S_0" hidden="1">#REF!</definedName>
    <definedName name="SD_1x1_84x1_11_S_0" hidden="1">#REF!</definedName>
    <definedName name="SD_1x1_84x1_12_S_0" hidden="1">#REF!</definedName>
    <definedName name="SD_1x1_84x1_3_S_0" hidden="1">#REF!</definedName>
    <definedName name="SD_1x1_84x1_5_S_0" hidden="1">#REF!</definedName>
    <definedName name="SD_1x1_84x1_6_S_152" hidden="1">#REF!</definedName>
    <definedName name="SD_1x1_84x1_7_S_0" hidden="1">#REF!</definedName>
    <definedName name="SD_1x1_84x1_9_S_0" hidden="1">#REF!</definedName>
    <definedName name="SD_1x1_84x2_1_S_0" hidden="1">#REF!</definedName>
    <definedName name="SD_1x1_84x2_11_S_0" hidden="1">#REF!</definedName>
    <definedName name="SD_1x1_84x2_12_S_0" hidden="1">#REF!</definedName>
    <definedName name="SD_1x1_84x2_3_S_0" hidden="1">#REF!</definedName>
    <definedName name="SD_1x1_84x2_5_S_0" hidden="1">#REF!</definedName>
    <definedName name="SD_1x1_84x2_6_S_152" hidden="1">#REF!</definedName>
    <definedName name="SD_1x1_84x2_7_S_0" hidden="1">#REF!</definedName>
    <definedName name="SD_1x1_84x2_9_S_0" hidden="1">#REF!</definedName>
    <definedName name="SD_1x1_89x1_1_S_0" hidden="1">#REF!</definedName>
    <definedName name="SD_1x1_89x1_11_S_0" hidden="1">#REF!</definedName>
    <definedName name="SD_1x1_89x1_12_S_0" hidden="1">#REF!</definedName>
    <definedName name="SD_1x1_89x1_3_S_0" hidden="1">#REF!</definedName>
    <definedName name="SD_1x1_89x1_5_S_0" hidden="1">#REF!</definedName>
    <definedName name="SD_1x1_89x1_6_S_152" hidden="1">#REF!</definedName>
    <definedName name="SD_1x1_89x1_7_S_0" hidden="1">#REF!</definedName>
    <definedName name="SD_1x1_89x1_9_S_0" hidden="1">#REF!</definedName>
    <definedName name="SD_1x1_93x1_10_S_0" hidden="1">#REF!</definedName>
    <definedName name="SD_1x1_93x1_12_S_0" hidden="1">#REF!</definedName>
    <definedName name="SD_1x1_93x1_25_S_7" hidden="1">#REF!</definedName>
    <definedName name="SD_1x1_93x1_26_S_86" hidden="1">#REF!</definedName>
    <definedName name="SD_1x1_93x1_27_S_148" hidden="1">#REF!</definedName>
    <definedName name="SD_1x1_93x1_30_S_0" hidden="1">#REF!</definedName>
    <definedName name="SD_1x1_93x1_42_S_0" hidden="1">#REF!</definedName>
    <definedName name="SD_1x1_93x1_8_S_0" hidden="1">#REF!</definedName>
    <definedName name="SD_Dropdown_148_Name" localSheetId="23" hidden="1">#REF!</definedName>
    <definedName name="SD_Dropdown_148_Name" hidden="1">#REF!</definedName>
    <definedName name="SD_Dropdown_152_Name" localSheetId="23" hidden="1">#REF!</definedName>
    <definedName name="SD_Dropdown_152_Name" hidden="1">#REF!</definedName>
    <definedName name="SD_Dropdown_7_Name" localSheetId="23" hidden="1">#REF!</definedName>
    <definedName name="SD_Dropdown_7_Name" hidden="1">#REF!</definedName>
    <definedName name="SD_Dropdown_86_Name" localSheetId="23" hidden="1">#REF!</definedName>
    <definedName name="SD_Dropdown_86_Name" hidden="1">#REF!</definedName>
    <definedName name="TargetPop">#REF!</definedName>
    <definedName name="TCACtype">#REF!</definedName>
    <definedName name="ValidDept">#REF!</definedName>
    <definedName name="wrn.Board._.Commitment._.Package.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_1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localSheetId="23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Board._.Commitment._.Package.X" hidden="1">{"Project Summary",#N/A,FALSE,"Project Summary";"Rent Summary",#N/A,FALSE,"Rent Summary";"Operating Budget Detail",#N/A,FALSE,"Operations";"Operating Budget Summary",#N/A,FALSE,"Operations";"Sources and Uses",#N/A,FALSE,"Sources &amp; Uses";"Cash Flow",#N/A,FALSE,"Cash Flow"}</definedName>
    <definedName name="wrn.Cash._.Flow." localSheetId="23" hidden="1">{"Cash Flow",#N/A,FALSE,"Cash Flow"}</definedName>
    <definedName name="wrn.Cash._.Flow." hidden="1">{"Cash Flow",#N/A,FALSE,"Cash Flow"}</definedName>
    <definedName name="wrn.Cash._.Flow._1" localSheetId="23" hidden="1">{"Cash Flow",#N/A,FALSE,"Cash Flow"}</definedName>
    <definedName name="wrn.Cash._.Flow._1" hidden="1">{"Cash Flow",#N/A,FALSE,"Cash Flow"}</definedName>
    <definedName name="wrn.Cash._.Flow.X" localSheetId="23" hidden="1">{"Cash Flow",#N/A,FALSE,"Cash Flow"}</definedName>
    <definedName name="wrn.Cash._.Flow.X" hidden="1">{"Cash Flow",#N/A,FALSE,"Cash Flow"}</definedName>
    <definedName name="wrn.Construction._.Draws." localSheetId="23" hidden="1">{"Construction Draws",#N/A,FALSE,"Hard Cost Breakdown";"Hard Cost Disbursement Summary",#N/A,FALSE,"Hard Cost Breakdown"}</definedName>
    <definedName name="wrn.Construction._.Draws." hidden="1">{"Construction Draws",#N/A,FALSE,"Hard Cost Breakdown";"Hard Cost Disbursement Summary",#N/A,FALSE,"Hard Cost Breakdown"}</definedName>
    <definedName name="wrn.Construction._.Draws._1" localSheetId="23" hidden="1">{"Construction Draws",#N/A,FALSE,"Hard Cost Breakdown";"Hard Cost Disbursement Summary",#N/A,FALSE,"Hard Cost Breakdown"}</definedName>
    <definedName name="wrn.Construction._.Draws._1" hidden="1">{"Construction Draws",#N/A,FALSE,"Hard Cost Breakdown";"Hard Cost Disbursement Summary",#N/A,FALSE,"Hard Cost Breakdown"}</definedName>
    <definedName name="wrn.Construction._.Sources._.and._.Uses." localSheetId="23" hidden="1">{"Sources and Uses - Construction",#N/A,FALSE,"Construction S &amp; U"}</definedName>
    <definedName name="wrn.Construction._.Sources._.and._.Uses." hidden="1">{"Sources and Uses - Construction",#N/A,FALSE,"Construction S &amp; U"}</definedName>
    <definedName name="wrn.Construction._.Sources._.and._.Uses._1" localSheetId="23" hidden="1">{"Sources and Uses - Construction",#N/A,FALSE,"Construction S &amp; U"}</definedName>
    <definedName name="wrn.Construction._.Sources._.and._.Uses._1" hidden="1">{"Sources and Uses - Construction",#N/A,FALSE,"Construction S &amp; U"}</definedName>
    <definedName name="wrn.Exhibit._.D._.to._.Constr.._.Loan._.Agmt." localSheetId="23" hidden="1">{"Construction Sources &amp; Uses Ex. D",#N/A,FALSE,"Construction S &amp; U"}</definedName>
    <definedName name="wrn.Exhibit._.D._.to._.Constr.._.Loan._.Agmt." hidden="1">{"Construction Sources &amp; Uses Ex. D",#N/A,FALSE,"Construction S &amp; U"}</definedName>
    <definedName name="wrn.Exhibit._.D._.to._.Constr.._.Loan._.Agmt._1" localSheetId="23" hidden="1">{"Construction Sources &amp; Uses Ex. D",#N/A,FALSE,"Construction S &amp; U"}</definedName>
    <definedName name="wrn.Exhibit._.D._.to._.Constr.._.Loan._.Agmt._1" hidden="1">{"Construction Sources &amp; Uses Ex. D",#N/A,FALSE,"Construction S &amp; U"}</definedName>
    <definedName name="wrn.Input._.Information." localSheetId="23" hidden="1">{"Input Pages 1 and 2",#N/A,FALSE,"Input";"Input Pages 3 and 4",#N/A,FALSE,"Input"}</definedName>
    <definedName name="wrn.Input._.Information." hidden="1">{"Input Pages 1 and 2",#N/A,FALSE,"Input";"Input Pages 3 and 4",#N/A,FALSE,"Input"}</definedName>
    <definedName name="wrn.Input._.Information._1" localSheetId="23" hidden="1">{"Input Pages 1 and 2",#N/A,FALSE,"Input";"Input Pages 3 and 4",#N/A,FALSE,"Input"}</definedName>
    <definedName name="wrn.Input._.Information._1" hidden="1">{"Input Pages 1 and 2",#N/A,FALSE,"Input";"Input Pages 3 and 4",#N/A,FALSE,"Input"}</definedName>
    <definedName name="wrn.Operating._.Budget." localSheetId="23" hidden="1">{"Operating Budget Detail",#N/A,FALSE,"Operations"}</definedName>
    <definedName name="wrn.Operating._.Budget." hidden="1">{"Operating Budget Detail",#N/A,FALSE,"Operations"}</definedName>
    <definedName name="wrn.Operating._.Budget._1" localSheetId="23" hidden="1">{"Operating Budget Detail",#N/A,FALSE,"Operations"}</definedName>
    <definedName name="wrn.Operating._.Budget._1" hidden="1">{"Operating Budget Detail",#N/A,FALSE,"Operations"}</definedName>
    <definedName name="wrn.Perm._.Sources._.and._.Uses." localSheetId="23" hidden="1">{"Sources and Uses with Eligible Basis",#N/A,FALSE,"Sources &amp; Uses";"Disbursement Schedule",#N/A,FALSE,"Sources &amp; Uses"}</definedName>
    <definedName name="wrn.Perm._.Sources._.and._.Uses." hidden="1">{"Sources and Uses with Eligible Basis",#N/A,FALSE,"Sources &amp; Uses";"Disbursement Schedule",#N/A,FALSE,"Sources &amp; Uses"}</definedName>
    <definedName name="wrn.Perm._.Sources._.and._.Uses._1" localSheetId="23" hidden="1">{"Sources and Uses with Eligible Basis",#N/A,FALSE,"Sources &amp; Uses";"Disbursement Schedule",#N/A,FALSE,"Sources &amp; Uses"}</definedName>
    <definedName name="wrn.Perm._.Sources._.and._.Uses._1" hidden="1">{"Sources and Uses with Eligible Basis",#N/A,FALSE,"Sources &amp; Uses";"Disbursement Schedule",#N/A,FALSE,"Sources &amp; Uses"}</definedName>
    <definedName name="wrn.Rent._.Calcs." localSheetId="23" hidden="1">{"Rent Calcs - all rents and two subsidies",#N/A,FALSE,"Rent Calcs";"Income Limits and Maximum Rents",#N/A,FALSE,"Rent Calcs"}</definedName>
    <definedName name="wrn.Rent._.Calcs." hidden="1">{"Rent Calcs - all rents and two subsidies",#N/A,FALSE,"Rent Calcs";"Income Limits and Maximum Rents",#N/A,FALSE,"Rent Calcs"}</definedName>
    <definedName name="wrn.Rent._.Calcs._1" localSheetId="23" hidden="1">{"Rent Calcs - all rents and two subsidies",#N/A,FALSE,"Rent Calcs";"Income Limits and Maximum Rents",#N/A,FALSE,"Rent Calcs"}</definedName>
    <definedName name="wrn.Rent._.Calcs._1" hidden="1">{"Rent Calcs - all rents and two subsidies",#N/A,FALSE,"Rent Calcs";"Income Limits and Maximum Rents",#N/A,FALSE,"Rent Calcs"}</definedName>
    <definedName name="wrn.Rent._.Summary.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localSheetId="23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Rent._.Summary._1" hidden="1">{"Rent Summary",#N/A,FALSE,"Rent Summary";"Regulated Units by Agency",#N/A,FALSE,"Rent Calcs";"Rent Calcs - all rents and two subsidies",#N/A,FALSE,"Rent Calcs";"Rent Calcs - CalHFA and TCAC",#N/A,FALSE,"Rent Calcs";"Rent Calcs - HUD Income Limits and Rents",#N/A,FALSE,"Rent Calcs"}</definedName>
    <definedName name="wrn.Sources._.and._.Uses." localSheetId="23" hidden="1">{"Sources and Uses",#N/A,FALSE,"Sources &amp; Uses";"Construction Sources &amp; Uses Ex. D",#N/A,FALSE,"Sources &amp; Uses"}</definedName>
    <definedName name="wrn.Sources._.and._.Uses." hidden="1">{"Sources and Uses",#N/A,FALSE,"Sources &amp; Uses";"Construction Sources &amp; Uses Ex. D",#N/A,FALSE,"Sources &amp; Uses"}</definedName>
    <definedName name="wrn.Sources._.and._.Uses._1" localSheetId="23" hidden="1">{"Sources and Uses",#N/A,FALSE,"Sources &amp; Uses";"Construction Sources &amp; Uses Ex. D",#N/A,FALSE,"Sources &amp; Uses"}</definedName>
    <definedName name="wrn.Sources._.and._.Uses._1" hidden="1">{"Sources and Uses",#N/A,FALSE,"Sources &amp; Uses";"Construction Sources &amp; Uses Ex. D",#N/A,FALSE,"Sources &amp; Uses"}</definedName>
    <definedName name="wrn.Subsidy._.Costs._.to._.CalHFA." localSheetId="23" hidden="1">{"Subsidy",#N/A,FALSE,"Subisdy"}</definedName>
    <definedName name="wrn.Subsidy._.Costs._.to._.CalHFA." hidden="1">{"Subsidy",#N/A,FALSE,"Subisdy"}</definedName>
    <definedName name="wrn.Subsidy._.Costs._.to._.CalHFA._1" localSheetId="23" hidden="1">{"Subsidy",#N/A,FALSE,"Subisdy"}</definedName>
    <definedName name="wrn.Subsidy._.Costs._.to._.CalHFA._1" hidden="1">{"Subsidy",#N/A,FALSE,"Subisdy"}</definedName>
    <definedName name="wrn.TEFRA._.INFO." localSheetId="23" hidden="1">{"TEFRA INFO",#N/A,FALSE,"Input"}</definedName>
    <definedName name="wrn.TEFRA._.INFO." hidden="1">{"TEFRA INFO",#N/A,FALSE,"Input"}</definedName>
    <definedName name="wrn.TEFRA._.INFO._1" localSheetId="23" hidden="1">{"TEFRA INFO",#N/A,FALSE,"Input"}</definedName>
    <definedName name="wrn.TEFRA._.INFO._1" hidden="1">{"TEFRA INFO",#N/A,FALSE,"Input"}</definedName>
    <definedName name="wrn.Underwriting._.View.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localSheetId="23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wrn.Underwriting._.View._1" hidden="1">{"Project Summary",#N/A,FALSE,"Project Summary";"Rent Summary",#N/A,FALSE,"Rent Summary";"Regulated Units by Agency",#N/A,FALSE,"Rent Calcs";"Rent Calcs - all rents and two subsidies",#N/A,FALSE,"Rent Calcs";"Rent Calcs - CalHFA and TCAC",#N/A,FALSE,"Rent Calcs";"Sources and Uses with Eligible Basis",#N/A,FALSE,"Sources &amp; Uses";"Construction Sources &amp; Uses Ex. D",#N/A,FALSE,"Construction S &amp; U";"Operating Budget Detail",#N/A,FALSE,"Operations";"Cash Flow",#N/A,FALSE,"Cash Flow";"Input Pages 1 and 2",#N/A,FALSE,"Input";"Input Pages 3 and 4",#N/A,FALSE,"Input";"Bridge Loan",#N/A,FALSE,"Bridge Loan"}</definedName>
    <definedName name="YesNo" localSheetId="23">#REF!</definedName>
    <definedName name="YesNo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2" l="1"/>
  <c r="M163" i="1"/>
  <c r="E35" i="1"/>
  <c r="D40" i="28" l="1"/>
  <c r="I59" i="2" l="1"/>
  <c r="D50" i="10"/>
  <c r="D24" i="6" l="1"/>
  <c r="D42" i="28"/>
  <c r="D41" i="28"/>
  <c r="D34" i="28"/>
  <c r="D33" i="28"/>
  <c r="D39" i="28"/>
  <c r="D32" i="28"/>
  <c r="D43" i="28" s="1"/>
  <c r="D13" i="28"/>
  <c r="C4" i="28"/>
  <c r="F103" i="1"/>
  <c r="F167" i="1"/>
  <c r="F224" i="1"/>
  <c r="D45" i="28" l="1"/>
  <c r="D36" i="28"/>
  <c r="M58" i="1"/>
  <c r="C39" i="6" l="1"/>
  <c r="M168" i="1"/>
  <c r="G23" i="1" l="1"/>
  <c r="M116" i="1"/>
  <c r="M117" i="1"/>
  <c r="D12" i="10"/>
  <c r="M167" i="1"/>
  <c r="G50" i="10"/>
  <c r="C17" i="6"/>
  <c r="H32" i="2" l="1"/>
  <c r="D50" i="23"/>
  <c r="G50" i="23" s="1"/>
  <c r="D49" i="23"/>
  <c r="G49" i="23" s="1"/>
  <c r="D48" i="23"/>
  <c r="G48" i="23" s="1"/>
  <c r="G47" i="23"/>
  <c r="D47" i="23"/>
  <c r="G46" i="23"/>
  <c r="D46" i="23"/>
  <c r="D45" i="23"/>
  <c r="G45" i="23" s="1"/>
  <c r="G44" i="23"/>
  <c r="D44" i="23"/>
  <c r="G43" i="23"/>
  <c r="D43" i="23"/>
  <c r="D42" i="23"/>
  <c r="G42" i="23" s="1"/>
  <c r="G41" i="23"/>
  <c r="D41" i="23"/>
  <c r="C22" i="23"/>
  <c r="C23" i="23" s="1"/>
  <c r="C24" i="23" s="1"/>
  <c r="C25" i="23" s="1"/>
  <c r="C26" i="23" s="1"/>
  <c r="C27" i="23" s="1"/>
  <c r="C28" i="23" s="1"/>
  <c r="C29" i="23" s="1"/>
  <c r="C30" i="23" s="1"/>
  <c r="C31" i="23" s="1"/>
  <c r="C32" i="23" s="1"/>
  <c r="C33" i="23" s="1"/>
  <c r="C34" i="23" s="1"/>
  <c r="C35" i="23" s="1"/>
  <c r="C36" i="23" s="1"/>
  <c r="C37" i="23" s="1"/>
  <c r="C38" i="23" s="1"/>
  <c r="C39" i="23" s="1"/>
  <c r="C40" i="23" s="1"/>
  <c r="C41" i="23" s="1"/>
  <c r="C42" i="23" s="1"/>
  <c r="C43" i="23" s="1"/>
  <c r="C44" i="23" s="1"/>
  <c r="C45" i="23" s="1"/>
  <c r="C46" i="23" s="1"/>
  <c r="C47" i="23" s="1"/>
  <c r="C48" i="23" s="1"/>
  <c r="C49" i="23" s="1"/>
  <c r="C50" i="23" s="1"/>
  <c r="D20" i="23"/>
  <c r="H101" i="5" l="1"/>
  <c r="I64" i="2"/>
  <c r="I52" i="2"/>
  <c r="H74" i="5"/>
  <c r="M162" i="1" l="1"/>
  <c r="M161" i="1"/>
  <c r="D36" i="2"/>
  <c r="F13" i="5"/>
  <c r="D20" i="5" l="1"/>
  <c r="D42" i="2" l="1"/>
  <c r="C55" i="26" l="1"/>
  <c r="M126" i="1" l="1"/>
  <c r="D10" i="10" l="1"/>
  <c r="D11" i="10"/>
  <c r="A35" i="25"/>
  <c r="D27" i="25"/>
  <c r="D22" i="25"/>
  <c r="B23" i="25"/>
  <c r="D30" i="25" l="1"/>
  <c r="E120" i="10" l="1"/>
  <c r="H33" i="2"/>
  <c r="D28" i="2"/>
  <c r="D41" i="2" s="1"/>
  <c r="C74" i="5" l="1"/>
  <c r="C101" i="5"/>
  <c r="H43" i="2"/>
  <c r="I43" i="2" s="1"/>
  <c r="H44" i="2"/>
  <c r="I44" i="2" s="1"/>
  <c r="H34" i="2"/>
  <c r="E120" i="1"/>
  <c r="H26" i="2" l="1"/>
  <c r="I33" i="2"/>
  <c r="C42" i="5" s="1"/>
  <c r="C95" i="5" s="1"/>
  <c r="I32" i="2"/>
  <c r="C43" i="5" s="1"/>
  <c r="H68" i="5" l="1"/>
  <c r="H95" i="5"/>
  <c r="C68" i="5"/>
  <c r="C82" i="5" s="1"/>
  <c r="M151" i="1"/>
  <c r="G150" i="1"/>
  <c r="G116" i="1"/>
  <c r="E18" i="1"/>
  <c r="H49" i="26"/>
  <c r="I48" i="26"/>
  <c r="G155" i="1"/>
  <c r="G152" i="1"/>
  <c r="I49" i="26" l="1"/>
  <c r="G162" i="1"/>
  <c r="G31" i="1"/>
  <c r="C3" i="27" l="1"/>
  <c r="B7" i="27" s="1"/>
  <c r="G53" i="10"/>
  <c r="G51" i="10"/>
  <c r="G52" i="10"/>
  <c r="C14" i="27" l="1"/>
  <c r="C13" i="27"/>
  <c r="G18" i="1"/>
  <c r="C15" i="27" l="1"/>
  <c r="G120" i="1" s="1"/>
  <c r="E34" i="6"/>
  <c r="E36" i="6" s="1"/>
  <c r="E31" i="5"/>
  <c r="G161" i="1" l="1"/>
  <c r="G173" i="1" l="1"/>
  <c r="G176" i="1" s="1"/>
  <c r="X42" i="4"/>
  <c r="X43" i="4"/>
  <c r="X44" i="4"/>
  <c r="X45" i="4"/>
  <c r="X46" i="4"/>
  <c r="X47" i="4"/>
  <c r="X48" i="4"/>
  <c r="X49" i="4"/>
  <c r="X50" i="4"/>
  <c r="X51" i="4"/>
  <c r="X52" i="4"/>
  <c r="X53" i="4"/>
  <c r="X41" i="4"/>
  <c r="Y52" i="4"/>
  <c r="Y34" i="4"/>
  <c r="Y35" i="4"/>
  <c r="Y36" i="4"/>
  <c r="Y37" i="4"/>
  <c r="Y33" i="4"/>
  <c r="Y23" i="4"/>
  <c r="Y24" i="4"/>
  <c r="Y25" i="4"/>
  <c r="Y22" i="4"/>
  <c r="S67" i="4"/>
  <c r="X67" i="4"/>
  <c r="X68" i="4"/>
  <c r="M91" i="1"/>
  <c r="F14" i="17"/>
  <c r="F6" i="17"/>
  <c r="F17" i="17" s="1"/>
  <c r="Q133" i="1"/>
  <c r="F126" i="1"/>
  <c r="X23" i="4" l="1"/>
  <c r="Y21" i="4"/>
  <c r="Y20" i="4"/>
  <c r="Y45" i="4"/>
  <c r="X63" i="4"/>
  <c r="Y46" i="4"/>
  <c r="Y47" i="4"/>
  <c r="Y48" i="4"/>
  <c r="Y49" i="4"/>
  <c r="Y50" i="4"/>
  <c r="Y51" i="4"/>
  <c r="Y53" i="4"/>
  <c r="Y38" i="4"/>
  <c r="E54" i="4"/>
  <c r="D53" i="10"/>
  <c r="D51" i="10"/>
  <c r="D52" i="10"/>
  <c r="D42" i="10"/>
  <c r="D43" i="10"/>
  <c r="D44" i="10"/>
  <c r="D41" i="10"/>
  <c r="D35" i="10"/>
  <c r="D33" i="10"/>
  <c r="D34" i="10"/>
  <c r="D32" i="10"/>
  <c r="D9" i="10"/>
  <c r="E25" i="1"/>
  <c r="X248" i="1"/>
  <c r="V248" i="1"/>
  <c r="Z248" i="1" s="1"/>
  <c r="V247" i="1"/>
  <c r="X247" i="1"/>
  <c r="V246" i="1"/>
  <c r="X246" i="1"/>
  <c r="X245" i="1"/>
  <c r="V245" i="1"/>
  <c r="Z245" i="1" s="1"/>
  <c r="X244" i="1"/>
  <c r="V244" i="1"/>
  <c r="Z244" i="1" s="1"/>
  <c r="G238" i="1"/>
  <c r="G242" i="1" s="1"/>
  <c r="X236" i="1"/>
  <c r="V236" i="1"/>
  <c r="G217" i="1"/>
  <c r="G210" i="1"/>
  <c r="V210" i="1"/>
  <c r="G206" i="1"/>
  <c r="V200" i="1"/>
  <c r="G192" i="1"/>
  <c r="V191" i="1"/>
  <c r="G191" i="1"/>
  <c r="X186" i="1"/>
  <c r="V186" i="1"/>
  <c r="Z186" i="1" s="1"/>
  <c r="G183" i="1"/>
  <c r="G189" i="1" s="1"/>
  <c r="X180" i="1"/>
  <c r="V180" i="1"/>
  <c r="Z180" i="1" s="1"/>
  <c r="V179" i="1"/>
  <c r="V178" i="1"/>
  <c r="G166" i="1"/>
  <c r="G163" i="1"/>
  <c r="V132" i="1"/>
  <c r="X132" i="1"/>
  <c r="G128" i="1"/>
  <c r="G125" i="1"/>
  <c r="V119" i="1"/>
  <c r="X119" i="1"/>
  <c r="X118" i="1"/>
  <c r="V118" i="1"/>
  <c r="Z118" i="1" s="1"/>
  <c r="G117" i="1"/>
  <c r="F112" i="1"/>
  <c r="F111" i="1"/>
  <c r="F108" i="1"/>
  <c r="F107" i="1"/>
  <c r="X91" i="1"/>
  <c r="G74" i="1"/>
  <c r="G69" i="1"/>
  <c r="U64" i="1"/>
  <c r="U61" i="1"/>
  <c r="V57" i="1"/>
  <c r="G51" i="1"/>
  <c r="C66" i="26"/>
  <c r="C62" i="26"/>
  <c r="E53" i="26"/>
  <c r="D53" i="26" s="1"/>
  <c r="H50" i="26"/>
  <c r="H48" i="26"/>
  <c r="C48" i="26"/>
  <c r="A3" i="26"/>
  <c r="C31" i="26"/>
  <c r="C28" i="26"/>
  <c r="C32" i="26" s="1"/>
  <c r="I50" i="26" l="1"/>
  <c r="J50" i="26" s="1"/>
  <c r="G24" i="1"/>
  <c r="G106" i="1"/>
  <c r="Z179" i="1"/>
  <c r="Z210" i="1"/>
  <c r="H68" i="26"/>
  <c r="Z246" i="1"/>
  <c r="C77" i="26"/>
  <c r="G170" i="1"/>
  <c r="C70" i="26"/>
  <c r="Z119" i="1"/>
  <c r="G200" i="1"/>
  <c r="X200" i="1" s="1"/>
  <c r="J48" i="26"/>
  <c r="C18" i="26"/>
  <c r="G110" i="1"/>
  <c r="X179" i="1"/>
  <c r="G221" i="1"/>
  <c r="X210" i="1"/>
  <c r="Z132" i="1"/>
  <c r="Z236" i="1"/>
  <c r="Z247" i="1"/>
  <c r="X191" i="1"/>
  <c r="Z191" i="1"/>
  <c r="G249" i="1"/>
  <c r="X249" i="1"/>
  <c r="C7" i="6" l="1"/>
  <c r="D14" i="2"/>
  <c r="Z249" i="1"/>
  <c r="Z200" i="1"/>
  <c r="G64" i="1" l="1"/>
  <c r="G65" i="1" l="1"/>
  <c r="Z64" i="1"/>
  <c r="X64" i="1"/>
  <c r="X61" i="1" l="1"/>
  <c r="X65" i="1" s="1"/>
  <c r="Z61" i="1"/>
  <c r="Z65" i="1" s="1"/>
  <c r="X192" i="1" l="1"/>
  <c r="X162" i="1"/>
  <c r="X116" i="1"/>
  <c r="X78" i="1"/>
  <c r="X238" i="1"/>
  <c r="X173" i="1"/>
  <c r="X58" i="1"/>
  <c r="X221" i="1"/>
  <c r="X125" i="1"/>
  <c r="X79" i="1"/>
  <c r="X68" i="1"/>
  <c r="X74" i="1"/>
  <c r="X237" i="1"/>
  <c r="X188" i="1"/>
  <c r="X30" i="1"/>
  <c r="X187" i="1"/>
  <c r="X172" i="1"/>
  <c r="X110" i="1"/>
  <c r="X69" i="1"/>
  <c r="X27" i="1"/>
  <c r="X24" i="1"/>
  <c r="X206" i="1"/>
  <c r="X183" i="1"/>
  <c r="X166" i="1"/>
  <c r="X231" i="1"/>
  <c r="X128" i="1"/>
  <c r="X106" i="1"/>
  <c r="X23" i="1"/>
  <c r="X163" i="1"/>
  <c r="X117" i="1"/>
  <c r="X82" i="1"/>
  <c r="X31" i="1"/>
  <c r="X217" i="1"/>
  <c r="X189" i="1" l="1"/>
  <c r="X242" i="1"/>
  <c r="X170" i="1"/>
  <c r="X176" i="1"/>
  <c r="Z221" i="1"/>
  <c r="Z125" i="1"/>
  <c r="Z79" i="1"/>
  <c r="Z116" i="1"/>
  <c r="Z217" i="1"/>
  <c r="Z162" i="1"/>
  <c r="Z78" i="1"/>
  <c r="Z237" i="1"/>
  <c r="Z188" i="1"/>
  <c r="Z30" i="1"/>
  <c r="Z187" i="1"/>
  <c r="Z172" i="1"/>
  <c r="Z69" i="1"/>
  <c r="Z27" i="1"/>
  <c r="Z206" i="1"/>
  <c r="Z24" i="1"/>
  <c r="Z183" i="1"/>
  <c r="Z166" i="1"/>
  <c r="Z110" i="1"/>
  <c r="Z68" i="1"/>
  <c r="Z23" i="1"/>
  <c r="Z231" i="1"/>
  <c r="Z128" i="1"/>
  <c r="Z163" i="1"/>
  <c r="Z117" i="1"/>
  <c r="Z82" i="1"/>
  <c r="Z192" i="1"/>
  <c r="Z31" i="1"/>
  <c r="Z238" i="1"/>
  <c r="Z173" i="1"/>
  <c r="Z58" i="1"/>
  <c r="Z74" i="1"/>
  <c r="Z106" i="1"/>
  <c r="Z170" i="1" l="1"/>
  <c r="Z242" i="1"/>
  <c r="Z176" i="1"/>
  <c r="Z189" i="1"/>
  <c r="E55" i="10" l="1"/>
  <c r="H54" i="10"/>
  <c r="G54" i="10"/>
  <c r="I54" i="10" s="1"/>
  <c r="K54" i="10" s="1"/>
  <c r="D54" i="10"/>
  <c r="J54" i="10" s="1"/>
  <c r="J53" i="10"/>
  <c r="I53" i="10"/>
  <c r="K53" i="10" s="1"/>
  <c r="J52" i="10"/>
  <c r="J51" i="10"/>
  <c r="J50" i="10"/>
  <c r="C50" i="10"/>
  <c r="G41" i="10"/>
  <c r="J41" i="10"/>
  <c r="G42" i="10"/>
  <c r="J42" i="10"/>
  <c r="G43" i="10"/>
  <c r="J43" i="10"/>
  <c r="G44" i="10"/>
  <c r="I44" i="10" s="1"/>
  <c r="K44" i="10" s="1"/>
  <c r="J44" i="10"/>
  <c r="D45" i="10"/>
  <c r="G45" i="10"/>
  <c r="H45" i="10"/>
  <c r="J45" i="10"/>
  <c r="E46" i="10"/>
  <c r="V68" i="4"/>
  <c r="W67" i="4"/>
  <c r="W66" i="4"/>
  <c r="W65" i="4"/>
  <c r="V65" i="4"/>
  <c r="W64" i="4"/>
  <c r="W63" i="4"/>
  <c r="W62" i="4"/>
  <c r="W61" i="4"/>
  <c r="W60" i="4"/>
  <c r="W59" i="4"/>
  <c r="W58" i="4"/>
  <c r="W57" i="4"/>
  <c r="W56" i="4"/>
  <c r="W55" i="4"/>
  <c r="V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V40" i="4"/>
  <c r="W39" i="4"/>
  <c r="W38" i="4"/>
  <c r="W37" i="4"/>
  <c r="W36" i="4"/>
  <c r="W35" i="4"/>
  <c r="W34" i="4"/>
  <c r="W33" i="4"/>
  <c r="W32" i="4"/>
  <c r="V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V19" i="4"/>
  <c r="I45" i="10" l="1"/>
  <c r="K45" i="10" s="1"/>
  <c r="N13" i="10"/>
  <c r="J46" i="10"/>
  <c r="J55" i="10"/>
  <c r="E36" i="4"/>
  <c r="S43" i="4"/>
  <c r="S41" i="4"/>
  <c r="S39" i="4"/>
  <c r="S22" i="4"/>
  <c r="F77" i="24"/>
  <c r="E70" i="24"/>
  <c r="F69" i="24"/>
  <c r="F70" i="24" s="1"/>
  <c r="E69" i="24"/>
  <c r="K68" i="24"/>
  <c r="I59" i="24"/>
  <c r="E59" i="24"/>
  <c r="I58" i="24"/>
  <c r="K56" i="24"/>
  <c r="G56" i="24"/>
  <c r="I55" i="24"/>
  <c r="I48" i="24"/>
  <c r="I47" i="24"/>
  <c r="K46" i="24"/>
  <c r="G46" i="24"/>
  <c r="I45" i="24"/>
  <c r="I44" i="24"/>
  <c r="I43" i="24"/>
  <c r="I42" i="24"/>
  <c r="I41" i="24"/>
  <c r="I40" i="24"/>
  <c r="I38" i="24"/>
  <c r="E35" i="24"/>
  <c r="E33" i="24"/>
  <c r="I32" i="24"/>
  <c r="G31" i="24"/>
  <c r="E31" i="24"/>
  <c r="I31" i="24" s="1"/>
  <c r="K30" i="24"/>
  <c r="I30" i="24"/>
  <c r="K29" i="24"/>
  <c r="I29" i="24"/>
  <c r="K28" i="24"/>
  <c r="I28" i="24"/>
  <c r="K27" i="24"/>
  <c r="I27" i="24"/>
  <c r="K26" i="24"/>
  <c r="I26" i="24"/>
  <c r="K25" i="24"/>
  <c r="I25" i="24"/>
  <c r="I24" i="24"/>
  <c r="K23" i="24"/>
  <c r="G23" i="24"/>
  <c r="I22" i="24"/>
  <c r="I20" i="24"/>
  <c r="I19" i="24"/>
  <c r="I18" i="24"/>
  <c r="I17" i="24"/>
  <c r="I16" i="24"/>
  <c r="I15" i="24"/>
  <c r="E14" i="24"/>
  <c r="I13" i="24"/>
  <c r="I12" i="24"/>
  <c r="I11" i="24"/>
  <c r="E66" i="24" l="1"/>
  <c r="H56" i="24"/>
  <c r="S58" i="4"/>
  <c r="S57" i="4"/>
  <c r="S29" i="4"/>
  <c r="S54" i="4"/>
  <c r="G57" i="24"/>
  <c r="H23" i="24"/>
  <c r="H46" i="24"/>
  <c r="H31" i="24"/>
  <c r="F7" i="24"/>
  <c r="L49" i="24" s="1"/>
  <c r="H57" i="24"/>
  <c r="L28" i="24"/>
  <c r="F58" i="24"/>
  <c r="L22" i="24"/>
  <c r="L20" i="24"/>
  <c r="I14" i="24"/>
  <c r="E21" i="24"/>
  <c r="E23" i="24"/>
  <c r="I23" i="24" s="1"/>
  <c r="I33" i="24"/>
  <c r="E50" i="24"/>
  <c r="K31" i="24"/>
  <c r="K57" i="24" s="1"/>
  <c r="E49" i="24"/>
  <c r="E46" i="24"/>
  <c r="I46" i="24" s="1"/>
  <c r="F18" i="24" l="1"/>
  <c r="L50" i="24"/>
  <c r="F14" i="24"/>
  <c r="L26" i="24"/>
  <c r="F42" i="24"/>
  <c r="L14" i="24"/>
  <c r="F40" i="24"/>
  <c r="F44" i="24"/>
  <c r="F48" i="24"/>
  <c r="F33" i="24"/>
  <c r="L51" i="24"/>
  <c r="F26" i="24"/>
  <c r="F59" i="24"/>
  <c r="L12" i="24"/>
  <c r="L34" i="24"/>
  <c r="L16" i="24"/>
  <c r="F38" i="24"/>
  <c r="F51" i="24"/>
  <c r="L36" i="24"/>
  <c r="L39" i="24"/>
  <c r="F41" i="24"/>
  <c r="F35" i="24"/>
  <c r="F34" i="24"/>
  <c r="F45" i="24"/>
  <c r="L15" i="24"/>
  <c r="F25" i="24"/>
  <c r="F30" i="24"/>
  <c r="F13" i="24"/>
  <c r="L37" i="24"/>
  <c r="X57" i="4"/>
  <c r="X58" i="4"/>
  <c r="X54" i="4"/>
  <c r="X29" i="4"/>
  <c r="L41" i="24"/>
  <c r="F15" i="24"/>
  <c r="L43" i="24"/>
  <c r="F27" i="24"/>
  <c r="F50" i="24"/>
  <c r="L45" i="24"/>
  <c r="F22" i="24"/>
  <c r="F29" i="24"/>
  <c r="L25" i="24"/>
  <c r="F19" i="24"/>
  <c r="F43" i="24"/>
  <c r="F17" i="24"/>
  <c r="F55" i="24"/>
  <c r="L30" i="24"/>
  <c r="F16" i="24"/>
  <c r="L33" i="24"/>
  <c r="L40" i="24"/>
  <c r="F28" i="24"/>
  <c r="L27" i="24"/>
  <c r="L13" i="24"/>
  <c r="L42" i="24"/>
  <c r="F12" i="24"/>
  <c r="F36" i="24"/>
  <c r="L19" i="24"/>
  <c r="L17" i="24"/>
  <c r="L44" i="24"/>
  <c r="L35" i="24"/>
  <c r="F39" i="24"/>
  <c r="L29" i="24"/>
  <c r="L18" i="24"/>
  <c r="L55" i="24"/>
  <c r="F37" i="24"/>
  <c r="L21" i="24"/>
  <c r="F20" i="24"/>
  <c r="L48" i="24"/>
  <c r="L38" i="24"/>
  <c r="F21" i="24"/>
  <c r="I21" i="24"/>
  <c r="F49" i="24"/>
  <c r="E56" i="24"/>
  <c r="F23" i="24" l="1"/>
  <c r="L46" i="24"/>
  <c r="L31" i="24"/>
  <c r="F31" i="24"/>
  <c r="F46" i="24"/>
  <c r="L56" i="24"/>
  <c r="L23" i="24"/>
  <c r="L57" i="24"/>
  <c r="F56" i="24"/>
  <c r="I56" i="24"/>
  <c r="I57" i="24" s="1"/>
  <c r="I60" i="24" s="1"/>
  <c r="E57" i="24"/>
  <c r="E60" i="24" s="1"/>
  <c r="F60" i="24" s="1"/>
  <c r="F57" i="24" l="1"/>
  <c r="A21" i="16"/>
  <c r="A22" i="16"/>
  <c r="G24" i="10" l="1"/>
  <c r="G25" i="10"/>
  <c r="G26" i="10"/>
  <c r="I26" i="10" s="1"/>
  <c r="K26" i="10" s="1"/>
  <c r="G27" i="10"/>
  <c r="G23" i="10"/>
  <c r="J24" i="10"/>
  <c r="J25" i="10"/>
  <c r="J26" i="10"/>
  <c r="D27" i="10"/>
  <c r="J27" i="10" s="1"/>
  <c r="H27" i="10"/>
  <c r="E28" i="10"/>
  <c r="N7" i="10" s="1"/>
  <c r="G32" i="10"/>
  <c r="I27" i="10" l="1"/>
  <c r="K27" i="10" s="1"/>
  <c r="F53" i="6"/>
  <c r="K12" i="10" s="1"/>
  <c r="E53" i="6"/>
  <c r="K11" i="10" s="1"/>
  <c r="D53" i="6"/>
  <c r="K10" i="10" s="1"/>
  <c r="C53" i="6"/>
  <c r="K9" i="10" s="1"/>
  <c r="D13" i="10"/>
  <c r="D15" i="10" s="1"/>
  <c r="D10" i="28" s="1"/>
  <c r="E43" i="28" s="1"/>
  <c r="C4" i="2"/>
  <c r="B16" i="21"/>
  <c r="E33" i="28" l="1"/>
  <c r="E35" i="28"/>
  <c r="E34" i="28"/>
  <c r="E40" i="28"/>
  <c r="E42" i="28"/>
  <c r="E39" i="28"/>
  <c r="E32" i="28"/>
  <c r="E41" i="28"/>
  <c r="E31" i="28"/>
  <c r="E45" i="28"/>
  <c r="E36" i="28"/>
  <c r="E18" i="5"/>
  <c r="F18" i="5" s="1"/>
  <c r="M46" i="26"/>
  <c r="C47" i="26" s="1"/>
  <c r="C49" i="26" s="1"/>
  <c r="C56" i="26" s="1"/>
  <c r="H51" i="10"/>
  <c r="H42" i="10"/>
  <c r="I42" i="10" s="1"/>
  <c r="K42" i="10" s="1"/>
  <c r="H50" i="10"/>
  <c r="K50" i="10" s="1"/>
  <c r="H41" i="10"/>
  <c r="I41" i="10" s="1"/>
  <c r="K41" i="10" s="1"/>
  <c r="H43" i="10"/>
  <c r="I43" i="10" s="1"/>
  <c r="K43" i="10" s="1"/>
  <c r="H52" i="10"/>
  <c r="C9" i="6" l="1"/>
  <c r="K46" i="10"/>
  <c r="H51" i="26" l="1"/>
  <c r="B18" i="21"/>
  <c r="J49" i="26" l="1"/>
  <c r="I51" i="26"/>
  <c r="D52" i="4"/>
  <c r="I53" i="26" l="1"/>
  <c r="I54" i="26"/>
  <c r="B19" i="21"/>
  <c r="C9" i="21"/>
  <c r="C10" i="21" s="1"/>
  <c r="C6" i="21"/>
  <c r="I55" i="26" l="1"/>
  <c r="F35" i="1" s="1"/>
  <c r="C29" i="16"/>
  <c r="B25" i="16"/>
  <c r="D25" i="16" s="1"/>
  <c r="E25" i="16" s="1"/>
  <c r="A28" i="16"/>
  <c r="A26" i="16"/>
  <c r="A25" i="16"/>
  <c r="A24" i="16"/>
  <c r="A23" i="16"/>
  <c r="B13" i="19"/>
  <c r="C12" i="16" s="1"/>
  <c r="B10" i="19"/>
  <c r="C9" i="16" s="1"/>
  <c r="B8" i="19"/>
  <c r="C7" i="16" s="1"/>
  <c r="E83" i="18"/>
  <c r="E77" i="18"/>
  <c r="E59" i="18"/>
  <c r="E54" i="18"/>
  <c r="E47" i="18"/>
  <c r="E39" i="18"/>
  <c r="E26" i="18"/>
  <c r="E27" i="18" s="1"/>
  <c r="E62" i="18" s="1"/>
  <c r="C13" i="16" s="1"/>
  <c r="E12" i="18"/>
  <c r="E73" i="18"/>
  <c r="G35" i="1" l="1"/>
  <c r="B9" i="19"/>
  <c r="C8" i="16"/>
  <c r="E41" i="18"/>
  <c r="B11" i="19" s="1"/>
  <c r="C10" i="16" s="1"/>
  <c r="E79" i="18"/>
  <c r="E63" i="18" l="1"/>
  <c r="B14" i="19"/>
  <c r="C14" i="16" s="1"/>
  <c r="E64" i="18"/>
  <c r="E85" i="18" s="1"/>
  <c r="E87" i="18" s="1"/>
  <c r="B12" i="19" s="1"/>
  <c r="C11" i="16" l="1"/>
  <c r="C15" i="16" s="1"/>
  <c r="B15" i="19"/>
  <c r="E15" i="12" l="1"/>
  <c r="E44" i="12"/>
  <c r="E34" i="12"/>
  <c r="E41" i="12"/>
  <c r="L53" i="12" l="1"/>
  <c r="H11" i="12" l="1"/>
  <c r="D10" i="12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K52" i="10" l="1"/>
  <c r="I51" i="10"/>
  <c r="K51" i="10" s="1"/>
  <c r="K55" i="10" l="1"/>
  <c r="Q44" i="14" l="1"/>
  <c r="O44" i="14"/>
  <c r="M44" i="14"/>
  <c r="M45" i="14" s="1"/>
  <c r="Q28" i="14"/>
  <c r="O28" i="14"/>
  <c r="P28" i="14" s="1"/>
  <c r="M28" i="14"/>
  <c r="N28" i="14" s="1"/>
  <c r="R30" i="14"/>
  <c r="P30" i="14"/>
  <c r="N30" i="14"/>
  <c r="M38" i="14"/>
  <c r="R28" i="14" l="1"/>
  <c r="O45" i="14"/>
  <c r="Q45" i="14"/>
  <c r="R34" i="14"/>
  <c r="R32" i="14"/>
  <c r="R27" i="14"/>
  <c r="P34" i="14"/>
  <c r="P32" i="14"/>
  <c r="P29" i="14"/>
  <c r="P27" i="14"/>
  <c r="N34" i="14"/>
  <c r="Q33" i="14"/>
  <c r="R33" i="14" s="1"/>
  <c r="O33" i="14"/>
  <c r="P33" i="14" s="1"/>
  <c r="M33" i="14"/>
  <c r="N33" i="14" s="1"/>
  <c r="N32" i="14"/>
  <c r="N27" i="14"/>
  <c r="Q31" i="14"/>
  <c r="Q38" i="14" s="1"/>
  <c r="O31" i="14"/>
  <c r="O38" i="14" s="1"/>
  <c r="M31" i="14"/>
  <c r="N31" i="14" s="1"/>
  <c r="Q29" i="14"/>
  <c r="R29" i="14" s="1"/>
  <c r="O29" i="14"/>
  <c r="M29" i="14"/>
  <c r="N29" i="14" s="1"/>
  <c r="P31" i="14" l="1"/>
  <c r="R31" i="14"/>
  <c r="B24" i="16" l="1"/>
  <c r="D24" i="16" s="1"/>
  <c r="E24" i="16" s="1"/>
  <c r="C101" i="15"/>
  <c r="C100" i="15"/>
  <c r="B97" i="15"/>
  <c r="C99" i="15"/>
  <c r="C98" i="15"/>
  <c r="K21" i="15"/>
  <c r="Y21" i="15" s="1"/>
  <c r="F20" i="15"/>
  <c r="Y20" i="15" s="1"/>
  <c r="Y91" i="15"/>
  <c r="Y79" i="15"/>
  <c r="Y77" i="15"/>
  <c r="Y69" i="15"/>
  <c r="Y59" i="15"/>
  <c r="Y56" i="15"/>
  <c r="Y55" i="15"/>
  <c r="Y54" i="15"/>
  <c r="Y53" i="15"/>
  <c r="Y48" i="15"/>
  <c r="Y47" i="15"/>
  <c r="Y44" i="15"/>
  <c r="Y37" i="15"/>
  <c r="Y35" i="15"/>
  <c r="Y34" i="15"/>
  <c r="Y31" i="15"/>
  <c r="Y24" i="15"/>
  <c r="Y16" i="15"/>
  <c r="Q53" i="12"/>
  <c r="D73" i="15"/>
  <c r="D72" i="15"/>
  <c r="D67" i="15"/>
  <c r="D25" i="15"/>
  <c r="D40" i="15" l="1"/>
  <c r="F40" i="15" s="1"/>
  <c r="G5" i="15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D22" i="15"/>
  <c r="M22" i="15" s="1"/>
  <c r="Y22" i="15" s="1"/>
  <c r="D78" i="15"/>
  <c r="N78" i="15" s="1"/>
  <c r="W78" i="15" s="1"/>
  <c r="D76" i="15"/>
  <c r="F76" i="15" s="1"/>
  <c r="D75" i="15"/>
  <c r="D71" i="15"/>
  <c r="D70" i="15"/>
  <c r="R70" i="15" s="1"/>
  <c r="D66" i="15"/>
  <c r="E66" i="15" s="1"/>
  <c r="Y66" i="15" s="1"/>
  <c r="D64" i="15"/>
  <c r="D63" i="15"/>
  <c r="D60" i="15"/>
  <c r="D51" i="15"/>
  <c r="E51" i="15" s="1"/>
  <c r="Y51" i="15" s="1"/>
  <c r="D50" i="15"/>
  <c r="E50" i="15" s="1"/>
  <c r="D49" i="15"/>
  <c r="F49" i="15" s="1"/>
  <c r="D47" i="15"/>
  <c r="D100" i="15" s="1"/>
  <c r="D46" i="15"/>
  <c r="E46" i="15" s="1"/>
  <c r="Y46" i="15" s="1"/>
  <c r="D41" i="15"/>
  <c r="E41" i="15" s="1"/>
  <c r="Y41" i="15" s="1"/>
  <c r="D39" i="15"/>
  <c r="E39" i="15" s="1"/>
  <c r="Y39" i="15" s="1"/>
  <c r="D29" i="15"/>
  <c r="I29" i="15" s="1"/>
  <c r="D28" i="15"/>
  <c r="F28" i="15" s="1"/>
  <c r="D27" i="15"/>
  <c r="F27" i="15" s="1"/>
  <c r="D8" i="15"/>
  <c r="E8" i="15" s="1"/>
  <c r="Y8" i="15" s="1"/>
  <c r="D86" i="15"/>
  <c r="D85" i="15"/>
  <c r="D89" i="15"/>
  <c r="X95" i="15"/>
  <c r="X80" i="15"/>
  <c r="G6" i="15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N49" i="15" l="1"/>
  <c r="J49" i="15"/>
  <c r="M49" i="15"/>
  <c r="O49" i="15"/>
  <c r="L49" i="15"/>
  <c r="P49" i="15"/>
  <c r="W49" i="15"/>
  <c r="K49" i="15"/>
  <c r="Q49" i="15"/>
  <c r="V49" i="15"/>
  <c r="U49" i="15"/>
  <c r="I49" i="15"/>
  <c r="H49" i="15"/>
  <c r="T49" i="15"/>
  <c r="S49" i="15"/>
  <c r="G49" i="15"/>
  <c r="R49" i="15"/>
  <c r="E78" i="15"/>
  <c r="Y78" i="15" s="1"/>
  <c r="D98" i="15" s="1"/>
  <c r="O76" i="15"/>
  <c r="N76" i="15"/>
  <c r="M76" i="15"/>
  <c r="L76" i="15"/>
  <c r="W76" i="15"/>
  <c r="K76" i="15"/>
  <c r="V76" i="15"/>
  <c r="J76" i="15"/>
  <c r="P76" i="15"/>
  <c r="U76" i="15"/>
  <c r="I76" i="15"/>
  <c r="T76" i="15"/>
  <c r="H76" i="15"/>
  <c r="S76" i="15"/>
  <c r="G76" i="15"/>
  <c r="R76" i="15"/>
  <c r="Q76" i="15"/>
  <c r="V40" i="15"/>
  <c r="J40" i="15"/>
  <c r="W40" i="15"/>
  <c r="U40" i="15"/>
  <c r="I40" i="15"/>
  <c r="T40" i="15"/>
  <c r="H40" i="15"/>
  <c r="S40" i="15"/>
  <c r="G40" i="15"/>
  <c r="R40" i="15"/>
  <c r="Q40" i="15"/>
  <c r="P40" i="15"/>
  <c r="O40" i="15"/>
  <c r="N40" i="15"/>
  <c r="K40" i="15"/>
  <c r="M40" i="15"/>
  <c r="L40" i="15"/>
  <c r="G27" i="15"/>
  <c r="H27" i="15"/>
  <c r="R29" i="15"/>
  <c r="Q29" i="15"/>
  <c r="P29" i="15"/>
  <c r="O29" i="15"/>
  <c r="S29" i="15"/>
  <c r="N29" i="15"/>
  <c r="M29" i="15"/>
  <c r="L29" i="15"/>
  <c r="W29" i="15"/>
  <c r="K29" i="15"/>
  <c r="V29" i="15"/>
  <c r="J29" i="15"/>
  <c r="U29" i="15"/>
  <c r="T29" i="15"/>
  <c r="W70" i="15"/>
  <c r="V70" i="15"/>
  <c r="U70" i="15"/>
  <c r="T70" i="15"/>
  <c r="S70" i="15"/>
  <c r="V28" i="15"/>
  <c r="J28" i="15"/>
  <c r="W28" i="15"/>
  <c r="U28" i="15"/>
  <c r="I28" i="15"/>
  <c r="T28" i="15"/>
  <c r="H28" i="15"/>
  <c r="S28" i="15"/>
  <c r="G28" i="15"/>
  <c r="R28" i="15"/>
  <c r="Q28" i="15"/>
  <c r="P28" i="15"/>
  <c r="O28" i="15"/>
  <c r="K28" i="15"/>
  <c r="N28" i="15"/>
  <c r="M28" i="15"/>
  <c r="L28" i="15"/>
  <c r="Y29" i="15" l="1"/>
  <c r="Y49" i="15"/>
  <c r="Y76" i="15"/>
  <c r="Y40" i="15"/>
  <c r="Y28" i="15"/>
  <c r="Y70" i="15"/>
  <c r="Y27" i="15"/>
  <c r="F61" i="14" l="1"/>
  <c r="E61" i="14"/>
  <c r="D61" i="14"/>
  <c r="F60" i="14"/>
  <c r="E60" i="14"/>
  <c r="D60" i="14"/>
  <c r="F59" i="14"/>
  <c r="E59" i="14"/>
  <c r="D59" i="14"/>
  <c r="F58" i="14"/>
  <c r="E58" i="14"/>
  <c r="D58" i="14"/>
  <c r="F56" i="14"/>
  <c r="E56" i="14"/>
  <c r="D56" i="14"/>
  <c r="H33" i="14" l="1"/>
  <c r="H32" i="14"/>
  <c r="H31" i="14"/>
  <c r="H30" i="14"/>
  <c r="G33" i="14"/>
  <c r="G32" i="14"/>
  <c r="G31" i="14"/>
  <c r="G30" i="14"/>
  <c r="F33" i="14"/>
  <c r="F32" i="14"/>
  <c r="F31" i="14"/>
  <c r="F30" i="14"/>
  <c r="D33" i="14"/>
  <c r="D32" i="14"/>
  <c r="D31" i="14"/>
  <c r="D30" i="14"/>
  <c r="H28" i="14"/>
  <c r="G28" i="14"/>
  <c r="F28" i="14"/>
  <c r="D28" i="14"/>
  <c r="E33" i="14" l="1"/>
  <c r="E32" i="14"/>
  <c r="E31" i="14"/>
  <c r="E30" i="14"/>
  <c r="E28" i="14"/>
  <c r="D51" i="12" l="1"/>
  <c r="D45" i="12"/>
  <c r="F45" i="12" s="1"/>
  <c r="G45" i="12" s="1"/>
  <c r="H45" i="12" s="1"/>
  <c r="I45" i="12" s="1"/>
  <c r="J45" i="12" s="1"/>
  <c r="K45" i="12" s="1"/>
  <c r="L45" i="12" s="1"/>
  <c r="M45" i="12" s="1"/>
  <c r="N45" i="12" s="1"/>
  <c r="O45" i="12" s="1"/>
  <c r="P45" i="12" s="1"/>
  <c r="Q45" i="12" s="1"/>
  <c r="D44" i="12"/>
  <c r="F44" i="12" s="1"/>
  <c r="G44" i="12" s="1"/>
  <c r="H44" i="12" s="1"/>
  <c r="I44" i="12" s="1"/>
  <c r="J44" i="12" s="1"/>
  <c r="K44" i="12" s="1"/>
  <c r="L44" i="12" s="1"/>
  <c r="M44" i="12" s="1"/>
  <c r="N44" i="12" s="1"/>
  <c r="O44" i="12" s="1"/>
  <c r="P44" i="12" s="1"/>
  <c r="Q44" i="12" s="1"/>
  <c r="D42" i="12"/>
  <c r="N42" i="12" s="1"/>
  <c r="D41" i="12"/>
  <c r="D40" i="12"/>
  <c r="D37" i="12"/>
  <c r="I37" i="12" s="1"/>
  <c r="D32" i="12"/>
  <c r="N32" i="12" s="1"/>
  <c r="D28" i="12"/>
  <c r="D27" i="12"/>
  <c r="D25" i="12"/>
  <c r="F25" i="12" s="1"/>
  <c r="G25" i="12" s="1"/>
  <c r="H25" i="12" s="1"/>
  <c r="I25" i="12" s="1"/>
  <c r="J25" i="12" s="1"/>
  <c r="K25" i="12" s="1"/>
  <c r="L25" i="12" s="1"/>
  <c r="M25" i="12" s="1"/>
  <c r="N25" i="12" s="1"/>
  <c r="O25" i="12" s="1"/>
  <c r="P25" i="12" s="1"/>
  <c r="Q25" i="12" s="1"/>
  <c r="D23" i="12"/>
  <c r="S23" i="12" s="1"/>
  <c r="S53" i="12" s="1"/>
  <c r="D22" i="12"/>
  <c r="P22" i="12" s="1"/>
  <c r="P53" i="12" s="1"/>
  <c r="D19" i="12"/>
  <c r="F19" i="12" s="1"/>
  <c r="G19" i="12" s="1"/>
  <c r="H19" i="12" s="1"/>
  <c r="I19" i="12" s="1"/>
  <c r="J19" i="12" s="1"/>
  <c r="K19" i="12" s="1"/>
  <c r="L19" i="12" s="1"/>
  <c r="M19" i="12" s="1"/>
  <c r="N19" i="12" s="1"/>
  <c r="O19" i="12" s="1"/>
  <c r="D18" i="12"/>
  <c r="N18" i="12" s="1"/>
  <c r="D17" i="12"/>
  <c r="Q17" i="12" s="1"/>
  <c r="D16" i="12"/>
  <c r="D15" i="12"/>
  <c r="H15" i="12" s="1"/>
  <c r="I15" i="12" s="1"/>
  <c r="J15" i="12" s="1"/>
  <c r="K15" i="12" s="1"/>
  <c r="L15" i="12" s="1"/>
  <c r="M15" i="12" s="1"/>
  <c r="D11" i="12"/>
  <c r="D22" i="13"/>
  <c r="D21" i="13"/>
  <c r="D20" i="13"/>
  <c r="C14" i="13"/>
  <c r="B14" i="13"/>
  <c r="C11" i="13"/>
  <c r="E22" i="13" s="1"/>
  <c r="C10" i="13"/>
  <c r="D10" i="13" s="1"/>
  <c r="C9" i="13"/>
  <c r="E20" i="13" s="1"/>
  <c r="C8" i="13"/>
  <c r="E19" i="13" s="1"/>
  <c r="B8" i="13"/>
  <c r="B12" i="13" s="1"/>
  <c r="X57" i="12"/>
  <c r="X47" i="12"/>
  <c r="E47" i="12"/>
  <c r="Y43" i="12"/>
  <c r="Y33" i="12"/>
  <c r="Y30" i="12"/>
  <c r="Y28" i="12"/>
  <c r="Y27" i="12"/>
  <c r="Y26" i="12"/>
  <c r="Y21" i="12"/>
  <c r="E17" i="15" s="1"/>
  <c r="Y17" i="15" s="1"/>
  <c r="Y20" i="12"/>
  <c r="Y11" i="12"/>
  <c r="E11" i="15" s="1"/>
  <c r="Y11" i="15" s="1"/>
  <c r="Y8" i="12"/>
  <c r="G6" i="12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L102" i="11"/>
  <c r="M102" i="11" s="1"/>
  <c r="N102" i="11" s="1"/>
  <c r="O102" i="11" s="1"/>
  <c r="P102" i="11" s="1"/>
  <c r="R70" i="11"/>
  <c r="I67" i="11"/>
  <c r="J67" i="11" s="1"/>
  <c r="K67" i="11" s="1"/>
  <c r="L67" i="11" s="1"/>
  <c r="M67" i="11" s="1"/>
  <c r="N67" i="11" s="1"/>
  <c r="O67" i="11" s="1"/>
  <c r="Q67" i="11" s="1"/>
  <c r="R68" i="11"/>
  <c r="I66" i="11"/>
  <c r="R34" i="11"/>
  <c r="I33" i="11"/>
  <c r="J33" i="11" s="1"/>
  <c r="K33" i="11" s="1"/>
  <c r="L33" i="11" s="1"/>
  <c r="M33" i="11" s="1"/>
  <c r="N33" i="11" s="1"/>
  <c r="O33" i="11" s="1"/>
  <c r="Q33" i="11" s="1"/>
  <c r="D9" i="13" l="1"/>
  <c r="D14" i="13"/>
  <c r="C12" i="13"/>
  <c r="J40" i="12"/>
  <c r="M40" i="12"/>
  <c r="H40" i="12"/>
  <c r="N16" i="12"/>
  <c r="Y16" i="12" s="1"/>
  <c r="E51" i="12"/>
  <c r="E57" i="12" s="1"/>
  <c r="D8" i="13"/>
  <c r="B16" i="13"/>
  <c r="Y10" i="12"/>
  <c r="D12" i="13"/>
  <c r="E21" i="13"/>
  <c r="D11" i="13"/>
  <c r="C115" i="11"/>
  <c r="U53" i="12"/>
  <c r="D18" i="15"/>
  <c r="D19" i="15"/>
  <c r="J37" i="12"/>
  <c r="K37" i="12"/>
  <c r="E48" i="12"/>
  <c r="M37" i="12"/>
  <c r="G37" i="12"/>
  <c r="L37" i="12"/>
  <c r="F37" i="12"/>
  <c r="H37" i="12"/>
  <c r="Y22" i="12"/>
  <c r="E18" i="15" s="1"/>
  <c r="Y18" i="15" s="1"/>
  <c r="C16" i="13"/>
  <c r="D19" i="13"/>
  <c r="F40" i="12"/>
  <c r="F42" i="12"/>
  <c r="Y42" i="12" s="1"/>
  <c r="E72" i="15" s="1"/>
  <c r="Y72" i="15" s="1"/>
  <c r="F17" i="12"/>
  <c r="Y17" i="12" s="1"/>
  <c r="H32" i="12"/>
  <c r="Y32" i="12" s="1"/>
  <c r="E65" i="15" s="1"/>
  <c r="Y65" i="15" s="1"/>
  <c r="F41" i="12"/>
  <c r="H41" i="12" s="1"/>
  <c r="J41" i="12" s="1"/>
  <c r="L41" i="12"/>
  <c r="N41" i="12" s="1"/>
  <c r="J32" i="11"/>
  <c r="J66" i="11"/>
  <c r="I68" i="11"/>
  <c r="I69" i="11" s="1"/>
  <c r="I34" i="11"/>
  <c r="J34" i="11" s="1"/>
  <c r="K34" i="11" s="1"/>
  <c r="L34" i="11" s="1"/>
  <c r="M34" i="11" s="1"/>
  <c r="N34" i="11" s="1"/>
  <c r="O34" i="11" s="1"/>
  <c r="Q34" i="11" s="1"/>
  <c r="D16" i="13" l="1"/>
  <c r="J68" i="11"/>
  <c r="K68" i="11" s="1"/>
  <c r="L68" i="11" s="1"/>
  <c r="M68" i="11" s="1"/>
  <c r="N68" i="11" s="1"/>
  <c r="O68" i="11" s="1"/>
  <c r="Q68" i="11" s="1"/>
  <c r="F51" i="12"/>
  <c r="Y23" i="12"/>
  <c r="E19" i="15" s="1"/>
  <c r="Y19" i="15" s="1"/>
  <c r="Y53" i="12"/>
  <c r="E86" i="15" s="1"/>
  <c r="Y86" i="15" s="1"/>
  <c r="Y25" i="12"/>
  <c r="E25" i="15" s="1"/>
  <c r="Y25" i="15" s="1"/>
  <c r="Y18" i="12"/>
  <c r="Y37" i="12"/>
  <c r="Y44" i="12"/>
  <c r="E73" i="15" s="1"/>
  <c r="Y73" i="15" s="1"/>
  <c r="Y15" i="12"/>
  <c r="Y19" i="12"/>
  <c r="E15" i="15" s="1"/>
  <c r="Y41" i="12"/>
  <c r="Y50" i="15" s="1"/>
  <c r="Y45" i="12"/>
  <c r="E71" i="15" s="1"/>
  <c r="Y40" i="12"/>
  <c r="E67" i="15" s="1"/>
  <c r="Y67" i="15" s="1"/>
  <c r="J69" i="11"/>
  <c r="K66" i="11"/>
  <c r="J35" i="11"/>
  <c r="K32" i="11"/>
  <c r="I35" i="11"/>
  <c r="E14" i="15" l="1"/>
  <c r="Y12" i="12"/>
  <c r="E10" i="15" s="1"/>
  <c r="F71" i="15"/>
  <c r="K35" i="11"/>
  <c r="L32" i="11"/>
  <c r="K69" i="11"/>
  <c r="L66" i="11"/>
  <c r="U71" i="15" l="1"/>
  <c r="I71" i="15"/>
  <c r="T71" i="15"/>
  <c r="H71" i="15"/>
  <c r="S71" i="15"/>
  <c r="G71" i="15"/>
  <c r="R71" i="15"/>
  <c r="Q71" i="15"/>
  <c r="P71" i="15"/>
  <c r="O71" i="15"/>
  <c r="N71" i="15"/>
  <c r="M71" i="15"/>
  <c r="V71" i="15"/>
  <c r="L71" i="15"/>
  <c r="W71" i="15"/>
  <c r="K71" i="15"/>
  <c r="J71" i="15"/>
  <c r="M66" i="11"/>
  <c r="L69" i="11"/>
  <c r="M32" i="11"/>
  <c r="L35" i="11"/>
  <c r="Y71" i="15" l="1"/>
  <c r="M69" i="11"/>
  <c r="N66" i="11"/>
  <c r="M35" i="11"/>
  <c r="N32" i="11"/>
  <c r="N35" i="11" l="1"/>
  <c r="O32" i="11"/>
  <c r="O66" i="11"/>
  <c r="N69" i="11"/>
  <c r="O69" i="11" l="1"/>
  <c r="Q69" i="11" s="1"/>
  <c r="Q66" i="11"/>
  <c r="O35" i="11"/>
  <c r="Q35" i="11" s="1"/>
  <c r="Q32" i="11"/>
  <c r="E29" i="8" l="1"/>
  <c r="E31" i="8" l="1"/>
  <c r="D45" i="8" l="1"/>
  <c r="D39" i="12" s="1"/>
  <c r="F39" i="12" s="1"/>
  <c r="G39" i="12" s="1"/>
  <c r="H39" i="12" s="1"/>
  <c r="I39" i="12" s="1"/>
  <c r="J39" i="12" s="1"/>
  <c r="K39" i="12" s="1"/>
  <c r="D20" i="8" l="1"/>
  <c r="D14" i="12" s="1"/>
  <c r="F14" i="12" s="1"/>
  <c r="G14" i="12" s="1"/>
  <c r="H14" i="12" s="1"/>
  <c r="I14" i="12" s="1"/>
  <c r="J14" i="12" s="1"/>
  <c r="K14" i="12" s="1"/>
  <c r="L14" i="12" s="1"/>
  <c r="M14" i="12" s="1"/>
  <c r="N14" i="12" s="1"/>
  <c r="O14" i="12" s="1"/>
  <c r="Y39" i="12" l="1"/>
  <c r="E75" i="15" s="1"/>
  <c r="Y75" i="15" s="1"/>
  <c r="D73" i="8"/>
  <c r="D70" i="8"/>
  <c r="D67" i="8"/>
  <c r="Y14" i="12" l="1"/>
  <c r="E13" i="15" s="1"/>
  <c r="E28" i="8"/>
  <c r="H16" i="8" l="1"/>
  <c r="G17" i="8" s="1"/>
  <c r="H21" i="8" l="1"/>
  <c r="D44" i="8" l="1"/>
  <c r="D38" i="12" s="1"/>
  <c r="I38" i="12" s="1"/>
  <c r="L38" i="12" s="1"/>
  <c r="O38" i="12" s="1"/>
  <c r="D27" i="8" l="1"/>
  <c r="E27" i="8" s="1"/>
  <c r="E17" i="8"/>
  <c r="D21" i="12" l="1"/>
  <c r="D17" i="15" s="1"/>
  <c r="D23" i="15" s="1"/>
  <c r="D30" i="8"/>
  <c r="D69" i="8"/>
  <c r="Y38" i="12"/>
  <c r="E63" i="15" s="1"/>
  <c r="D24" i="12" l="1"/>
  <c r="M24" i="12" s="1"/>
  <c r="E30" i="8"/>
  <c r="R63" i="15"/>
  <c r="K24" i="12" l="1"/>
  <c r="P24" i="12"/>
  <c r="S24" i="12" s="1"/>
  <c r="Y24" i="12"/>
  <c r="E23" i="15" s="1"/>
  <c r="U63" i="15"/>
  <c r="T63" i="15"/>
  <c r="S63" i="15"/>
  <c r="V63" i="15"/>
  <c r="W63" i="15"/>
  <c r="Y63" i="15" l="1"/>
  <c r="F23" i="15"/>
  <c r="G23" i="15" l="1"/>
  <c r="M23" i="15"/>
  <c r="L23" i="15"/>
  <c r="K23" i="15"/>
  <c r="J23" i="15"/>
  <c r="I23" i="15"/>
  <c r="H23" i="15"/>
  <c r="Y23" i="15" l="1"/>
  <c r="D30" i="15"/>
  <c r="F30" i="15" s="1"/>
  <c r="W30" i="15" l="1"/>
  <c r="K30" i="15"/>
  <c r="V30" i="15"/>
  <c r="J30" i="15"/>
  <c r="U30" i="15"/>
  <c r="I30" i="15"/>
  <c r="T30" i="15"/>
  <c r="H30" i="15"/>
  <c r="S30" i="15"/>
  <c r="G30" i="15"/>
  <c r="R30" i="15"/>
  <c r="L30" i="15"/>
  <c r="Q30" i="15"/>
  <c r="N30" i="15"/>
  <c r="P30" i="15"/>
  <c r="O30" i="15"/>
  <c r="M30" i="15"/>
  <c r="Y30" i="15" l="1"/>
  <c r="F23" i="5" l="1"/>
  <c r="G23" i="5" s="1"/>
  <c r="H23" i="5" s="1"/>
  <c r="I23" i="5" s="1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T23" i="5" s="1"/>
  <c r="U23" i="5" s="1"/>
  <c r="V23" i="5" s="1"/>
  <c r="W23" i="5" s="1"/>
  <c r="X23" i="5" s="1"/>
  <c r="Y23" i="5" s="1"/>
  <c r="Z23" i="5" s="1"/>
  <c r="AA23" i="5" s="1"/>
  <c r="AB23" i="5" s="1"/>
  <c r="AC23" i="5" s="1"/>
  <c r="AD23" i="5" s="1"/>
  <c r="AE23" i="5" s="1"/>
  <c r="AF23" i="5" s="1"/>
  <c r="AG23" i="5" s="1"/>
  <c r="AH23" i="5" s="1"/>
  <c r="E36" i="5"/>
  <c r="F36" i="5" s="1"/>
  <c r="G36" i="5" s="1"/>
  <c r="H36" i="5" s="1"/>
  <c r="I36" i="5" s="1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T36" i="5" s="1"/>
  <c r="U36" i="5" s="1"/>
  <c r="V36" i="5" s="1"/>
  <c r="W36" i="5" s="1"/>
  <c r="X36" i="5" s="1"/>
  <c r="Y36" i="5" s="1"/>
  <c r="Z36" i="5" s="1"/>
  <c r="AA36" i="5" s="1"/>
  <c r="AB36" i="5" s="1"/>
  <c r="AC36" i="5" s="1"/>
  <c r="AD36" i="5" s="1"/>
  <c r="AE36" i="5" s="1"/>
  <c r="AF36" i="5" s="1"/>
  <c r="AG36" i="5" s="1"/>
  <c r="AH36" i="5" s="1"/>
  <c r="E35" i="5"/>
  <c r="F35" i="5" s="1"/>
  <c r="G35" i="5" s="1"/>
  <c r="H35" i="5" s="1"/>
  <c r="I35" i="5" s="1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T35" i="5" s="1"/>
  <c r="U35" i="5" s="1"/>
  <c r="V35" i="5" s="1"/>
  <c r="W35" i="5" s="1"/>
  <c r="X35" i="5" s="1"/>
  <c r="Y35" i="5" s="1"/>
  <c r="Z35" i="5" s="1"/>
  <c r="AA35" i="5" s="1"/>
  <c r="AB35" i="5" s="1"/>
  <c r="AC35" i="5" s="1"/>
  <c r="AD35" i="5" s="1"/>
  <c r="AE35" i="5" s="1"/>
  <c r="AF35" i="5" s="1"/>
  <c r="AG35" i="5" s="1"/>
  <c r="AH35" i="5" s="1"/>
  <c r="I105" i="10" l="1"/>
  <c r="K105" i="10" s="1"/>
  <c r="E110" i="10"/>
  <c r="K109" i="10"/>
  <c r="D109" i="10"/>
  <c r="J109" i="10" s="1"/>
  <c r="K108" i="10"/>
  <c r="D108" i="10"/>
  <c r="J108" i="10" s="1"/>
  <c r="D107" i="10"/>
  <c r="J107" i="10" s="1"/>
  <c r="G36" i="10"/>
  <c r="G35" i="10"/>
  <c r="J34" i="10"/>
  <c r="J35" i="10"/>
  <c r="D36" i="10"/>
  <c r="J36" i="10" s="1"/>
  <c r="H36" i="10"/>
  <c r="K119" i="10"/>
  <c r="D119" i="10"/>
  <c r="J119" i="10" s="1"/>
  <c r="K118" i="10"/>
  <c r="D118" i="10"/>
  <c r="J118" i="10" s="1"/>
  <c r="K117" i="10"/>
  <c r="J117" i="10"/>
  <c r="K116" i="10"/>
  <c r="K115" i="10"/>
  <c r="N12" i="10"/>
  <c r="N11" i="10"/>
  <c r="N9" i="10"/>
  <c r="E37" i="10"/>
  <c r="C32" i="10"/>
  <c r="N8" i="10" l="1"/>
  <c r="D11" i="2"/>
  <c r="N17" i="10"/>
  <c r="N15" i="10"/>
  <c r="I106" i="10"/>
  <c r="I107" i="10"/>
  <c r="G33" i="10"/>
  <c r="G34" i="10"/>
  <c r="I35" i="10"/>
  <c r="K35" i="10" s="1"/>
  <c r="I36" i="10"/>
  <c r="K36" i="10" s="1"/>
  <c r="N14" i="10"/>
  <c r="N16" i="10" l="1"/>
  <c r="N18" i="10" s="1"/>
  <c r="O13" i="10" s="1"/>
  <c r="E37" i="2"/>
  <c r="E36" i="2"/>
  <c r="E38" i="2"/>
  <c r="E39" i="2"/>
  <c r="E42" i="2"/>
  <c r="E27" i="2"/>
  <c r="E30" i="2"/>
  <c r="E29" i="2"/>
  <c r="E28" i="2"/>
  <c r="H28" i="2"/>
  <c r="H29" i="2"/>
  <c r="H23" i="10"/>
  <c r="I23" i="10" s="1"/>
  <c r="K23" i="10" s="1"/>
  <c r="H24" i="10"/>
  <c r="I24" i="10" s="1"/>
  <c r="K24" i="10" s="1"/>
  <c r="E122" i="10"/>
  <c r="H25" i="10"/>
  <c r="I25" i="10" s="1"/>
  <c r="K25" i="10" s="1"/>
  <c r="H32" i="10"/>
  <c r="I32" i="10" s="1"/>
  <c r="K32" i="10" s="1"/>
  <c r="H34" i="10"/>
  <c r="I34" i="10" s="1"/>
  <c r="K34" i="10" s="1"/>
  <c r="H33" i="10"/>
  <c r="I33" i="10" s="1"/>
  <c r="K33" i="10" s="1"/>
  <c r="C4" i="6"/>
  <c r="E12" i="10"/>
  <c r="E13" i="10"/>
  <c r="E11" i="10"/>
  <c r="E10" i="10"/>
  <c r="E9" i="10"/>
  <c r="O11" i="10" l="1"/>
  <c r="O18" i="10"/>
  <c r="O17" i="10"/>
  <c r="O14" i="10"/>
  <c r="O12" i="10"/>
  <c r="O10" i="10"/>
  <c r="O15" i="10"/>
  <c r="O7" i="10"/>
  <c r="O8" i="10"/>
  <c r="O9" i="10"/>
  <c r="K28" i="10"/>
  <c r="K106" i="10"/>
  <c r="K107" i="10"/>
  <c r="K37" i="10"/>
  <c r="E15" i="10"/>
  <c r="Q7" i="10" l="1"/>
  <c r="O19" i="10"/>
  <c r="D7" i="27" s="1"/>
  <c r="B8" i="27" s="1"/>
  <c r="Q8" i="10"/>
  <c r="O16" i="10"/>
  <c r="K110" i="10"/>
  <c r="E18" i="10" l="1"/>
  <c r="E12" i="5" s="1"/>
  <c r="E14" i="5" s="1"/>
  <c r="E60" i="8"/>
  <c r="E57" i="8"/>
  <c r="E51" i="8"/>
  <c r="E50" i="8"/>
  <c r="E49" i="8"/>
  <c r="E48" i="8"/>
  <c r="E46" i="8"/>
  <c r="E45" i="8"/>
  <c r="E43" i="8"/>
  <c r="E38" i="8"/>
  <c r="E35" i="8"/>
  <c r="E34" i="8"/>
  <c r="E33" i="8"/>
  <c r="E25" i="8"/>
  <c r="E24" i="8"/>
  <c r="E23" i="8"/>
  <c r="E21" i="8"/>
  <c r="D16" i="4" l="1"/>
  <c r="D18" i="4" s="1"/>
  <c r="D19" i="4" s="1"/>
  <c r="E47" i="8"/>
  <c r="E44" i="8"/>
  <c r="D40" i="8"/>
  <c r="D34" i="12" s="1"/>
  <c r="D37" i="8"/>
  <c r="E22" i="8"/>
  <c r="E18" i="8"/>
  <c r="D31" i="12" l="1"/>
  <c r="E37" i="8"/>
  <c r="D71" i="8"/>
  <c r="E40" i="8"/>
  <c r="E14" i="8"/>
  <c r="Y34" i="12" l="1"/>
  <c r="E60" i="15" s="1"/>
  <c r="Y60" i="15" s="1"/>
  <c r="W31" i="12"/>
  <c r="M31" i="12"/>
  <c r="E16" i="8"/>
  <c r="Y31" i="12" l="1"/>
  <c r="E20" i="8"/>
  <c r="E64" i="15" l="1"/>
  <c r="Y64" i="15" s="1"/>
  <c r="E59" i="8"/>
  <c r="B1" i="5"/>
  <c r="C8" i="5"/>
  <c r="C7" i="5"/>
  <c r="C6" i="5"/>
  <c r="C5" i="5"/>
  <c r="C4" i="5"/>
  <c r="B8" i="5"/>
  <c r="B7" i="5"/>
  <c r="B6" i="5"/>
  <c r="B5" i="5"/>
  <c r="B4" i="5"/>
  <c r="C8" i="4"/>
  <c r="C7" i="4"/>
  <c r="C6" i="4"/>
  <c r="C5" i="4"/>
  <c r="C4" i="4"/>
  <c r="A8" i="4"/>
  <c r="A7" i="4"/>
  <c r="A6" i="4"/>
  <c r="A5" i="4"/>
  <c r="A4" i="4"/>
  <c r="E8" i="1"/>
  <c r="C8" i="8" s="1"/>
  <c r="E7" i="1"/>
  <c r="E6" i="1"/>
  <c r="C6" i="8" s="1"/>
  <c r="E5" i="1"/>
  <c r="E4" i="1"/>
  <c r="D8" i="1"/>
  <c r="A8" i="8" s="1"/>
  <c r="D7" i="1"/>
  <c r="A7" i="8" s="1"/>
  <c r="D6" i="1"/>
  <c r="A6" i="8" s="1"/>
  <c r="D5" i="1"/>
  <c r="A5" i="8" s="1"/>
  <c r="D4" i="1"/>
  <c r="A4" i="8" s="1"/>
  <c r="C7" i="8" l="1"/>
  <c r="AH39" i="5" l="1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F17" i="5"/>
  <c r="G17" i="5" s="1"/>
  <c r="H17" i="5" s="1"/>
  <c r="I17" i="5" s="1"/>
  <c r="J17" i="5" s="1"/>
  <c r="K17" i="5" s="1"/>
  <c r="L17" i="5" s="1"/>
  <c r="M17" i="5" s="1"/>
  <c r="N17" i="5" s="1"/>
  <c r="O17" i="5" s="1"/>
  <c r="P17" i="5" s="1"/>
  <c r="Q17" i="5" s="1"/>
  <c r="R17" i="5" s="1"/>
  <c r="S17" i="5" s="1"/>
  <c r="T17" i="5" s="1"/>
  <c r="U17" i="5" s="1"/>
  <c r="V17" i="5" s="1"/>
  <c r="W17" i="5" s="1"/>
  <c r="X17" i="5" s="1"/>
  <c r="Y17" i="5" s="1"/>
  <c r="Z17" i="5" s="1"/>
  <c r="AA17" i="5" s="1"/>
  <c r="AB17" i="5" s="1"/>
  <c r="AC17" i="5" s="1"/>
  <c r="AD17" i="5" s="1"/>
  <c r="AE17" i="5" s="1"/>
  <c r="AF17" i="5" s="1"/>
  <c r="AG17" i="5" s="1"/>
  <c r="AH17" i="5" s="1"/>
  <c r="G13" i="5"/>
  <c r="H13" i="5" s="1"/>
  <c r="I13" i="5" s="1"/>
  <c r="J13" i="5" s="1"/>
  <c r="K13" i="5" s="1"/>
  <c r="L13" i="5" s="1"/>
  <c r="M13" i="5" s="1"/>
  <c r="N13" i="5" s="1"/>
  <c r="O13" i="5" s="1"/>
  <c r="P13" i="5" s="1"/>
  <c r="Q13" i="5" s="1"/>
  <c r="R13" i="5" s="1"/>
  <c r="S13" i="5" s="1"/>
  <c r="T13" i="5" s="1"/>
  <c r="U13" i="5" s="1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D42" i="15" l="1"/>
  <c r="F42" i="15" s="1"/>
  <c r="B23" i="16" l="1"/>
  <c r="D23" i="16" s="1"/>
  <c r="E23" i="16" s="1"/>
  <c r="Q74" i="15"/>
  <c r="P74" i="15"/>
  <c r="O74" i="15"/>
  <c r="N74" i="15"/>
  <c r="R74" i="15"/>
  <c r="M74" i="15"/>
  <c r="L74" i="15"/>
  <c r="W74" i="15"/>
  <c r="K74" i="15"/>
  <c r="V74" i="15"/>
  <c r="J74" i="15"/>
  <c r="U74" i="15"/>
  <c r="I74" i="15"/>
  <c r="T74" i="15"/>
  <c r="H74" i="15"/>
  <c r="S74" i="15"/>
  <c r="G74" i="15"/>
  <c r="P42" i="15"/>
  <c r="O42" i="15"/>
  <c r="N42" i="15"/>
  <c r="M42" i="15"/>
  <c r="L42" i="15"/>
  <c r="W42" i="15"/>
  <c r="K42" i="15"/>
  <c r="V42" i="15"/>
  <c r="J42" i="15"/>
  <c r="U42" i="15"/>
  <c r="I42" i="15"/>
  <c r="Q42" i="15"/>
  <c r="T42" i="15"/>
  <c r="H42" i="15"/>
  <c r="S42" i="15"/>
  <c r="G42" i="15"/>
  <c r="R42" i="15"/>
  <c r="C109" i="11"/>
  <c r="E41" i="4"/>
  <c r="E33" i="4"/>
  <c r="E26" i="4"/>
  <c r="E19" i="4"/>
  <c r="D10" i="4"/>
  <c r="X33" i="4" s="1"/>
  <c r="A1" i="4"/>
  <c r="A1" i="1"/>
  <c r="A1" i="16" s="1"/>
  <c r="F9" i="1"/>
  <c r="M57" i="1" s="1"/>
  <c r="M18" i="1" l="1"/>
  <c r="M94" i="1"/>
  <c r="M56" i="1"/>
  <c r="F94" i="1"/>
  <c r="F95" i="1"/>
  <c r="I157" i="1"/>
  <c r="I156" i="1"/>
  <c r="I149" i="1"/>
  <c r="I154" i="1"/>
  <c r="I153" i="1"/>
  <c r="I158" i="1"/>
  <c r="I152" i="1"/>
  <c r="I155" i="1"/>
  <c r="I115" i="1"/>
  <c r="I133" i="1"/>
  <c r="I137" i="1"/>
  <c r="I139" i="1"/>
  <c r="I134" i="1"/>
  <c r="I136" i="1"/>
  <c r="I138" i="1"/>
  <c r="I140" i="1"/>
  <c r="I141" i="1"/>
  <c r="I142" i="1"/>
  <c r="I143" i="1"/>
  <c r="I135" i="1"/>
  <c r="G90" i="1"/>
  <c r="D29" i="4"/>
  <c r="X22" i="4"/>
  <c r="X25" i="4"/>
  <c r="X20" i="4"/>
  <c r="I18" i="1"/>
  <c r="I163" i="1"/>
  <c r="I180" i="1"/>
  <c r="I197" i="1"/>
  <c r="I213" i="1"/>
  <c r="I229" i="1"/>
  <c r="I247" i="1"/>
  <c r="I75" i="1"/>
  <c r="I91" i="1"/>
  <c r="I108" i="1"/>
  <c r="I125" i="1"/>
  <c r="I30" i="1"/>
  <c r="I164" i="1"/>
  <c r="I182" i="1"/>
  <c r="I198" i="1"/>
  <c r="I214" i="1"/>
  <c r="I230" i="1"/>
  <c r="I248" i="1"/>
  <c r="I60" i="1"/>
  <c r="I76" i="1"/>
  <c r="I92" i="1"/>
  <c r="I109" i="1"/>
  <c r="I126" i="1"/>
  <c r="I31" i="1"/>
  <c r="I165" i="1"/>
  <c r="I183" i="1"/>
  <c r="I199" i="1"/>
  <c r="I215" i="1"/>
  <c r="I231" i="1"/>
  <c r="I249" i="1"/>
  <c r="I61" i="1"/>
  <c r="I77" i="1"/>
  <c r="I93" i="1"/>
  <c r="I110" i="1"/>
  <c r="I127" i="1"/>
  <c r="I166" i="1"/>
  <c r="I184" i="1"/>
  <c r="I200" i="1"/>
  <c r="I216" i="1"/>
  <c r="I232" i="1"/>
  <c r="I130" i="1"/>
  <c r="I62" i="1"/>
  <c r="I78" i="1"/>
  <c r="I94" i="1"/>
  <c r="I111" i="1"/>
  <c r="I128" i="1"/>
  <c r="I167" i="1"/>
  <c r="I185" i="1"/>
  <c r="I201" i="1"/>
  <c r="I217" i="1"/>
  <c r="I235" i="1"/>
  <c r="I131" i="1"/>
  <c r="I63" i="1"/>
  <c r="I79" i="1"/>
  <c r="I95" i="1"/>
  <c r="I112" i="1"/>
  <c r="I129" i="1"/>
  <c r="I187" i="1"/>
  <c r="I203" i="1"/>
  <c r="I219" i="1"/>
  <c r="I237" i="1"/>
  <c r="I65" i="1"/>
  <c r="I81" i="1"/>
  <c r="I20" i="1"/>
  <c r="I204" i="1"/>
  <c r="I238" i="1"/>
  <c r="I66" i="1"/>
  <c r="I98" i="1"/>
  <c r="I21" i="1"/>
  <c r="I171" i="1"/>
  <c r="I189" i="1"/>
  <c r="I221" i="1"/>
  <c r="I35" i="1"/>
  <c r="I100" i="1"/>
  <c r="I22" i="1"/>
  <c r="I70" i="1"/>
  <c r="I193" i="1"/>
  <c r="I225" i="1"/>
  <c r="I26" i="1"/>
  <c r="I168" i="1"/>
  <c r="I186" i="1"/>
  <c r="I202" i="1"/>
  <c r="I218" i="1"/>
  <c r="I236" i="1"/>
  <c r="I132" i="1"/>
  <c r="I48" i="1"/>
  <c r="I64" i="1"/>
  <c r="I96" i="1"/>
  <c r="I113" i="1"/>
  <c r="I169" i="1"/>
  <c r="I170" i="1"/>
  <c r="I188" i="1"/>
  <c r="I220" i="1"/>
  <c r="I34" i="1"/>
  <c r="I82" i="1"/>
  <c r="I116" i="1"/>
  <c r="F50" i="1"/>
  <c r="G50" i="1" s="1"/>
  <c r="I50" i="1" s="1"/>
  <c r="I205" i="1"/>
  <c r="I239" i="1"/>
  <c r="I51" i="1"/>
  <c r="I83" i="1"/>
  <c r="I117" i="1"/>
  <c r="F49" i="1"/>
  <c r="I174" i="1"/>
  <c r="I192" i="1"/>
  <c r="I242" i="1"/>
  <c r="I103" i="1"/>
  <c r="I175" i="1"/>
  <c r="I243" i="1"/>
  <c r="I87" i="1"/>
  <c r="I144" i="1"/>
  <c r="I172" i="1"/>
  <c r="I190" i="1"/>
  <c r="I206" i="1"/>
  <c r="I222" i="1"/>
  <c r="I240" i="1"/>
  <c r="I68" i="1"/>
  <c r="I84" i="1"/>
  <c r="I101" i="1"/>
  <c r="I118" i="1"/>
  <c r="I23" i="1"/>
  <c r="I145" i="1"/>
  <c r="I173" i="1"/>
  <c r="I191" i="1"/>
  <c r="I207" i="1"/>
  <c r="I223" i="1"/>
  <c r="I241" i="1"/>
  <c r="I53" i="1"/>
  <c r="I69" i="1"/>
  <c r="I85" i="1"/>
  <c r="I119" i="1"/>
  <c r="I24" i="1"/>
  <c r="I146" i="1"/>
  <c r="I208" i="1"/>
  <c r="I224" i="1"/>
  <c r="I86" i="1"/>
  <c r="I25" i="1"/>
  <c r="I147" i="1"/>
  <c r="I209" i="1"/>
  <c r="I55" i="1"/>
  <c r="I176" i="1"/>
  <c r="I194" i="1"/>
  <c r="I210" i="1"/>
  <c r="I226" i="1"/>
  <c r="I244" i="1"/>
  <c r="I56" i="1"/>
  <c r="I72" i="1"/>
  <c r="I88" i="1"/>
  <c r="I105" i="1"/>
  <c r="I122" i="1"/>
  <c r="I27" i="1"/>
  <c r="I160" i="1"/>
  <c r="I177" i="1"/>
  <c r="I195" i="1"/>
  <c r="I211" i="1"/>
  <c r="I227" i="1"/>
  <c r="I245" i="1"/>
  <c r="I73" i="1"/>
  <c r="I89" i="1"/>
  <c r="I106" i="1"/>
  <c r="I123" i="1"/>
  <c r="I162" i="1"/>
  <c r="I196" i="1"/>
  <c r="I212" i="1"/>
  <c r="I228" i="1"/>
  <c r="I246" i="1"/>
  <c r="I71" i="1"/>
  <c r="I107" i="1"/>
  <c r="I74" i="1"/>
  <c r="I104" i="1"/>
  <c r="I124" i="1"/>
  <c r="I58" i="1"/>
  <c r="I29" i="1"/>
  <c r="I179" i="1"/>
  <c r="X37" i="4"/>
  <c r="X36" i="4"/>
  <c r="X34" i="4"/>
  <c r="X30" i="4"/>
  <c r="X24" i="4"/>
  <c r="X21" i="4"/>
  <c r="D23" i="4"/>
  <c r="D22" i="4"/>
  <c r="N22" i="4" s="1"/>
  <c r="E63" i="4"/>
  <c r="E67" i="4" s="1"/>
  <c r="D62" i="4"/>
  <c r="E58" i="4"/>
  <c r="E59" i="4" s="1"/>
  <c r="S31" i="4"/>
  <c r="D31" i="4"/>
  <c r="Y42" i="15"/>
  <c r="Y74" i="15"/>
  <c r="D109" i="11"/>
  <c r="D45" i="4"/>
  <c r="D24" i="4"/>
  <c r="D71" i="4"/>
  <c r="F12" i="5"/>
  <c r="E15" i="5"/>
  <c r="D30" i="4"/>
  <c r="D48" i="4"/>
  <c r="D65" i="4"/>
  <c r="D36" i="4"/>
  <c r="D51" i="4"/>
  <c r="D37" i="4"/>
  <c r="D53" i="4"/>
  <c r="D69" i="4"/>
  <c r="E20" i="5" s="1"/>
  <c r="D40" i="4"/>
  <c r="D32" i="4"/>
  <c r="D39" i="4"/>
  <c r="D50" i="4"/>
  <c r="D43" i="4"/>
  <c r="D49" i="4"/>
  <c r="D28" i="6" l="1"/>
  <c r="Z18" i="1"/>
  <c r="X18" i="1"/>
  <c r="X39" i="4"/>
  <c r="F21" i="1"/>
  <c r="G19" i="1" s="1"/>
  <c r="Z19" i="1" s="1"/>
  <c r="X31" i="4"/>
  <c r="D54" i="4"/>
  <c r="D33" i="4"/>
  <c r="G52" i="1"/>
  <c r="G49" i="1"/>
  <c r="I49" i="1" s="1"/>
  <c r="I90" i="1"/>
  <c r="X90" i="1"/>
  <c r="Z90" i="1"/>
  <c r="Z97" i="1" s="1"/>
  <c r="G97" i="1"/>
  <c r="D24" i="28" s="1"/>
  <c r="E24" i="28" s="1"/>
  <c r="D25" i="4"/>
  <c r="D26" i="4" s="1"/>
  <c r="S64" i="4"/>
  <c r="S65" i="4" s="1"/>
  <c r="S68" i="4" s="1"/>
  <c r="E73" i="4"/>
  <c r="D68" i="15"/>
  <c r="R68" i="15" s="1"/>
  <c r="U68" i="15" s="1"/>
  <c r="E109" i="11"/>
  <c r="F20" i="5"/>
  <c r="G20" i="5" s="1"/>
  <c r="H20" i="5" s="1"/>
  <c r="I20" i="5" s="1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T20" i="5" s="1"/>
  <c r="U20" i="5" s="1"/>
  <c r="V20" i="5" s="1"/>
  <c r="W20" i="5" s="1"/>
  <c r="X20" i="5" s="1"/>
  <c r="Y20" i="5" s="1"/>
  <c r="Z20" i="5" s="1"/>
  <c r="AA20" i="5" s="1"/>
  <c r="AB20" i="5" s="1"/>
  <c r="AC20" i="5" s="1"/>
  <c r="AD20" i="5" s="1"/>
  <c r="AE20" i="5" s="1"/>
  <c r="AF20" i="5" s="1"/>
  <c r="AG20" i="5" s="1"/>
  <c r="AH20" i="5" s="1"/>
  <c r="F14" i="5"/>
  <c r="G12" i="5"/>
  <c r="D41" i="4"/>
  <c r="D67" i="4"/>
  <c r="Z28" i="1" l="1"/>
  <c r="X19" i="1"/>
  <c r="I97" i="1"/>
  <c r="D20" i="2"/>
  <c r="E20" i="2" s="1"/>
  <c r="I120" i="1"/>
  <c r="Z120" i="1"/>
  <c r="X120" i="1"/>
  <c r="I19" i="1"/>
  <c r="G28" i="1"/>
  <c r="X97" i="1"/>
  <c r="I52" i="1"/>
  <c r="Z52" i="1"/>
  <c r="X52" i="1"/>
  <c r="T68" i="15"/>
  <c r="V68" i="15"/>
  <c r="W68" i="15"/>
  <c r="S68" i="15"/>
  <c r="F109" i="11"/>
  <c r="G14" i="5"/>
  <c r="H12" i="5"/>
  <c r="D17" i="2" l="1"/>
  <c r="E17" i="2" s="1"/>
  <c r="D21" i="28"/>
  <c r="X28" i="1"/>
  <c r="I28" i="1"/>
  <c r="D26" i="15"/>
  <c r="F26" i="15" s="1"/>
  <c r="G26" i="15" s="1"/>
  <c r="Y26" i="15" s="1"/>
  <c r="Y68" i="15"/>
  <c r="G109" i="11"/>
  <c r="I12" i="5"/>
  <c r="H14" i="5"/>
  <c r="E21" i="28" l="1"/>
  <c r="B12" i="16"/>
  <c r="I12" i="16" s="1"/>
  <c r="D57" i="4"/>
  <c r="H109" i="11"/>
  <c r="J12" i="5"/>
  <c r="I14" i="5"/>
  <c r="D12" i="16" l="1"/>
  <c r="E12" i="16" s="1"/>
  <c r="D74" i="15"/>
  <c r="D101" i="15" s="1"/>
  <c r="D59" i="4"/>
  <c r="D73" i="4" s="1"/>
  <c r="I109" i="11"/>
  <c r="J14" i="5"/>
  <c r="K12" i="5"/>
  <c r="D75" i="4" l="1"/>
  <c r="H73" i="4"/>
  <c r="J109" i="11"/>
  <c r="L12" i="5"/>
  <c r="K14" i="5"/>
  <c r="E75" i="4" l="1"/>
  <c r="G18" i="5"/>
  <c r="H18" i="5" s="1"/>
  <c r="I18" i="5" s="1"/>
  <c r="K109" i="11"/>
  <c r="L14" i="5"/>
  <c r="M12" i="5"/>
  <c r="L109" i="11" l="1"/>
  <c r="M109" i="11"/>
  <c r="N109" i="11" s="1"/>
  <c r="O109" i="11" s="1"/>
  <c r="P109" i="11" s="1"/>
  <c r="J18" i="5"/>
  <c r="M14" i="5"/>
  <c r="N12" i="5"/>
  <c r="K18" i="5" l="1"/>
  <c r="N14" i="5"/>
  <c r="O12" i="5"/>
  <c r="L18" i="5" l="1"/>
  <c r="O14" i="5"/>
  <c r="P12" i="5"/>
  <c r="M18" i="5" l="1"/>
  <c r="Q12" i="5"/>
  <c r="P14" i="5"/>
  <c r="N18" i="5" l="1"/>
  <c r="R12" i="5"/>
  <c r="Q14" i="5"/>
  <c r="O18" i="5" l="1"/>
  <c r="R14" i="5"/>
  <c r="S12" i="5"/>
  <c r="P18" i="5" l="1"/>
  <c r="S14" i="5"/>
  <c r="T12" i="5"/>
  <c r="Q18" i="5" l="1"/>
  <c r="T14" i="5"/>
  <c r="U12" i="5"/>
  <c r="R18" i="5" l="1"/>
  <c r="V12" i="5"/>
  <c r="U14" i="5"/>
  <c r="S18" i="5" l="1"/>
  <c r="V14" i="5"/>
  <c r="W12" i="5"/>
  <c r="T18" i="5" l="1"/>
  <c r="X12" i="5"/>
  <c r="W14" i="5"/>
  <c r="U18" i="5" l="1"/>
  <c r="X14" i="5"/>
  <c r="Y12" i="5"/>
  <c r="V18" i="5" l="1"/>
  <c r="Y14" i="5"/>
  <c r="Z12" i="5"/>
  <c r="W18" i="5" l="1"/>
  <c r="Z14" i="5"/>
  <c r="AA12" i="5"/>
  <c r="X18" i="5" l="1"/>
  <c r="AB12" i="5"/>
  <c r="AA14" i="5"/>
  <c r="Y18" i="5" l="1"/>
  <c r="AB14" i="5"/>
  <c r="AC12" i="5"/>
  <c r="Z18" i="5" l="1"/>
  <c r="AC14" i="5"/>
  <c r="AD12" i="5"/>
  <c r="AA18" i="5" l="1"/>
  <c r="AE12" i="5"/>
  <c r="AD14" i="5"/>
  <c r="AB18" i="5" l="1"/>
  <c r="AF12" i="5"/>
  <c r="AE14" i="5"/>
  <c r="AC18" i="5" l="1"/>
  <c r="AF14" i="5"/>
  <c r="AG12" i="5"/>
  <c r="AD18" i="5" l="1"/>
  <c r="AH12" i="5"/>
  <c r="AH14" i="5" s="1"/>
  <c r="AG14" i="5"/>
  <c r="AE18" i="5" l="1"/>
  <c r="AF18" i="5" l="1"/>
  <c r="AG18" i="5" l="1"/>
  <c r="AH18" i="5" l="1"/>
  <c r="F31" i="5" l="1"/>
  <c r="E32" i="5"/>
  <c r="E33" i="5" s="1"/>
  <c r="E37" i="5" s="1"/>
  <c r="G31" i="5" l="1"/>
  <c r="F32" i="5"/>
  <c r="F33" i="5" s="1"/>
  <c r="F37" i="5" s="1"/>
  <c r="F15" i="5"/>
  <c r="H31" i="5" l="1"/>
  <c r="G32" i="5"/>
  <c r="G33" i="5" s="1"/>
  <c r="G37" i="5" s="1"/>
  <c r="G15" i="5"/>
  <c r="D54" i="15" l="1"/>
  <c r="D99" i="15" s="1"/>
  <c r="D103" i="15" s="1"/>
  <c r="I31" i="5"/>
  <c r="H32" i="5"/>
  <c r="H33" i="5" s="1"/>
  <c r="H37" i="5" s="1"/>
  <c r="H15" i="5"/>
  <c r="E31" i="2" l="1"/>
  <c r="J31" i="5"/>
  <c r="I32" i="5"/>
  <c r="I33" i="5" s="1"/>
  <c r="I37" i="5" s="1"/>
  <c r="I15" i="5"/>
  <c r="D91" i="15" l="1"/>
  <c r="K31" i="5"/>
  <c r="J32" i="5"/>
  <c r="J33" i="5" s="1"/>
  <c r="J37" i="5" s="1"/>
  <c r="J15" i="5"/>
  <c r="L31" i="5" l="1"/>
  <c r="K32" i="5"/>
  <c r="K33" i="5" s="1"/>
  <c r="K37" i="5" s="1"/>
  <c r="K15" i="5"/>
  <c r="E55" i="23" s="1"/>
  <c r="M31" i="5" l="1"/>
  <c r="L32" i="5"/>
  <c r="L33" i="5" s="1"/>
  <c r="L37" i="5" s="1"/>
  <c r="L15" i="5"/>
  <c r="N31" i="5" l="1"/>
  <c r="M32" i="5"/>
  <c r="M33" i="5" s="1"/>
  <c r="M37" i="5" s="1"/>
  <c r="M15" i="5"/>
  <c r="O31" i="5" l="1"/>
  <c r="N32" i="5"/>
  <c r="N33" i="5" s="1"/>
  <c r="N37" i="5" s="1"/>
  <c r="N15" i="5"/>
  <c r="H55" i="23" s="1"/>
  <c r="E57" i="23" l="1"/>
  <c r="H57" i="23"/>
  <c r="P31" i="5"/>
  <c r="O32" i="5"/>
  <c r="O33" i="5" s="1"/>
  <c r="O37" i="5" s="1"/>
  <c r="O15" i="5"/>
  <c r="Q31" i="5" l="1"/>
  <c r="P32" i="5"/>
  <c r="P33" i="5" s="1"/>
  <c r="P37" i="5" s="1"/>
  <c r="P15" i="5"/>
  <c r="Q32" i="5" l="1"/>
  <c r="Q33" i="5" s="1"/>
  <c r="Q37" i="5" s="1"/>
  <c r="R31" i="5"/>
  <c r="Q15" i="5"/>
  <c r="S31" i="5" l="1"/>
  <c r="R32" i="5"/>
  <c r="R33" i="5" s="1"/>
  <c r="R37" i="5" s="1"/>
  <c r="R15" i="5"/>
  <c r="T31" i="5" l="1"/>
  <c r="S32" i="5"/>
  <c r="S33" i="5" s="1"/>
  <c r="S37" i="5" s="1"/>
  <c r="S15" i="5"/>
  <c r="U31" i="5" l="1"/>
  <c r="T32" i="5"/>
  <c r="T33" i="5" s="1"/>
  <c r="T37" i="5" s="1"/>
  <c r="T15" i="5"/>
  <c r="V31" i="5" l="1"/>
  <c r="U32" i="5"/>
  <c r="U33" i="5" s="1"/>
  <c r="U37" i="5" s="1"/>
  <c r="U15" i="5"/>
  <c r="W31" i="5" l="1"/>
  <c r="V32" i="5"/>
  <c r="V33" i="5" s="1"/>
  <c r="V37" i="5" s="1"/>
  <c r="V15" i="5"/>
  <c r="X31" i="5" l="1"/>
  <c r="W32" i="5"/>
  <c r="W33" i="5" s="1"/>
  <c r="W37" i="5" s="1"/>
  <c r="W15" i="5"/>
  <c r="Y31" i="5" l="1"/>
  <c r="X32" i="5"/>
  <c r="X33" i="5" s="1"/>
  <c r="X37" i="5" s="1"/>
  <c r="X15" i="5"/>
  <c r="Z31" i="5" l="1"/>
  <c r="Y32" i="5"/>
  <c r="Y33" i="5" s="1"/>
  <c r="Y37" i="5" s="1"/>
  <c r="Y15" i="5"/>
  <c r="AA31" i="5" l="1"/>
  <c r="Z32" i="5"/>
  <c r="Z33" i="5" s="1"/>
  <c r="Z37" i="5" s="1"/>
  <c r="Z15" i="5"/>
  <c r="AB31" i="5" l="1"/>
  <c r="AA32" i="5"/>
  <c r="AA33" i="5" s="1"/>
  <c r="AA37" i="5" s="1"/>
  <c r="AA15" i="5"/>
  <c r="AC31" i="5" l="1"/>
  <c r="AB32" i="5"/>
  <c r="AB33" i="5" s="1"/>
  <c r="AB37" i="5" s="1"/>
  <c r="AB15" i="5"/>
  <c r="AD31" i="5" l="1"/>
  <c r="AC32" i="5"/>
  <c r="AC33" i="5" s="1"/>
  <c r="AC37" i="5" s="1"/>
  <c r="AC15" i="5"/>
  <c r="AE31" i="5" l="1"/>
  <c r="AD32" i="5"/>
  <c r="AD33" i="5" s="1"/>
  <c r="AD37" i="5" s="1"/>
  <c r="AD15" i="5"/>
  <c r="AF31" i="5" l="1"/>
  <c r="AE32" i="5"/>
  <c r="AE33" i="5"/>
  <c r="AE37" i="5" s="1"/>
  <c r="AE15" i="5"/>
  <c r="AG31" i="5" l="1"/>
  <c r="AF32" i="5"/>
  <c r="AF33" i="5" s="1"/>
  <c r="AF37" i="5" s="1"/>
  <c r="AF15" i="5"/>
  <c r="AH31" i="5" l="1"/>
  <c r="AH32" i="5" s="1"/>
  <c r="AH33" i="5" s="1"/>
  <c r="AH37" i="5" s="1"/>
  <c r="AG32" i="5"/>
  <c r="AG33" i="5" s="1"/>
  <c r="AG37" i="5" s="1"/>
  <c r="AG15" i="5"/>
  <c r="AH15" i="5" l="1"/>
  <c r="D90" i="15" l="1"/>
  <c r="D32" i="15" l="1"/>
  <c r="F32" i="15" s="1"/>
  <c r="H32" i="15" l="1"/>
  <c r="P32" i="15"/>
  <c r="O32" i="15"/>
  <c r="I32" i="15"/>
  <c r="Q32" i="15"/>
  <c r="J32" i="15"/>
  <c r="R32" i="15"/>
  <c r="G32" i="15"/>
  <c r="K32" i="15"/>
  <c r="S32" i="15"/>
  <c r="W32" i="15"/>
  <c r="L32" i="15"/>
  <c r="T32" i="15"/>
  <c r="M32" i="15"/>
  <c r="U32" i="15"/>
  <c r="N32" i="15"/>
  <c r="V32" i="15"/>
  <c r="Y32" i="15" l="1"/>
  <c r="B13" i="16" l="1"/>
  <c r="D57" i="15"/>
  <c r="I13" i="16" l="1"/>
  <c r="D13" i="16"/>
  <c r="E13" i="16" s="1"/>
  <c r="F57" i="15"/>
  <c r="D61" i="15" l="1"/>
  <c r="D42" i="8"/>
  <c r="D41" i="8"/>
  <c r="L57" i="15"/>
  <c r="H57" i="15"/>
  <c r="G57" i="15"/>
  <c r="T57" i="15"/>
  <c r="O57" i="15"/>
  <c r="R57" i="15"/>
  <c r="U57" i="15"/>
  <c r="N57" i="15"/>
  <c r="S57" i="15"/>
  <c r="Q57" i="15"/>
  <c r="I57" i="15"/>
  <c r="K57" i="15"/>
  <c r="V57" i="15"/>
  <c r="M57" i="15"/>
  <c r="P57" i="15"/>
  <c r="W57" i="15"/>
  <c r="J57" i="15"/>
  <c r="D35" i="12" l="1"/>
  <c r="N35" i="12" s="1"/>
  <c r="D72" i="8"/>
  <c r="E41" i="8"/>
  <c r="D36" i="12"/>
  <c r="E42" i="8"/>
  <c r="Y57" i="15"/>
  <c r="Q36" i="12" l="1"/>
  <c r="Y36" i="12" s="1"/>
  <c r="Y35" i="12"/>
  <c r="E61" i="15" l="1"/>
  <c r="Y61" i="15" s="1"/>
  <c r="V47" i="12"/>
  <c r="V52" i="12" s="1"/>
  <c r="V57" i="12" s="1"/>
  <c r="R47" i="12"/>
  <c r="R52" i="12" s="1"/>
  <c r="R57" i="12" s="1"/>
  <c r="U47" i="12"/>
  <c r="U52" i="12" s="1"/>
  <c r="U57" i="12" s="1"/>
  <c r="S47" i="12"/>
  <c r="S52" i="12" s="1"/>
  <c r="S57" i="12" s="1"/>
  <c r="W47" i="12"/>
  <c r="W52" i="12" s="1"/>
  <c r="W57" i="12" s="1"/>
  <c r="T47" i="12"/>
  <c r="T52" i="12" s="1"/>
  <c r="T57" i="12" s="1"/>
  <c r="Y51" i="12" l="1"/>
  <c r="C108" i="11" l="1"/>
  <c r="E88" i="15"/>
  <c r="D108" i="11" l="1"/>
  <c r="C111" i="11"/>
  <c r="E108" i="11" l="1"/>
  <c r="D111" i="11"/>
  <c r="F108" i="11" l="1"/>
  <c r="E111" i="11"/>
  <c r="G108" i="11" l="1"/>
  <c r="F111" i="11"/>
  <c r="H108" i="11" l="1"/>
  <c r="G111" i="11"/>
  <c r="I108" i="11" l="1"/>
  <c r="H111" i="11"/>
  <c r="J108" i="11" l="1"/>
  <c r="I111" i="11"/>
  <c r="K108" i="11" l="1"/>
  <c r="J111" i="11"/>
  <c r="L108" i="11" l="1"/>
  <c r="K111" i="11"/>
  <c r="M108" i="11" l="1"/>
  <c r="L111" i="11"/>
  <c r="N108" i="11" l="1"/>
  <c r="M111" i="11"/>
  <c r="O108" i="11" l="1"/>
  <c r="N111" i="11"/>
  <c r="P108" i="11" l="1"/>
  <c r="P111" i="11" s="1"/>
  <c r="O111" i="11"/>
  <c r="D45" i="15" l="1"/>
  <c r="E45" i="15" l="1"/>
  <c r="Y45" i="15" l="1"/>
  <c r="B22" i="16" l="1"/>
  <c r="D22" i="16" l="1"/>
  <c r="E22" i="16" l="1"/>
  <c r="B10" i="16" l="1"/>
  <c r="D36" i="15"/>
  <c r="M36" i="15" s="1"/>
  <c r="D38" i="15"/>
  <c r="E38" i="15" s="1"/>
  <c r="Y38" i="15" s="1"/>
  <c r="I10" i="16"/>
  <c r="D10" i="16" l="1"/>
  <c r="E10" i="16" s="1"/>
  <c r="B14" i="16"/>
  <c r="D58" i="15"/>
  <c r="N36" i="15"/>
  <c r="O36" i="15"/>
  <c r="P36" i="15"/>
  <c r="Q36" i="15"/>
  <c r="R36" i="15"/>
  <c r="S36" i="15"/>
  <c r="T36" i="15"/>
  <c r="U36" i="15"/>
  <c r="V36" i="15"/>
  <c r="W36" i="15"/>
  <c r="I14" i="16" l="1"/>
  <c r="D14" i="16"/>
  <c r="E14" i="16" s="1"/>
  <c r="Y36" i="15"/>
  <c r="AI12" i="23" l="1"/>
  <c r="J23" i="10" l="1"/>
  <c r="J28" i="10" s="1"/>
  <c r="J32" i="10"/>
  <c r="J33" i="10"/>
  <c r="D105" i="10"/>
  <c r="J105" i="10" s="1"/>
  <c r="D106" i="10"/>
  <c r="J106" i="10"/>
  <c r="J110" i="10" s="1"/>
  <c r="D115" i="10"/>
  <c r="J115" i="10"/>
  <c r="D116" i="10"/>
  <c r="J116" i="10" s="1"/>
  <c r="J120" i="10" s="1"/>
  <c r="J37" i="10" l="1"/>
  <c r="X250" i="1"/>
  <c r="Z250" i="1"/>
  <c r="E17" i="10" l="1"/>
  <c r="C11" i="26" s="1"/>
  <c r="C13" i="26" s="1"/>
  <c r="C14" i="26" l="1"/>
  <c r="D12" i="28" s="1"/>
  <c r="D11" i="28" s="1"/>
  <c r="C8" i="6"/>
  <c r="C19" i="26" l="1"/>
  <c r="C5" i="6" s="1"/>
  <c r="D13" i="2"/>
  <c r="D12" i="2" s="1"/>
  <c r="H5" i="16" s="1"/>
  <c r="C6" i="6"/>
  <c r="F33" i="1"/>
  <c r="G32" i="1" s="1"/>
  <c r="C21" i="26"/>
  <c r="C22" i="26" s="1"/>
  <c r="C34" i="26"/>
  <c r="C36" i="26" l="1"/>
  <c r="C39" i="26"/>
  <c r="C40" i="26" s="1"/>
  <c r="J12" i="16"/>
  <c r="J13" i="16"/>
  <c r="J10" i="16"/>
  <c r="J14" i="16"/>
  <c r="F36" i="1"/>
  <c r="C4" i="27"/>
  <c r="C7" i="27" s="1"/>
  <c r="C35" i="26"/>
  <c r="G40" i="1"/>
  <c r="G42" i="1"/>
  <c r="G38" i="1"/>
  <c r="G41" i="1"/>
  <c r="G39" i="1"/>
  <c r="G37" i="1"/>
  <c r="G43" i="1"/>
  <c r="I32" i="1"/>
  <c r="D33" i="15"/>
  <c r="F33" i="15" s="1"/>
  <c r="Y33" i="15" s="1"/>
  <c r="F56" i="1" l="1"/>
  <c r="C8" i="27"/>
  <c r="Z43" i="1"/>
  <c r="X43" i="1"/>
  <c r="D14" i="15"/>
  <c r="F14" i="15" s="1"/>
  <c r="I43" i="1"/>
  <c r="X39" i="1"/>
  <c r="Z39" i="1"/>
  <c r="I39" i="1"/>
  <c r="X42" i="1"/>
  <c r="Z42" i="1"/>
  <c r="D12" i="15"/>
  <c r="D19" i="8"/>
  <c r="I42" i="1"/>
  <c r="Z37" i="1"/>
  <c r="X37" i="1"/>
  <c r="I37" i="1"/>
  <c r="B8" i="16"/>
  <c r="C116" i="11"/>
  <c r="J103" i="11" s="1"/>
  <c r="X41" i="1"/>
  <c r="Z41" i="1"/>
  <c r="D11" i="15"/>
  <c r="I41" i="1"/>
  <c r="X38" i="1"/>
  <c r="Z38" i="1"/>
  <c r="I38" i="1"/>
  <c r="X40" i="1"/>
  <c r="Z40" i="1"/>
  <c r="D10" i="15"/>
  <c r="I40" i="1"/>
  <c r="G36" i="1"/>
  <c r="Z32" i="1"/>
  <c r="X32" i="1"/>
  <c r="G54" i="1" l="1"/>
  <c r="G57" i="1"/>
  <c r="B10" i="27"/>
  <c r="E19" i="5" s="1"/>
  <c r="D13" i="12"/>
  <c r="E19" i="8"/>
  <c r="D68" i="8"/>
  <c r="D52" i="8"/>
  <c r="F52" i="8"/>
  <c r="I36" i="1"/>
  <c r="G44" i="1"/>
  <c r="F10" i="15"/>
  <c r="K103" i="11"/>
  <c r="S14" i="15"/>
  <c r="G14" i="15"/>
  <c r="I14" i="15"/>
  <c r="V14" i="15"/>
  <c r="N14" i="15"/>
  <c r="M14" i="15"/>
  <c r="H14" i="15"/>
  <c r="O14" i="15"/>
  <c r="K14" i="15"/>
  <c r="W14" i="15"/>
  <c r="Q14" i="15"/>
  <c r="R14" i="15"/>
  <c r="P14" i="15"/>
  <c r="J14" i="15"/>
  <c r="L14" i="15"/>
  <c r="U14" i="15"/>
  <c r="T14" i="15"/>
  <c r="X44" i="1"/>
  <c r="J8" i="16"/>
  <c r="I8" i="16"/>
  <c r="D8" i="16"/>
  <c r="E8" i="16" s="1"/>
  <c r="Z44" i="1"/>
  <c r="D18" i="2" l="1"/>
  <c r="E18" i="2" s="1"/>
  <c r="D22" i="28"/>
  <c r="E22" i="28" s="1"/>
  <c r="X56" i="4"/>
  <c r="Y56" i="4" s="1"/>
  <c r="Y14" i="15"/>
  <c r="Z57" i="1"/>
  <c r="Z59" i="1" s="1"/>
  <c r="I57" i="1"/>
  <c r="G45" i="1"/>
  <c r="G46" i="1" s="1"/>
  <c r="G67" i="1" s="1"/>
  <c r="G59" i="1" s="1"/>
  <c r="I59" i="1" s="1"/>
  <c r="D13" i="15"/>
  <c r="I44" i="1"/>
  <c r="L103" i="11"/>
  <c r="M10" i="15"/>
  <c r="R10" i="15"/>
  <c r="G10" i="15"/>
  <c r="L10" i="15"/>
  <c r="Q10" i="15"/>
  <c r="H10" i="15"/>
  <c r="K10" i="15"/>
  <c r="I10" i="15"/>
  <c r="O10" i="15"/>
  <c r="P10" i="15"/>
  <c r="J10" i="15"/>
  <c r="S10" i="15"/>
  <c r="N10" i="15"/>
  <c r="V10" i="15"/>
  <c r="T10" i="15"/>
  <c r="W10" i="15"/>
  <c r="U10" i="15"/>
  <c r="X54" i="1"/>
  <c r="I54" i="1"/>
  <c r="X57" i="1"/>
  <c r="D53" i="8"/>
  <c r="E52" i="8"/>
  <c r="D46" i="12"/>
  <c r="F46" i="12" s="1"/>
  <c r="D74" i="8"/>
  <c r="D75" i="8" s="1"/>
  <c r="E68" i="8" s="1"/>
  <c r="F13" i="12"/>
  <c r="X64" i="4" l="1"/>
  <c r="X70" i="4" s="1"/>
  <c r="Y70" i="4" s="1"/>
  <c r="Y73" i="4" s="1"/>
  <c r="E21" i="5"/>
  <c r="F19" i="5"/>
  <c r="G19" i="5" s="1"/>
  <c r="H19" i="5" s="1"/>
  <c r="Y10" i="15"/>
  <c r="X59" i="1"/>
  <c r="M103" i="11"/>
  <c r="F13" i="15"/>
  <c r="G46" i="12"/>
  <c r="H46" i="12" s="1"/>
  <c r="I46" i="12" s="1"/>
  <c r="J46" i="12" s="1"/>
  <c r="K46" i="12" s="1"/>
  <c r="L46" i="12" s="1"/>
  <c r="M46" i="12" s="1"/>
  <c r="N46" i="12" s="1"/>
  <c r="O46" i="12" s="1"/>
  <c r="P46" i="12" s="1"/>
  <c r="G13" i="12"/>
  <c r="F47" i="12"/>
  <c r="E67" i="8"/>
  <c r="E69" i="8"/>
  <c r="E73" i="8"/>
  <c r="E71" i="8"/>
  <c r="E72" i="8"/>
  <c r="E70" i="8"/>
  <c r="E74" i="8"/>
  <c r="G47" i="1"/>
  <c r="H6" i="25" s="1"/>
  <c r="D15" i="15"/>
  <c r="F15" i="15" s="1"/>
  <c r="I46" i="1"/>
  <c r="B7" i="16"/>
  <c r="Z45" i="1"/>
  <c r="Z46" i="1" s="1"/>
  <c r="X45" i="1"/>
  <c r="I45" i="1"/>
  <c r="D58" i="8"/>
  <c r="E53" i="8"/>
  <c r="H11" i="23" l="1"/>
  <c r="H12" i="23" s="1"/>
  <c r="H14" i="23" s="1"/>
  <c r="D21" i="23" s="1"/>
  <c r="E46" i="5"/>
  <c r="G21" i="5"/>
  <c r="G46" i="5" s="1"/>
  <c r="C27" i="6"/>
  <c r="D30" i="6" s="1"/>
  <c r="C36" i="6"/>
  <c r="E22" i="5" s="1"/>
  <c r="F21" i="5"/>
  <c r="F46" i="5" s="1"/>
  <c r="G151" i="1"/>
  <c r="I151" i="1" s="1"/>
  <c r="D8" i="25"/>
  <c r="A14" i="25"/>
  <c r="D13" i="25" s="1"/>
  <c r="H25" i="25"/>
  <c r="A33" i="25" s="1"/>
  <c r="D32" i="25" s="1"/>
  <c r="E36" i="25" s="1"/>
  <c r="D17" i="25"/>
  <c r="I19" i="5"/>
  <c r="H21" i="5"/>
  <c r="H46" i="5" s="1"/>
  <c r="I7" i="16"/>
  <c r="D7" i="16"/>
  <c r="J7" i="16"/>
  <c r="B15" i="16"/>
  <c r="G7" i="16" s="1"/>
  <c r="X46" i="1"/>
  <c r="D80" i="15"/>
  <c r="H13" i="12"/>
  <c r="G47" i="12"/>
  <c r="G52" i="12" s="1"/>
  <c r="M15" i="15"/>
  <c r="N15" i="15"/>
  <c r="L15" i="15"/>
  <c r="W15" i="15"/>
  <c r="K15" i="15"/>
  <c r="V15" i="15"/>
  <c r="J15" i="15"/>
  <c r="U15" i="15"/>
  <c r="I15" i="15"/>
  <c r="T15" i="15"/>
  <c r="H15" i="15"/>
  <c r="G15" i="15"/>
  <c r="R15" i="15"/>
  <c r="Q15" i="15"/>
  <c r="P15" i="15"/>
  <c r="O15" i="15"/>
  <c r="S15" i="15"/>
  <c r="X67" i="1"/>
  <c r="G80" i="1"/>
  <c r="D23" i="28" s="1"/>
  <c r="E23" i="28" s="1"/>
  <c r="Z67" i="1"/>
  <c r="Z80" i="1" s="1"/>
  <c r="D43" i="15"/>
  <c r="E43" i="15" s="1"/>
  <c r="Y43" i="15" s="1"/>
  <c r="I67" i="1"/>
  <c r="X47" i="1"/>
  <c r="Z47" i="1"/>
  <c r="I47" i="1"/>
  <c r="Q46" i="12"/>
  <c r="P47" i="12"/>
  <c r="P52" i="12" s="1"/>
  <c r="P57" i="12" s="1"/>
  <c r="K13" i="15"/>
  <c r="P13" i="15"/>
  <c r="V13" i="15"/>
  <c r="H13" i="15"/>
  <c r="G13" i="15"/>
  <c r="S13" i="15"/>
  <c r="W13" i="15"/>
  <c r="T13" i="15"/>
  <c r="U13" i="15"/>
  <c r="N13" i="15"/>
  <c r="R13" i="15"/>
  <c r="L13" i="15"/>
  <c r="O13" i="15"/>
  <c r="M13" i="15"/>
  <c r="I13" i="15"/>
  <c r="J13" i="15"/>
  <c r="Q13" i="15"/>
  <c r="N103" i="11"/>
  <c r="E58" i="8"/>
  <c r="D62" i="8"/>
  <c r="E62" i="8" s="1"/>
  <c r="E75" i="8"/>
  <c r="F52" i="12"/>
  <c r="F57" i="12" s="1"/>
  <c r="F48" i="12"/>
  <c r="H15" i="23" l="1"/>
  <c r="E21" i="23" s="1"/>
  <c r="D19" i="2"/>
  <c r="E19" i="2" s="1"/>
  <c r="E39" i="6"/>
  <c r="Z22" i="5"/>
  <c r="H22" i="5"/>
  <c r="H27" i="5" s="1"/>
  <c r="L22" i="5"/>
  <c r="E27" i="5"/>
  <c r="AC22" i="5"/>
  <c r="W22" i="5"/>
  <c r="U22" i="5"/>
  <c r="M22" i="5"/>
  <c r="AE22" i="5"/>
  <c r="Q22" i="5"/>
  <c r="AH22" i="5"/>
  <c r="K22" i="5"/>
  <c r="AD22" i="5"/>
  <c r="Y22" i="5"/>
  <c r="AG22" i="5"/>
  <c r="AA22" i="5"/>
  <c r="D11" i="25"/>
  <c r="E19" i="25" s="1"/>
  <c r="F123" i="1" s="1"/>
  <c r="G121" i="1" s="1"/>
  <c r="J19" i="5"/>
  <c r="I21" i="5"/>
  <c r="I46" i="5" s="1"/>
  <c r="Y15" i="15"/>
  <c r="Y13" i="15"/>
  <c r="O103" i="11"/>
  <c r="Y46" i="12"/>
  <c r="E58" i="15" s="1"/>
  <c r="G12" i="16"/>
  <c r="J15" i="16"/>
  <c r="J16" i="16" s="1"/>
  <c r="I15" i="16"/>
  <c r="I16" i="16" s="1"/>
  <c r="G14" i="16"/>
  <c r="G10" i="16"/>
  <c r="G8" i="16"/>
  <c r="G57" i="12"/>
  <c r="G48" i="12"/>
  <c r="E7" i="16"/>
  <c r="D15" i="16"/>
  <c r="E15" i="16" s="1"/>
  <c r="I13" i="12"/>
  <c r="H47" i="12"/>
  <c r="H52" i="12" s="1"/>
  <c r="H57" i="12" s="1"/>
  <c r="D52" i="15"/>
  <c r="E52" i="15" s="1"/>
  <c r="Y52" i="15" s="1"/>
  <c r="I80" i="1"/>
  <c r="X80" i="1"/>
  <c r="E27" i="23" l="1"/>
  <c r="E50" i="23"/>
  <c r="F50" i="23" s="1"/>
  <c r="E29" i="23"/>
  <c r="E36" i="23"/>
  <c r="E38" i="23"/>
  <c r="E47" i="23"/>
  <c r="F47" i="23" s="1"/>
  <c r="E44" i="23"/>
  <c r="F44" i="23" s="1"/>
  <c r="E45" i="23"/>
  <c r="F45" i="23" s="1"/>
  <c r="E31" i="23"/>
  <c r="E37" i="23"/>
  <c r="E30" i="23"/>
  <c r="E43" i="23"/>
  <c r="F43" i="23" s="1"/>
  <c r="E22" i="23"/>
  <c r="E48" i="23"/>
  <c r="F48" i="23" s="1"/>
  <c r="E23" i="23"/>
  <c r="E32" i="23"/>
  <c r="E39" i="23"/>
  <c r="E42" i="23"/>
  <c r="F42" i="23" s="1"/>
  <c r="E34" i="23"/>
  <c r="E24" i="23"/>
  <c r="E41" i="23"/>
  <c r="F41" i="23" s="1"/>
  <c r="E40" i="23"/>
  <c r="E35" i="23"/>
  <c r="E28" i="23"/>
  <c r="E25" i="23"/>
  <c r="E46" i="23"/>
  <c r="F46" i="23" s="1"/>
  <c r="E49" i="23"/>
  <c r="F49" i="23" s="1"/>
  <c r="E26" i="23"/>
  <c r="E33" i="23"/>
  <c r="AB22" i="5"/>
  <c r="O22" i="5"/>
  <c r="N22" i="5"/>
  <c r="P22" i="5"/>
  <c r="F22" i="5"/>
  <c r="F27" i="5" s="1"/>
  <c r="X22" i="5"/>
  <c r="T22" i="5"/>
  <c r="V22" i="5"/>
  <c r="S22" i="5"/>
  <c r="R22" i="5"/>
  <c r="AF22" i="5"/>
  <c r="E25" i="5"/>
  <c r="E41" i="5" s="1"/>
  <c r="H30" i="6" s="1"/>
  <c r="G22" i="5"/>
  <c r="G178" i="1"/>
  <c r="G181" i="1" s="1"/>
  <c r="D26" i="28" s="1"/>
  <c r="E26" i="28" s="1"/>
  <c r="I22" i="5"/>
  <c r="I25" i="5" s="1"/>
  <c r="I41" i="5" s="1"/>
  <c r="J22" i="5"/>
  <c r="H21" i="23"/>
  <c r="H25" i="5"/>
  <c r="H41" i="5" s="1"/>
  <c r="H42" i="5" s="1"/>
  <c r="X121" i="1"/>
  <c r="Z121" i="1"/>
  <c r="Z148" i="1" s="1"/>
  <c r="I121" i="1"/>
  <c r="G148" i="1"/>
  <c r="D25" i="28" s="1"/>
  <c r="H48" i="12"/>
  <c r="K19" i="5"/>
  <c r="J21" i="5"/>
  <c r="J46" i="5" s="1"/>
  <c r="C101" i="11"/>
  <c r="C105" i="11" s="1"/>
  <c r="C112" i="11" s="1"/>
  <c r="F58" i="15"/>
  <c r="J13" i="12"/>
  <c r="I47" i="12"/>
  <c r="P103" i="11"/>
  <c r="E25" i="28" l="1"/>
  <c r="F25" i="5"/>
  <c r="F41" i="5" s="1"/>
  <c r="F47" i="5" s="1"/>
  <c r="E42" i="5"/>
  <c r="E43" i="5"/>
  <c r="E47" i="5"/>
  <c r="H47" i="5"/>
  <c r="H43" i="5"/>
  <c r="H48" i="5" s="1"/>
  <c r="I27" i="5"/>
  <c r="G27" i="5"/>
  <c r="G25" i="5"/>
  <c r="G41" i="5" s="1"/>
  <c r="D22" i="23"/>
  <c r="G21" i="23"/>
  <c r="F21" i="23" s="1"/>
  <c r="I42" i="5"/>
  <c r="I43" i="5"/>
  <c r="I48" i="5" s="1"/>
  <c r="I47" i="5"/>
  <c r="D21" i="2"/>
  <c r="E21" i="2" s="1"/>
  <c r="I148" i="1"/>
  <c r="X148" i="1"/>
  <c r="J25" i="5"/>
  <c r="J41" i="5" s="1"/>
  <c r="J27" i="5"/>
  <c r="L19" i="5"/>
  <c r="K21" i="5"/>
  <c r="I52" i="12"/>
  <c r="K13" i="12"/>
  <c r="J47" i="12"/>
  <c r="J52" i="12" s="1"/>
  <c r="J57" i="12" s="1"/>
  <c r="J58" i="15"/>
  <c r="P58" i="15"/>
  <c r="O58" i="15"/>
  <c r="L58" i="15"/>
  <c r="K58" i="15"/>
  <c r="S58" i="15"/>
  <c r="G58" i="15"/>
  <c r="Q58" i="15"/>
  <c r="R58" i="15"/>
  <c r="M58" i="15"/>
  <c r="W58" i="15"/>
  <c r="V58" i="15"/>
  <c r="U58" i="15"/>
  <c r="N58" i="15"/>
  <c r="T58" i="15"/>
  <c r="I58" i="15"/>
  <c r="H58" i="15"/>
  <c r="I48" i="12"/>
  <c r="E48" i="5" l="1"/>
  <c r="F43" i="5"/>
  <c r="F48" i="5" s="1"/>
  <c r="F42" i="5"/>
  <c r="K46" i="5"/>
  <c r="E56" i="23"/>
  <c r="E58" i="23" s="1"/>
  <c r="E44" i="5"/>
  <c r="F44" i="5"/>
  <c r="H44" i="5"/>
  <c r="G47" i="5"/>
  <c r="G42" i="5"/>
  <c r="G43" i="5"/>
  <c r="G48" i="5" s="1"/>
  <c r="H22" i="23"/>
  <c r="D23" i="23" s="1"/>
  <c r="I44" i="5"/>
  <c r="J42" i="5"/>
  <c r="J43" i="5"/>
  <c r="J47" i="5"/>
  <c r="M19" i="5"/>
  <c r="L21" i="5"/>
  <c r="L46" i="5" s="1"/>
  <c r="K25" i="5"/>
  <c r="K41" i="5" s="1"/>
  <c r="K27" i="5"/>
  <c r="J48" i="12"/>
  <c r="Y58" i="15"/>
  <c r="L13" i="12"/>
  <c r="K47" i="12"/>
  <c r="K52" i="12" s="1"/>
  <c r="K57" i="12" s="1"/>
  <c r="I57" i="12"/>
  <c r="G22" i="23" l="1"/>
  <c r="F22" i="23" s="1"/>
  <c r="G44" i="5"/>
  <c r="J48" i="5"/>
  <c r="J44" i="5"/>
  <c r="H23" i="23"/>
  <c r="D24" i="23" s="1"/>
  <c r="K43" i="5"/>
  <c r="K48" i="5" s="1"/>
  <c r="K42" i="5"/>
  <c r="C67" i="5" s="1"/>
  <c r="K47" i="5"/>
  <c r="L25" i="5"/>
  <c r="L41" i="5" s="1"/>
  <c r="L27" i="5"/>
  <c r="N19" i="5"/>
  <c r="M21" i="5"/>
  <c r="M46" i="5" s="1"/>
  <c r="D101" i="11"/>
  <c r="D105" i="11" s="1"/>
  <c r="D112" i="11" s="1"/>
  <c r="M13" i="12"/>
  <c r="L47" i="12"/>
  <c r="K48" i="12"/>
  <c r="G23" i="23" l="1"/>
  <c r="F23" i="23" s="1"/>
  <c r="K44" i="5"/>
  <c r="H24" i="23"/>
  <c r="D25" i="23" s="1"/>
  <c r="L43" i="5"/>
  <c r="L42" i="5"/>
  <c r="L47" i="5"/>
  <c r="M25" i="5"/>
  <c r="M41" i="5" s="1"/>
  <c r="M27" i="5"/>
  <c r="O19" i="5"/>
  <c r="N21" i="5"/>
  <c r="H56" i="23" s="1"/>
  <c r="H58" i="23" s="1"/>
  <c r="L48" i="12"/>
  <c r="L52" i="12"/>
  <c r="N13" i="12"/>
  <c r="M47" i="12"/>
  <c r="M52" i="12" s="1"/>
  <c r="M57" i="12" s="1"/>
  <c r="N46" i="5" l="1"/>
  <c r="L48" i="5"/>
  <c r="H25" i="23"/>
  <c r="D26" i="23" s="1"/>
  <c r="G24" i="23"/>
  <c r="F24" i="23" s="1"/>
  <c r="L44" i="5"/>
  <c r="M43" i="5"/>
  <c r="M48" i="5" s="1"/>
  <c r="M42" i="5"/>
  <c r="M47" i="5"/>
  <c r="N25" i="5"/>
  <c r="N41" i="5" s="1"/>
  <c r="N27" i="5"/>
  <c r="P19" i="5"/>
  <c r="O21" i="5"/>
  <c r="O46" i="5" s="1"/>
  <c r="O13" i="12"/>
  <c r="O47" i="12" s="1"/>
  <c r="N47" i="12"/>
  <c r="N52" i="12" s="1"/>
  <c r="N57" i="12" s="1"/>
  <c r="L57" i="12"/>
  <c r="M48" i="12"/>
  <c r="M44" i="5" l="1"/>
  <c r="H26" i="23"/>
  <c r="D27" i="23" s="1"/>
  <c r="G25" i="23"/>
  <c r="F25" i="23" s="1"/>
  <c r="N43" i="5"/>
  <c r="N42" i="5"/>
  <c r="N47" i="5"/>
  <c r="N48" i="12"/>
  <c r="E101" i="11"/>
  <c r="E105" i="11" s="1"/>
  <c r="E112" i="11" s="1"/>
  <c r="O25" i="5"/>
  <c r="O41" i="5" s="1"/>
  <c r="O27" i="5"/>
  <c r="Q19" i="5"/>
  <c r="P21" i="5"/>
  <c r="P46" i="5" s="1"/>
  <c r="O48" i="12"/>
  <c r="P48" i="12" s="1"/>
  <c r="Y13" i="12"/>
  <c r="E12" i="15" s="1"/>
  <c r="O52" i="12"/>
  <c r="G26" i="23" l="1"/>
  <c r="F26" i="23" s="1"/>
  <c r="N48" i="5"/>
  <c r="H67" i="5"/>
  <c r="H27" i="23"/>
  <c r="E59" i="23" s="1"/>
  <c r="H96" i="5" s="1"/>
  <c r="N44" i="5"/>
  <c r="O43" i="5"/>
  <c r="O48" i="5" s="1"/>
  <c r="O42" i="5"/>
  <c r="O47" i="5"/>
  <c r="R19" i="5"/>
  <c r="Q21" i="5"/>
  <c r="Q46" i="5" s="1"/>
  <c r="P25" i="5"/>
  <c r="P41" i="5" s="1"/>
  <c r="P27" i="5"/>
  <c r="O57" i="12"/>
  <c r="F12" i="15"/>
  <c r="E60" i="23" l="1"/>
  <c r="D28" i="23"/>
  <c r="H28" i="23" s="1"/>
  <c r="D29" i="23" s="1"/>
  <c r="G27" i="23"/>
  <c r="F27" i="23" s="1"/>
  <c r="O44" i="5"/>
  <c r="P42" i="5"/>
  <c r="P43" i="5"/>
  <c r="P48" i="5" s="1"/>
  <c r="P47" i="5"/>
  <c r="Q25" i="5"/>
  <c r="Q41" i="5" s="1"/>
  <c r="Q27" i="5"/>
  <c r="S19" i="5"/>
  <c r="R21" i="5"/>
  <c r="R46" i="5" s="1"/>
  <c r="L12" i="15"/>
  <c r="L80" i="15" s="1"/>
  <c r="V12" i="15"/>
  <c r="V80" i="15" s="1"/>
  <c r="V84" i="15" s="1"/>
  <c r="V95" i="15" s="1"/>
  <c r="W12" i="15"/>
  <c r="W80" i="15" s="1"/>
  <c r="W84" i="15" s="1"/>
  <c r="W95" i="15" s="1"/>
  <c r="S12" i="15"/>
  <c r="S80" i="15" s="1"/>
  <c r="S84" i="15" s="1"/>
  <c r="S95" i="15" s="1"/>
  <c r="K12" i="15"/>
  <c r="K80" i="15" s="1"/>
  <c r="G12" i="15"/>
  <c r="G80" i="15" s="1"/>
  <c r="G87" i="15" s="1"/>
  <c r="G95" i="15" s="1"/>
  <c r="R12" i="15"/>
  <c r="R80" i="15" s="1"/>
  <c r="R84" i="15" s="1"/>
  <c r="R95" i="15" s="1"/>
  <c r="T12" i="15"/>
  <c r="T80" i="15" s="1"/>
  <c r="T84" i="15" s="1"/>
  <c r="T95" i="15" s="1"/>
  <c r="Q12" i="15"/>
  <c r="Q80" i="15" s="1"/>
  <c r="Q84" i="15" s="1"/>
  <c r="Q95" i="15" s="1"/>
  <c r="P12" i="15"/>
  <c r="P80" i="15" s="1"/>
  <c r="P84" i="15" s="1"/>
  <c r="P95" i="15" s="1"/>
  <c r="I12" i="15"/>
  <c r="I80" i="15" s="1"/>
  <c r="O12" i="15"/>
  <c r="O80" i="15" s="1"/>
  <c r="O84" i="15" s="1"/>
  <c r="O95" i="15" s="1"/>
  <c r="U12" i="15"/>
  <c r="U80" i="15" s="1"/>
  <c r="U84" i="15" s="1"/>
  <c r="U95" i="15" s="1"/>
  <c r="H12" i="15"/>
  <c r="H80" i="15" s="1"/>
  <c r="H87" i="15" s="1"/>
  <c r="H95" i="15" s="1"/>
  <c r="N12" i="15"/>
  <c r="N80" i="15" s="1"/>
  <c r="N84" i="15" s="1"/>
  <c r="N95" i="15" s="1"/>
  <c r="M12" i="15"/>
  <c r="M80" i="15" s="1"/>
  <c r="J12" i="15"/>
  <c r="J80" i="15" s="1"/>
  <c r="J88" i="15" s="1"/>
  <c r="J95" i="15" s="1"/>
  <c r="F80" i="15"/>
  <c r="F87" i="15" s="1"/>
  <c r="F95" i="15" s="1"/>
  <c r="G28" i="23" l="1"/>
  <c r="F28" i="23" s="1"/>
  <c r="H29" i="23"/>
  <c r="D30" i="23" s="1"/>
  <c r="P44" i="5"/>
  <c r="Q43" i="5"/>
  <c r="Q48" i="5" s="1"/>
  <c r="Q42" i="5"/>
  <c r="Q47" i="5"/>
  <c r="R25" i="5"/>
  <c r="R41" i="5" s="1"/>
  <c r="R27" i="5"/>
  <c r="T19" i="5"/>
  <c r="S21" i="5"/>
  <c r="S46" i="5" s="1"/>
  <c r="Y12" i="15"/>
  <c r="Y80" i="15" s="1"/>
  <c r="Q44" i="5" l="1"/>
  <c r="H30" i="23"/>
  <c r="G29" i="23"/>
  <c r="F29" i="23" s="1"/>
  <c r="R43" i="5"/>
  <c r="R48" i="5" s="1"/>
  <c r="R42" i="5"/>
  <c r="R47" i="5"/>
  <c r="S25" i="5"/>
  <c r="S41" i="5" s="1"/>
  <c r="S27" i="5"/>
  <c r="U19" i="5"/>
  <c r="T21" i="5"/>
  <c r="I178" i="1"/>
  <c r="X178" i="1"/>
  <c r="Z178" i="1"/>
  <c r="Z181" i="1" s="1"/>
  <c r="I181" i="1"/>
  <c r="G99" i="1"/>
  <c r="H69" i="5" l="1"/>
  <c r="H70" i="5" s="1"/>
  <c r="K52" i="2" s="1"/>
  <c r="H59" i="23"/>
  <c r="H60" i="23" s="1"/>
  <c r="C96" i="5" s="1"/>
  <c r="C69" i="5"/>
  <c r="C70" i="5" s="1"/>
  <c r="K47" i="2" s="1"/>
  <c r="G30" i="23"/>
  <c r="F30" i="23" s="1"/>
  <c r="D31" i="23"/>
  <c r="AI14" i="23"/>
  <c r="AI16" i="23" s="1"/>
  <c r="AI19" i="23" s="1"/>
  <c r="R44" i="5"/>
  <c r="S42" i="5"/>
  <c r="S43" i="5"/>
  <c r="S48" i="5" s="1"/>
  <c r="S47" i="5"/>
  <c r="Z99" i="1"/>
  <c r="I99" i="1"/>
  <c r="T25" i="5"/>
  <c r="T41" i="5" s="1"/>
  <c r="T27" i="5"/>
  <c r="V19" i="5"/>
  <c r="U21" i="5"/>
  <c r="D22" i="2"/>
  <c r="E22" i="2" s="1"/>
  <c r="X181" i="1"/>
  <c r="X99" i="1"/>
  <c r="D62" i="15"/>
  <c r="E62" i="15" s="1"/>
  <c r="H75" i="5" l="1"/>
  <c r="H76" i="5" s="1"/>
  <c r="K51" i="2" s="1"/>
  <c r="H66" i="5"/>
  <c r="C66" i="5"/>
  <c r="C72" i="5" s="1"/>
  <c r="C73" i="5" s="1"/>
  <c r="C75" i="5"/>
  <c r="C76" i="5" s="1"/>
  <c r="K46" i="2" s="1"/>
  <c r="S44" i="5"/>
  <c r="H31" i="23"/>
  <c r="D32" i="23" s="1"/>
  <c r="T42" i="5"/>
  <c r="T43" i="5"/>
  <c r="U25" i="5"/>
  <c r="U41" i="5" s="1"/>
  <c r="U27" i="5"/>
  <c r="W19" i="5"/>
  <c r="V21" i="5"/>
  <c r="E80" i="15"/>
  <c r="Y62" i="15"/>
  <c r="D16" i="28" a="1"/>
  <c r="D15" i="28" a="1"/>
  <c r="D15" i="28" l="1"/>
  <c r="D16" i="28"/>
  <c r="C71" i="5"/>
  <c r="I46" i="2"/>
  <c r="I48" i="2" s="1"/>
  <c r="G31" i="23"/>
  <c r="F31" i="23" s="1"/>
  <c r="H32" i="23"/>
  <c r="D33" i="23" s="1"/>
  <c r="U42" i="5"/>
  <c r="U43" i="5"/>
  <c r="T44" i="5"/>
  <c r="V25" i="5"/>
  <c r="V41" i="5" s="1"/>
  <c r="V27" i="5"/>
  <c r="X19" i="5"/>
  <c r="W21" i="5"/>
  <c r="U44" i="5" l="1"/>
  <c r="G32" i="23"/>
  <c r="F32" i="23" s="1"/>
  <c r="H33" i="23"/>
  <c r="D34" i="23" s="1"/>
  <c r="V42" i="5"/>
  <c r="V43" i="5"/>
  <c r="W25" i="5"/>
  <c r="W41" i="5" s="1"/>
  <c r="W27" i="5"/>
  <c r="Y19" i="5"/>
  <c r="X21" i="5"/>
  <c r="H34" i="23" l="1"/>
  <c r="D35" i="23" s="1"/>
  <c r="G33" i="23"/>
  <c r="F33" i="23" s="1"/>
  <c r="V44" i="5"/>
  <c r="W43" i="5"/>
  <c r="W42" i="5"/>
  <c r="X25" i="5"/>
  <c r="X41" i="5" s="1"/>
  <c r="X27" i="5"/>
  <c r="Z19" i="5"/>
  <c r="Y21" i="5"/>
  <c r="G34" i="23" l="1"/>
  <c r="F34" i="23" s="1"/>
  <c r="E41" i="2"/>
  <c r="H35" i="23"/>
  <c r="D36" i="23" s="1"/>
  <c r="W44" i="5"/>
  <c r="X42" i="5"/>
  <c r="X43" i="5"/>
  <c r="Y25" i="5"/>
  <c r="Y41" i="5" s="1"/>
  <c r="Y27" i="5"/>
  <c r="AA19" i="5"/>
  <c r="Z21" i="5"/>
  <c r="D33" i="2"/>
  <c r="E33" i="2" s="1"/>
  <c r="B21" i="16"/>
  <c r="D21" i="16" s="1"/>
  <c r="G35" i="23" l="1"/>
  <c r="F35" i="23" s="1"/>
  <c r="H36" i="23"/>
  <c r="D37" i="23" s="1"/>
  <c r="X44" i="5"/>
  <c r="Y42" i="5"/>
  <c r="Y43" i="5"/>
  <c r="Z25" i="5"/>
  <c r="Z41" i="5" s="1"/>
  <c r="Z27" i="5"/>
  <c r="AB19" i="5"/>
  <c r="AA21" i="5"/>
  <c r="E21" i="16"/>
  <c r="D88" i="15"/>
  <c r="Y44" i="5" l="1"/>
  <c r="H37" i="23"/>
  <c r="D38" i="23" s="1"/>
  <c r="G36" i="23"/>
  <c r="F36" i="23" s="1"/>
  <c r="Z42" i="5"/>
  <c r="Z43" i="5"/>
  <c r="J4" i="1"/>
  <c r="AA25" i="5"/>
  <c r="AA41" i="5" s="1"/>
  <c r="AA27" i="5"/>
  <c r="AC19" i="5"/>
  <c r="AB21" i="5"/>
  <c r="B26" i="16"/>
  <c r="D26" i="16" s="1"/>
  <c r="E26" i="16" s="1"/>
  <c r="D87" i="15"/>
  <c r="G37" i="23" l="1"/>
  <c r="F37" i="23" s="1"/>
  <c r="Z44" i="5"/>
  <c r="H38" i="23"/>
  <c r="D39" i="23" s="1"/>
  <c r="AA43" i="5"/>
  <c r="AA42" i="5"/>
  <c r="AB25" i="5"/>
  <c r="AB41" i="5" s="1"/>
  <c r="AB27" i="5"/>
  <c r="AD19" i="5"/>
  <c r="AC21" i="5"/>
  <c r="O14" i="6"/>
  <c r="D54" i="12" s="1"/>
  <c r="D55" i="12" s="1"/>
  <c r="Q55" i="12" s="1"/>
  <c r="Q29" i="12"/>
  <c r="D29" i="12"/>
  <c r="D47" i="12" s="1"/>
  <c r="C114" i="11" s="1"/>
  <c r="C117" i="11" s="1"/>
  <c r="AA44" i="5" l="1"/>
  <c r="G38" i="23"/>
  <c r="F38" i="23" s="1"/>
  <c r="H39" i="23"/>
  <c r="D40" i="23" s="1"/>
  <c r="G40" i="23" s="1"/>
  <c r="F40" i="23" s="1"/>
  <c r="AB43" i="5"/>
  <c r="AB42" i="5"/>
  <c r="AC25" i="5"/>
  <c r="AC41" i="5" s="1"/>
  <c r="AC27" i="5"/>
  <c r="AE19" i="5"/>
  <c r="AD21" i="5"/>
  <c r="Q54" i="12"/>
  <c r="D57" i="12"/>
  <c r="J104" i="11"/>
  <c r="J110" i="11" s="1"/>
  <c r="Q47" i="12"/>
  <c r="Y29" i="12"/>
  <c r="Y47" i="12" s="1"/>
  <c r="AB44" i="5" l="1"/>
  <c r="G39" i="23"/>
  <c r="F39" i="23" s="1"/>
  <c r="AC42" i="5"/>
  <c r="AC43" i="5"/>
  <c r="AD25" i="5"/>
  <c r="AD41" i="5" s="1"/>
  <c r="AD27" i="5"/>
  <c r="AF19" i="5"/>
  <c r="AE21" i="5"/>
  <c r="K104" i="11"/>
  <c r="K110" i="11" s="1"/>
  <c r="Q52" i="12"/>
  <c r="F101" i="11"/>
  <c r="Q48" i="12"/>
  <c r="R48" i="12" s="1"/>
  <c r="S48" i="12" s="1"/>
  <c r="T48" i="12" s="1"/>
  <c r="U48" i="12" s="1"/>
  <c r="V48" i="12" s="1"/>
  <c r="W48" i="12" s="1"/>
  <c r="AD42" i="5" l="1"/>
  <c r="AD43" i="5"/>
  <c r="AC44" i="5"/>
  <c r="L104" i="11"/>
  <c r="L110" i="11" s="1"/>
  <c r="AE25" i="5"/>
  <c r="AE41" i="5" s="1"/>
  <c r="AE27" i="5"/>
  <c r="AG19" i="5"/>
  <c r="AF21" i="5"/>
  <c r="F105" i="11"/>
  <c r="F112" i="11" s="1"/>
  <c r="G101" i="11"/>
  <c r="Y52" i="12"/>
  <c r="Q57" i="12"/>
  <c r="M104" i="11" l="1"/>
  <c r="N104" i="11" s="1"/>
  <c r="AD44" i="5"/>
  <c r="AE42" i="5"/>
  <c r="AE43" i="5"/>
  <c r="AF25" i="5"/>
  <c r="AF41" i="5" s="1"/>
  <c r="AF27" i="5"/>
  <c r="AH19" i="5"/>
  <c r="AH21" i="5" s="1"/>
  <c r="AG21" i="5"/>
  <c r="Y57" i="12"/>
  <c r="E85" i="15"/>
  <c r="H101" i="11"/>
  <c r="G105" i="11"/>
  <c r="G112" i="11" s="1"/>
  <c r="M110" i="11"/>
  <c r="AF42" i="5" l="1"/>
  <c r="AF43" i="5"/>
  <c r="AE44" i="5"/>
  <c r="AG25" i="5"/>
  <c r="AG41" i="5" s="1"/>
  <c r="AG27" i="5"/>
  <c r="AH25" i="5"/>
  <c r="AH41" i="5" s="1"/>
  <c r="AH27" i="5"/>
  <c r="I101" i="11"/>
  <c r="H105" i="11"/>
  <c r="H112" i="11" s="1"/>
  <c r="N110" i="11"/>
  <c r="O104" i="11"/>
  <c r="E87" i="15"/>
  <c r="E95" i="15" s="1"/>
  <c r="Y85" i="15"/>
  <c r="AH43" i="5" l="1"/>
  <c r="H94" i="5" s="1"/>
  <c r="H97" i="5" s="1"/>
  <c r="AH42" i="5"/>
  <c r="AG43" i="5"/>
  <c r="AG42" i="5"/>
  <c r="AF44" i="5"/>
  <c r="Y87" i="15"/>
  <c r="I87" i="15"/>
  <c r="P104" i="11"/>
  <c r="P110" i="11" s="1"/>
  <c r="O110" i="11"/>
  <c r="I105" i="11"/>
  <c r="I112" i="11" s="1"/>
  <c r="J101" i="11"/>
  <c r="C81" i="5" l="1"/>
  <c r="C84" i="5" s="1"/>
  <c r="C80" i="5" s="1"/>
  <c r="C86" i="5" s="1"/>
  <c r="C94" i="5"/>
  <c r="C97" i="5" s="1"/>
  <c r="H93" i="5"/>
  <c r="I63" i="2" s="1"/>
  <c r="I65" i="2" s="1"/>
  <c r="K64" i="2"/>
  <c r="H102" i="5"/>
  <c r="H98" i="5"/>
  <c r="H99" i="5"/>
  <c r="H100" i="5" s="1"/>
  <c r="AG44" i="5"/>
  <c r="AH44" i="5"/>
  <c r="K101" i="11"/>
  <c r="J105" i="11"/>
  <c r="J112" i="11" s="1"/>
  <c r="I88" i="15"/>
  <c r="I95" i="15"/>
  <c r="I47" i="2" l="1"/>
  <c r="H103" i="5"/>
  <c r="K63" i="2" s="1"/>
  <c r="K59" i="2"/>
  <c r="C93" i="5"/>
  <c r="C99" i="5" s="1"/>
  <c r="C100" i="5" s="1"/>
  <c r="C102" i="5"/>
  <c r="C87" i="5"/>
  <c r="K88" i="15"/>
  <c r="Y88" i="15"/>
  <c r="L101" i="11"/>
  <c r="K105" i="11"/>
  <c r="K112" i="11" s="1"/>
  <c r="C103" i="5" l="1"/>
  <c r="K58" i="2" s="1"/>
  <c r="C98" i="5"/>
  <c r="I58" i="2"/>
  <c r="I60" i="2" s="1"/>
  <c r="I67" i="2" s="1"/>
  <c r="M101" i="11"/>
  <c r="L105" i="11"/>
  <c r="L112" i="11" s="1"/>
  <c r="K89" i="15"/>
  <c r="K95" i="15"/>
  <c r="Y89" i="15" l="1"/>
  <c r="L89" i="15"/>
  <c r="N101" i="11"/>
  <c r="M105" i="11"/>
  <c r="M112" i="11" s="1"/>
  <c r="O101" i="11" l="1"/>
  <c r="N105" i="11"/>
  <c r="N112" i="11" s="1"/>
  <c r="L95" i="15"/>
  <c r="L90" i="15"/>
  <c r="M90" i="15" l="1"/>
  <c r="M84" i="15" s="1"/>
  <c r="Y90" i="15"/>
  <c r="O105" i="11"/>
  <c r="O112" i="11" s="1"/>
  <c r="P101" i="11"/>
  <c r="P105" i="11" s="1"/>
  <c r="P112" i="11" s="1"/>
  <c r="M95" i="15" l="1"/>
  <c r="Y84" i="15"/>
  <c r="Y95" i="15" s="1"/>
  <c r="D84" i="15" l="1"/>
  <c r="D95" i="15" s="1"/>
  <c r="B28" i="16" l="1"/>
  <c r="D28" i="16" l="1"/>
  <c r="B29" i="16"/>
  <c r="D29" i="16" l="1"/>
  <c r="E29" i="16" s="1"/>
  <c r="E28" i="16"/>
  <c r="I51" i="2" l="1"/>
  <c r="H71" i="5"/>
  <c r="H72" i="5"/>
  <c r="H73" i="5" s="1"/>
  <c r="I53" i="2" l="1"/>
  <c r="I55" i="2" s="1"/>
  <c r="D18" i="28" a="1"/>
  <c r="D18" i="28" l="1"/>
  <c r="E18" i="28" s="1"/>
  <c r="G102" i="1"/>
  <c r="D65" i="15" s="1"/>
  <c r="G114" i="1" l="1"/>
  <c r="B9" i="16"/>
  <c r="X102" i="1"/>
  <c r="X114" i="1" s="1"/>
  <c r="Z102" i="1"/>
  <c r="Z114" i="1" s="1"/>
  <c r="I102" i="1"/>
  <c r="J9" i="16" l="1"/>
  <c r="D9" i="16"/>
  <c r="E9" i="16" s="1"/>
  <c r="G9" i="16"/>
  <c r="I9" i="16"/>
  <c r="B11" i="16"/>
  <c r="G233" i="1"/>
  <c r="I114" i="1"/>
  <c r="Z233" i="1" l="1"/>
  <c r="Z234" i="1" s="1"/>
  <c r="I233" i="1"/>
  <c r="G234" i="1"/>
  <c r="M103" i="1" s="1"/>
  <c r="X233" i="1"/>
  <c r="X234" i="1" s="1"/>
  <c r="I11" i="16"/>
  <c r="J11" i="16"/>
  <c r="D11" i="16"/>
  <c r="E11" i="16" s="1"/>
  <c r="G11" i="16"/>
  <c r="I234" i="1" l="1"/>
  <c r="G250" i="1"/>
  <c r="D27" i="28" s="1"/>
  <c r="E27" i="28" l="1"/>
  <c r="D28" i="28"/>
  <c r="E28" i="28" s="1"/>
  <c r="D22" i="6"/>
  <c r="I250" i="1"/>
  <c r="K97" i="1" s="1"/>
  <c r="G254" i="1"/>
  <c r="D23" i="2"/>
  <c r="E23" i="2" l="1"/>
  <c r="D24" i="2"/>
  <c r="D20" i="6" s="1"/>
  <c r="E24" i="2" l="1"/>
  <c r="E38" i="6"/>
  <c r="D32" i="2"/>
  <c r="I36" i="2"/>
  <c r="E32" i="2" l="1"/>
  <c r="H39" i="2"/>
  <c r="I39" i="2" s="1"/>
  <c r="H40" i="2"/>
  <c r="I4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tc={646875C6-62E6-48A4-9936-805F4115C1A5}</author>
    <author>Chul Gugich</author>
    <author>tc={27739ECA-F32C-4FE5-924A-5AAF08C885BD}</author>
  </authors>
  <commentList>
    <comment ref="K49" authorId="0" shapeId="0" xr:uid="{646875C6-62E6-48A4-9936-805F4115C1A5}">
      <text>
        <t>[Threaded comment]
Your version of Excel allows you to read this threaded comment; however, any edits to it will get removed if the file is opened in a newer version of Excel. Learn more: https://go.microsoft.com/fwlink/?linkid=870924
Comment:
    Whether we would go for LEED on a Non-LIHTC is a question we could verify. Not critical at this point.</t>
      </text>
    </comment>
    <comment ref="C120" authorId="1" shapeId="0" xr:uid="{00000000-0006-0000-0300-000002000000}">
      <text>
        <r>
          <rPr>
            <sz val="9"/>
            <color indexed="81"/>
            <rFont val="Tahoma"/>
            <family val="2"/>
          </rPr>
          <t xml:space="preserve">LR: you need to budget for the taxes on the improvements during construction while we wait for the welfare tax exemption to be processed. This can sometimes take 1-2 years.
</t>
        </r>
      </text>
    </comment>
    <comment ref="C121" authorId="1" shapeId="0" xr:uid="{00000000-0006-0000-0300-000003000000}">
      <text>
        <r>
          <rPr>
            <sz val="9"/>
            <color indexed="81"/>
            <rFont val="Tahoma"/>
            <family val="2"/>
          </rPr>
          <t xml:space="preserve">How best to keep insurance estimate current?
</t>
        </r>
      </text>
    </comment>
    <comment ref="G246" authorId="2" shapeId="0" xr:uid="{27739ECA-F32C-4FE5-924A-5AAF08C885BD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A15" authorId="0" shapeId="0" xr:uid="{71BB3FD2-6002-498E-98C9-8B57A98A128A}">
      <text>
        <r>
          <rPr>
            <b/>
            <sz val="9"/>
            <color indexed="81"/>
            <rFont val="Tahoma"/>
            <family val="2"/>
          </rPr>
          <t>What costs are included in Soft costs?
How is Business Personal Property amount determined?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Chul Gugich</author>
  </authors>
  <commentList>
    <comment ref="D63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Chul Gugich:</t>
        </r>
        <r>
          <rPr>
            <sz val="9"/>
            <color indexed="81"/>
            <rFont val="Tahoma"/>
            <family val="2"/>
          </rPr>
          <t xml:space="preserve">
Based on TCAC maximum points available.
1 FTE : 100BR
1 FTE : 360BR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<sst xmlns="http://schemas.openxmlformats.org/spreadsheetml/2006/main" count="1995" uniqueCount="1105">
  <si>
    <t>DEVELOPMENT SUMMARY</t>
  </si>
  <si>
    <t>Project Name:</t>
  </si>
  <si>
    <t>Housing Type:</t>
  </si>
  <si>
    <t>Family, General Affordable</t>
  </si>
  <si>
    <t>Address:</t>
  </si>
  <si>
    <t>1010 S Kenmore Ave
Los Angeles, CA 90006</t>
  </si>
  <si>
    <t>County:</t>
  </si>
  <si>
    <t>Los Angeles</t>
  </si>
  <si>
    <t>Sponsor:</t>
  </si>
  <si>
    <t>Abode Communities</t>
  </si>
  <si>
    <t>Total Units</t>
  </si>
  <si>
    <t>Total SF</t>
  </si>
  <si>
    <t>Residential SF</t>
  </si>
  <si>
    <t>Commercial SF</t>
  </si>
  <si>
    <t>TOTAL USES</t>
  </si>
  <si>
    <t>Acquisition</t>
  </si>
  <si>
    <t>Construction Costs</t>
  </si>
  <si>
    <t>Design &amp; Engineering</t>
  </si>
  <si>
    <t>Permits &amp; Fees</t>
  </si>
  <si>
    <t>Financing Costs</t>
  </si>
  <si>
    <t>Reserves</t>
  </si>
  <si>
    <t>Soft Costs</t>
  </si>
  <si>
    <t>CONSTRUCTION SOURCES</t>
  </si>
  <si>
    <t>Recycled Bonds Loan (residential)</t>
  </si>
  <si>
    <t>Construction Loan (Tranch B)</t>
  </si>
  <si>
    <t>School Districts</t>
  </si>
  <si>
    <t>LP Equity</t>
  </si>
  <si>
    <t>Deferred Costs</t>
  </si>
  <si>
    <t>TOTAL CONSTRUCTION SOURCES</t>
  </si>
  <si>
    <t>PERMANENT SOURCES</t>
  </si>
  <si>
    <t>County of Santa Clara</t>
  </si>
  <si>
    <t>City of Palo Alto</t>
  </si>
  <si>
    <t>Facebook Grant</t>
  </si>
  <si>
    <t>TOTAL PERMANENT SOURCES</t>
  </si>
  <si>
    <t>SUMMARY</t>
  </si>
  <si>
    <t>ASSUMPTIONS</t>
  </si>
  <si>
    <t>Summary of Unit Distribution</t>
  </si>
  <si>
    <t>Total</t>
  </si>
  <si>
    <t>Percent</t>
  </si>
  <si>
    <t>Unit Size</t>
  </si>
  <si>
    <t>TCAC Rent</t>
  </si>
  <si>
    <t>Utility</t>
  </si>
  <si>
    <t>50% AMI</t>
  </si>
  <si>
    <t>80%AMI and Below</t>
  </si>
  <si>
    <t>UNIT MIX</t>
  </si>
  <si>
    <t>No.</t>
  </si>
  <si>
    <t>%</t>
  </si>
  <si>
    <t>(sf)</t>
  </si>
  <si>
    <t>100% AMI</t>
  </si>
  <si>
    <t>Allowance</t>
  </si>
  <si>
    <t>Above 80% AMI</t>
  </si>
  <si>
    <t>Studio</t>
  </si>
  <si>
    <t>1-Bedroom</t>
  </si>
  <si>
    <t>90% AMI</t>
  </si>
  <si>
    <t>2-Bedroom</t>
  </si>
  <si>
    <t>3-Bedroom</t>
  </si>
  <si>
    <t>110% AMI</t>
  </si>
  <si>
    <t>120% AMI</t>
  </si>
  <si>
    <t>130% AMI</t>
  </si>
  <si>
    <t>TOTAL</t>
  </si>
  <si>
    <t>140% AMI</t>
  </si>
  <si>
    <t>Total unit area</t>
  </si>
  <si>
    <t>Manager Unit</t>
  </si>
  <si>
    <t xml:space="preserve">Total monthly rent </t>
  </si>
  <si>
    <t>AREA MEDIAN INCOME</t>
  </si>
  <si>
    <t>No. of</t>
  </si>
  <si>
    <t>Square</t>
  </si>
  <si>
    <t xml:space="preserve"> </t>
  </si>
  <si>
    <t>Gross</t>
  </si>
  <si>
    <t xml:space="preserve">Utility </t>
  </si>
  <si>
    <t>Net</t>
  </si>
  <si>
    <t>Bedrooms</t>
  </si>
  <si>
    <t>Feet</t>
  </si>
  <si>
    <t>No. of Units</t>
  </si>
  <si>
    <t>Rent</t>
  </si>
  <si>
    <t>Sq. Ft.</t>
  </si>
  <si>
    <t>Mo. Rent</t>
  </si>
  <si>
    <t>1 BD</t>
  </si>
  <si>
    <t>2 BD</t>
  </si>
  <si>
    <t>See Below</t>
  </si>
  <si>
    <t>MANAGER UNITS</t>
  </si>
  <si>
    <t>TOTAL UNITS</t>
  </si>
  <si>
    <t>DEVELOPMENT COSTS</t>
  </si>
  <si>
    <t>Unit Cost</t>
  </si>
  <si>
    <t>Total Project Cost</t>
  </si>
  <si>
    <t>Costs 5-20</t>
  </si>
  <si>
    <t>Delta</t>
  </si>
  <si>
    <t>ACQUISITION</t>
  </si>
  <si>
    <t>Title/Escrow/Closing</t>
  </si>
  <si>
    <t>TOTAL ACQUISITION</t>
  </si>
  <si>
    <t>NEW CONSTRUCTION</t>
  </si>
  <si>
    <t>Demolition</t>
  </si>
  <si>
    <t>Grading and Shoring</t>
  </si>
  <si>
    <t>Utility Connections and Site Work</t>
  </si>
  <si>
    <t>Structures</t>
  </si>
  <si>
    <t xml:space="preserve">    Structures, Residential</t>
  </si>
  <si>
    <t xml:space="preserve">    Structures, Commercial</t>
  </si>
  <si>
    <t>TI Allowance, Commercial</t>
  </si>
  <si>
    <t>Garages/Structured Parking</t>
  </si>
  <si>
    <t>General Conditions</t>
  </si>
  <si>
    <t>Contractor's Contingency</t>
  </si>
  <si>
    <t>Contractor Insurance + Bond</t>
  </si>
  <si>
    <t>TOTAL NEW CONSTRUCTION</t>
  </si>
  <si>
    <t>ARCHITECTURAL FEES</t>
  </si>
  <si>
    <t>Survey</t>
  </si>
  <si>
    <t>Arborist</t>
  </si>
  <si>
    <t>Traffic Study</t>
  </si>
  <si>
    <t>CONSTRUCTION INTEREST &amp; FEES</t>
  </si>
  <si>
    <t>Construction Loan Interest</t>
  </si>
  <si>
    <t>Origination Fee</t>
  </si>
  <si>
    <t>Lender Fees</t>
  </si>
  <si>
    <t>Lender Inspections</t>
  </si>
  <si>
    <t>Builders Risk Insurance</t>
  </si>
  <si>
    <t>Taxes During Construction</t>
  </si>
  <si>
    <t>Title and Recording</t>
  </si>
  <si>
    <t>TOTAL CONSTRUCTION INTEREST &amp; FEES</t>
  </si>
  <si>
    <t>PERMANENT FINANCING</t>
  </si>
  <si>
    <t>TOTAL PERMANENT FINANCING</t>
  </si>
  <si>
    <t>LEGAL FEES</t>
  </si>
  <si>
    <t xml:space="preserve">Developer Related </t>
  </si>
  <si>
    <t>Entitlements Related (CEQA)</t>
  </si>
  <si>
    <t>Construction Related</t>
  </si>
  <si>
    <t>Permanent Related</t>
  </si>
  <si>
    <t>TOTAL LEGAL FEES</t>
  </si>
  <si>
    <t>RESERVES</t>
  </si>
  <si>
    <t>Capitalized Operating Reserves</t>
  </si>
  <si>
    <t>Commercial Lease-Up Reserve</t>
  </si>
  <si>
    <t>TOTAL RESERVES</t>
  </si>
  <si>
    <t>CONTINGENCIES</t>
  </si>
  <si>
    <t>Construction Contingency</t>
  </si>
  <si>
    <t>Soft Cost Contingency</t>
  </si>
  <si>
    <t>TOTAL CONTINGENCIES</t>
  </si>
  <si>
    <t>OTHER COSTS</t>
  </si>
  <si>
    <t>Environmental Reports</t>
  </si>
  <si>
    <t>Entitlements - CEQA</t>
  </si>
  <si>
    <t>Utility Costs</t>
  </si>
  <si>
    <t>Appraisal</t>
  </si>
  <si>
    <t>Market Study</t>
  </si>
  <si>
    <t>Financial Consultant</t>
  </si>
  <si>
    <t>Cost Estimating</t>
  </si>
  <si>
    <t>Marketing / Leasing</t>
  </si>
  <si>
    <t>Commercial Leasing</t>
  </si>
  <si>
    <t>Site and Interior Furnishings</t>
  </si>
  <si>
    <t>Accounting</t>
  </si>
  <si>
    <t>Partnership Formation &amp; Taxes</t>
  </si>
  <si>
    <t>Project Administration</t>
  </si>
  <si>
    <t>Taxes during Lease Up</t>
  </si>
  <si>
    <t>Other Consultants</t>
  </si>
  <si>
    <t>Assumptions: $6500/mo, per LACDA NOFA 25-A; plus $15K flat fee for predevelopment consulting</t>
  </si>
  <si>
    <t>TOTAL OTHER COSTS</t>
  </si>
  <si>
    <t>DEVELOPER COSTS</t>
  </si>
  <si>
    <t>Developer Fee</t>
  </si>
  <si>
    <t>TOTAL DEVELOPER COSTS</t>
  </si>
  <si>
    <t>TOTAL SOFT COSTS</t>
  </si>
  <si>
    <t>TOTAL PROJECT COST</t>
  </si>
  <si>
    <t>Operating Budget</t>
  </si>
  <si>
    <t>Yearly</t>
  </si>
  <si>
    <t>PUPY</t>
  </si>
  <si>
    <t>RESIDENTIAL INCOME</t>
  </si>
  <si>
    <t>Rents</t>
  </si>
  <si>
    <t>Other Income</t>
  </si>
  <si>
    <t>GRANDVIEW OPERATING EXPENSE BUDGET</t>
  </si>
  <si>
    <t>Non LIHTC</t>
  </si>
  <si>
    <t>Vacancy Loss</t>
  </si>
  <si>
    <t>RESIDENTIAL EFFECTIVE GROSS INCOME</t>
  </si>
  <si>
    <t>RESIDENTIAL EXPENSES</t>
  </si>
  <si>
    <t>PUPA</t>
  </si>
  <si>
    <t>Advertising</t>
  </si>
  <si>
    <t>PAYROLL</t>
  </si>
  <si>
    <t>Office Salaries</t>
  </si>
  <si>
    <t>Admin Payroll</t>
  </si>
  <si>
    <t xml:space="preserve">1.0 FTE PM - $ 66,560.00 , 1.0 FTE Asst PM - $48,193.60 </t>
  </si>
  <si>
    <t>Management Fee</t>
  </si>
  <si>
    <t>Operations &amp; Maintenance Payroll</t>
  </si>
  <si>
    <t xml:space="preserve">1.0 FTE MM - $64,480.00 , 1.0 MT - $46,800.00 , 1.0 FTE Jan - $35,464.00 </t>
  </si>
  <si>
    <t>On Site Manager</t>
  </si>
  <si>
    <t>Other Personnel</t>
  </si>
  <si>
    <t>Bonuses: $2550 per quarter</t>
  </si>
  <si>
    <t>Office expenses</t>
  </si>
  <si>
    <t>Taxes and Benefits</t>
  </si>
  <si>
    <t xml:space="preserve">32% of Salaries, including workers comp ($18K) </t>
  </si>
  <si>
    <t>Legal Expense</t>
  </si>
  <si>
    <t>TOTAL PAYROLL</t>
  </si>
  <si>
    <t>Audit Expense</t>
  </si>
  <si>
    <t>Book keeping/Accounting</t>
  </si>
  <si>
    <t>ADMINISTRATIVE EXPENSE</t>
  </si>
  <si>
    <t>Communication</t>
  </si>
  <si>
    <t>Office Expenses</t>
  </si>
  <si>
    <t>Workers Comp Insurance</t>
  </si>
  <si>
    <t>Legal Fees</t>
  </si>
  <si>
    <t>Misc Admin Expenses</t>
  </si>
  <si>
    <t>Telecommunications</t>
  </si>
  <si>
    <t>Sub-total</t>
  </si>
  <si>
    <t>Resident Procurement</t>
  </si>
  <si>
    <t>UTILITIES</t>
  </si>
  <si>
    <t>TOTAL ADMINISTRATIVE EXPENSE</t>
  </si>
  <si>
    <t>Trash Removal</t>
  </si>
  <si>
    <t>Electricity</t>
  </si>
  <si>
    <t>UTILITIES EXPENSE</t>
  </si>
  <si>
    <t>Gas</t>
  </si>
  <si>
    <t>Sewer</t>
  </si>
  <si>
    <t>Water</t>
  </si>
  <si>
    <t>all electric building</t>
  </si>
  <si>
    <t>Misc Utilities</t>
  </si>
  <si>
    <t>Other</t>
  </si>
  <si>
    <t>OPERATING AND MAINTENANCE</t>
  </si>
  <si>
    <t>TOTAL UTILITIES EXPENSE</t>
  </si>
  <si>
    <t xml:space="preserve">Maintenance Personnel </t>
  </si>
  <si>
    <t xml:space="preserve">Maintenance Supplies </t>
  </si>
  <si>
    <t>REPAIRS AND MAINTENANCE</t>
  </si>
  <si>
    <t>* is this less or more than tcac avg.</t>
  </si>
  <si>
    <t xml:space="preserve">Janitorial Personnel </t>
  </si>
  <si>
    <t xml:space="preserve">Janitorial Supplies </t>
  </si>
  <si>
    <t>GROUNDS</t>
  </si>
  <si>
    <t xml:space="preserve">Pest Control </t>
  </si>
  <si>
    <t xml:space="preserve">Repairs Contract </t>
  </si>
  <si>
    <t>OPERATING EXPENSES</t>
  </si>
  <si>
    <t>Elevator</t>
  </si>
  <si>
    <t>Garbage Removal</t>
  </si>
  <si>
    <t xml:space="preserve">HVAC Repair Maintenance </t>
  </si>
  <si>
    <t>Operating Supplies</t>
  </si>
  <si>
    <t xml:space="preserve">Landscape Contract </t>
  </si>
  <si>
    <t>Other Contract Labor</t>
  </si>
  <si>
    <t xml:space="preserve">Interior / Exterior Painting </t>
  </si>
  <si>
    <t>Security</t>
  </si>
  <si>
    <t>Misc. Maintenance</t>
  </si>
  <si>
    <t>Car Lift Maintenance</t>
  </si>
  <si>
    <t>$22/space/month</t>
  </si>
  <si>
    <t>Security Contract</t>
  </si>
  <si>
    <t>Contracts</t>
  </si>
  <si>
    <t>TOTAL OPERATING EXPENSES</t>
  </si>
  <si>
    <t>TAXES AND INSURANCE</t>
  </si>
  <si>
    <t>Real Estate Taxes</t>
  </si>
  <si>
    <t>Property Taxes</t>
  </si>
  <si>
    <t>hard costs plus aquisition cost as basis</t>
  </si>
  <si>
    <t>Payroll taxes</t>
  </si>
  <si>
    <t>Property Insurance</t>
  </si>
  <si>
    <t>Includes 70k estimate for additional operational insurance from email</t>
  </si>
  <si>
    <t>Health Insurance/other benefits</t>
  </si>
  <si>
    <t>TOTAL TAXES AND INSURANCE</t>
  </si>
  <si>
    <t>Misc. taxes, licenses, permits and insuarance</t>
  </si>
  <si>
    <t>Trustee Fee</t>
  </si>
  <si>
    <t>OTHER OPERATING EXPENSES</t>
  </si>
  <si>
    <t>LAHD Issuer Fee</t>
  </si>
  <si>
    <t>Property Management Fee</t>
  </si>
  <si>
    <t>LACDA Monitoring</t>
  </si>
  <si>
    <t>Asset Management Fee</t>
  </si>
  <si>
    <t>Property and Liability Insurance</t>
  </si>
  <si>
    <t>County of Santa Clara Asset Management Fee</t>
  </si>
  <si>
    <t>Bookkeeping &amp; Accounting Fee</t>
  </si>
  <si>
    <t>Audit Fees</t>
  </si>
  <si>
    <t>Services</t>
  </si>
  <si>
    <t>TOTAL OTHER OPERATING EXPENSES</t>
  </si>
  <si>
    <t>Replacement Reserve</t>
  </si>
  <si>
    <t>TOTAL W/ SERVICES/RESERVES</t>
  </si>
  <si>
    <t>TOTAL OPERATING EXPENSE</t>
  </si>
  <si>
    <t>RESIDENT SERVICES</t>
  </si>
  <si>
    <t>look at tcac avg.</t>
  </si>
  <si>
    <t>TOTAL RESIDENTIAL OPERATING EXPENSES</t>
  </si>
  <si>
    <t>TOTAL RESIDENTIAL NET OPERATING INCOME</t>
  </si>
  <si>
    <t>Summary of Development Costs</t>
  </si>
  <si>
    <t>units</t>
  </si>
  <si>
    <t>SF</t>
  </si>
  <si>
    <t>Category</t>
  </si>
  <si>
    <t>% change</t>
  </si>
  <si>
    <t>% of Total</t>
  </si>
  <si>
    <t>Cost/Unit</t>
  </si>
  <si>
    <t>Cost/SF</t>
  </si>
  <si>
    <t>Architecture &amp; Engineering</t>
  </si>
  <si>
    <t xml:space="preserve">Reports </t>
  </si>
  <si>
    <t>Developer Costs</t>
  </si>
  <si>
    <t>Hard Cost Contingency/Escalation</t>
  </si>
  <si>
    <t>Soft Costs Contingency</t>
  </si>
  <si>
    <t>Summary of Development Permanent Sources</t>
  </si>
  <si>
    <t xml:space="preserve">CASH FLOW </t>
  </si>
  <si>
    <t>RESIDENTIAL CASH FLOW</t>
  </si>
  <si>
    <t>Factor</t>
  </si>
  <si>
    <t>Trend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</si>
  <si>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</si>
  <si>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</si>
  <si>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</si>
  <si>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</si>
  <si>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</si>
  <si>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</si>
  <si>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</si>
  <si>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</si>
  <si>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</si>
  <si>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</si>
  <si>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</si>
  <si>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</si>
  <si>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</si>
  <si>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</si>
  <si>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</si>
  <si>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</si>
  <si>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</si>
  <si>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</si>
  <si>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</si>
  <si>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</si>
  <si>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</si>
  <si>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</si>
  <si>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</si>
  <si>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</si>
  <si>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</si>
  <si>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</si>
  <si>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</si>
  <si>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</si>
  <si>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</si>
  <si>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</si>
  <si>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Gross Residential Income</t>
  </si>
  <si>
    <t>Miscellaneous Income (laundry)</t>
  </si>
  <si>
    <t>Residential Vacancy Rate</t>
  </si>
  <si>
    <t>EFFECTIVE GROSS INCOME</t>
  </si>
  <si>
    <t>Ground Lease payment</t>
  </si>
  <si>
    <t>Residential Operating Expenses</t>
  </si>
  <si>
    <t>RE Taxes</t>
  </si>
  <si>
    <t>NET OPERATING INCOME</t>
  </si>
  <si>
    <t>Debt Service (residential)</t>
  </si>
  <si>
    <t>Debt Service (commercial)</t>
  </si>
  <si>
    <t>NET RESIDENTIAL CASH FLOW</t>
  </si>
  <si>
    <t>Debt Coverage Ratio</t>
  </si>
  <si>
    <t>COMMERICAL CASH FLOW</t>
  </si>
  <si>
    <t>Commercial Income (NNN)</t>
  </si>
  <si>
    <t>Commercial Vacancy Rate</t>
  </si>
  <si>
    <t>TOTAL COMMERCIALINCOME</t>
  </si>
  <si>
    <t>Commercial Operating Expenses</t>
  </si>
  <si>
    <t>Commercial Reserves</t>
  </si>
  <si>
    <t>TOTAL COMMERCIAL INCOME</t>
  </si>
  <si>
    <t>DISTRIBUTION OF CASH FLOW</t>
  </si>
  <si>
    <t>Net Cash Flow</t>
  </si>
  <si>
    <t>% to Equity</t>
  </si>
  <si>
    <t>% to Sponsor</t>
  </si>
  <si>
    <t>Remaining Cash Flow</t>
  </si>
  <si>
    <t>ROI Investor:</t>
  </si>
  <si>
    <t>ROI Sponsor:</t>
  </si>
  <si>
    <t>EV Charger Analysis</t>
  </si>
  <si>
    <t>updated 10/08/21</t>
  </si>
  <si>
    <t>EV CODE</t>
  </si>
  <si>
    <t>% of spaces</t>
  </si>
  <si>
    <t># spaces</t>
  </si>
  <si>
    <t>EV chargers required under current code</t>
  </si>
  <si>
    <t>10% of parking spaces</t>
  </si>
  <si>
    <t>EV chargers under Reach Code</t>
  </si>
  <si>
    <t>100% of parking spaces</t>
  </si>
  <si>
    <t xml:space="preserve">      Level 2 EV Ready Space in the first 20 parking spaces</t>
  </si>
  <si>
    <t xml:space="preserve">      Level 2 EV Ready at 25% of remaining parking spaces</t>
  </si>
  <si>
    <t xml:space="preserve">      Level 1 Ready in remaining spaces without Level 2 EV Ready</t>
  </si>
  <si>
    <t>COST IMPACT</t>
  </si>
  <si>
    <t>Item</t>
  </si>
  <si>
    <t>Estimated Costs</t>
  </si>
  <si>
    <t>Cost for Transfomer</t>
  </si>
  <si>
    <t>Included in Budget</t>
  </si>
  <si>
    <t>Additional Site Elements for transformer</t>
  </si>
  <si>
    <t>Adding EV Chargers</t>
  </si>
  <si>
    <t>per space.  Quote from CityLift.</t>
  </si>
  <si>
    <t>Additional conduit and other related work</t>
  </si>
  <si>
    <t>Design/Escalation Contingency (15%)</t>
  </si>
  <si>
    <t>TOTAL ADDITIONAL COST TO PROJECT</t>
  </si>
  <si>
    <t>PROJECT SCOPE IMPACT</t>
  </si>
  <si>
    <t xml:space="preserve">Loss of landscaping along Birch </t>
  </si>
  <si>
    <t>Possible loss of Oak trees along Birch</t>
  </si>
  <si>
    <t>Other requirements:</t>
  </si>
  <si>
    <t>All electric building required</t>
  </si>
  <si>
    <t>Require prewiring for installation of battery storage with a minimum of 5 kwh</t>
  </si>
  <si>
    <t>Implications of 100% EV Reach Code:</t>
  </si>
  <si>
    <t>Grant Avenue Workforce Housing</t>
  </si>
  <si>
    <t>------May 2020 Version------</t>
  </si>
  <si>
    <t>Land Costs</t>
  </si>
  <si>
    <t>Contractor Overhead</t>
  </si>
  <si>
    <t>SURVEY &amp; ENGINEERING</t>
  </si>
  <si>
    <t>Permit &amp; Applicable Fees</t>
  </si>
  <si>
    <t>Capital Fees (utility Hook ups)</t>
  </si>
  <si>
    <t>Construction Management/Testing</t>
  </si>
  <si>
    <t>Softs Costs</t>
  </si>
  <si>
    <t>231 Grant Avenue Housing</t>
  </si>
  <si>
    <t>Predevelopment Budget</t>
  </si>
  <si>
    <t>Family, Teachers, School District Employees</t>
  </si>
  <si>
    <t xml:space="preserve">231 Grant Avenue, Palo Alto, CA </t>
  </si>
  <si>
    <t>Santa Clara</t>
  </si>
  <si>
    <t>Mercy Housing California and Abode Communities</t>
  </si>
  <si>
    <t>Total Units:</t>
  </si>
  <si>
    <t>PREDEVELOPMENT USES</t>
  </si>
  <si>
    <t>Amount</t>
  </si>
  <si>
    <t>Per Unit</t>
  </si>
  <si>
    <t>Title, Escrow &amp; Recording</t>
  </si>
  <si>
    <t>ARCHITECTURE &amp; ENGINEERING</t>
  </si>
  <si>
    <t>Design</t>
  </si>
  <si>
    <t>Concept - SD</t>
  </si>
  <si>
    <t>Factory_OS Design</t>
  </si>
  <si>
    <t>DD</t>
  </si>
  <si>
    <t>Arch Consultants</t>
  </si>
  <si>
    <t>CD</t>
  </si>
  <si>
    <t>Additional Consulting Fees (Modular)</t>
  </si>
  <si>
    <t>Bid</t>
  </si>
  <si>
    <t>Reimbursables</t>
  </si>
  <si>
    <t>CA</t>
  </si>
  <si>
    <t>Other design consultants</t>
  </si>
  <si>
    <t xml:space="preserve">Survey </t>
  </si>
  <si>
    <t>Geotechnical Report</t>
  </si>
  <si>
    <t>Other Engineering</t>
  </si>
  <si>
    <t>CONSTRUCTION COSTS</t>
  </si>
  <si>
    <t>Modular Deposits</t>
  </si>
  <si>
    <t>Module Commencement</t>
  </si>
  <si>
    <t>Module Completion</t>
  </si>
  <si>
    <t>Modular Contingency (10%)</t>
  </si>
  <si>
    <t>General Contractor</t>
  </si>
  <si>
    <t>FINANCING COSTS</t>
  </si>
  <si>
    <t>Predev Loans Interest &amp; Fees</t>
  </si>
  <si>
    <t>Insurance</t>
  </si>
  <si>
    <t xml:space="preserve">Other Financing Fees </t>
  </si>
  <si>
    <t>REPORTS</t>
  </si>
  <si>
    <t>SOFT COSTS</t>
  </si>
  <si>
    <t>Environmental Audit</t>
  </si>
  <si>
    <t>Plan Check Fees</t>
  </si>
  <si>
    <t>Permit Fees</t>
  </si>
  <si>
    <t xml:space="preserve">Entitlements </t>
  </si>
  <si>
    <t>Cost-estimating</t>
  </si>
  <si>
    <t>Legal - Predevelopment</t>
  </si>
  <si>
    <t>Partnership formation &amp; taxes</t>
  </si>
  <si>
    <t>SOFT COST CONTINGENCY (5%)</t>
  </si>
  <si>
    <t>TOTAL PREDEVELOPMENT USES</t>
  </si>
  <si>
    <t>PREDEVELOPMENT SOURCES</t>
  </si>
  <si>
    <t>Mercy Housing California</t>
  </si>
  <si>
    <t>TOTAL PREDEVELOPMENT SOURCES</t>
  </si>
  <si>
    <t>Modular Construction Costs</t>
  </si>
  <si>
    <t>Reports</t>
  </si>
  <si>
    <t>Grant Ave Workforce Housing</t>
  </si>
  <si>
    <t>Data and Assumptions</t>
  </si>
  <si>
    <t>sf</t>
  </si>
  <si>
    <t>Open Space</t>
  </si>
  <si>
    <t>Parking</t>
  </si>
  <si>
    <t>spaces</t>
  </si>
  <si>
    <t>Construction Loan</t>
  </si>
  <si>
    <t>Rate</t>
  </si>
  <si>
    <t>SOFR 1mo</t>
  </si>
  <si>
    <t>Spread</t>
  </si>
  <si>
    <t>Cushion</t>
  </si>
  <si>
    <t>Term</t>
  </si>
  <si>
    <t>Loan Amount</t>
  </si>
  <si>
    <t>Perm Loan</t>
  </si>
  <si>
    <t>DCR</t>
  </si>
  <si>
    <t>Payment</t>
  </si>
  <si>
    <t>LTV</t>
  </si>
  <si>
    <t>Amortization(yr)</t>
  </si>
  <si>
    <t>LTV Cap</t>
  </si>
  <si>
    <t xml:space="preserve">HACLA Utility Allowance - 1/02/24 </t>
  </si>
  <si>
    <t>3 BD</t>
  </si>
  <si>
    <t>Gas Space Heating</t>
  </si>
  <si>
    <t>Gas Cooking</t>
  </si>
  <si>
    <t>Gas Water Heating</t>
  </si>
  <si>
    <t>Water &amp; Sewer</t>
  </si>
  <si>
    <t>Basic Electricity</t>
  </si>
  <si>
    <t>Electricity for Air Conditioning</t>
  </si>
  <si>
    <t>Trash</t>
  </si>
  <si>
    <t>Code Enforcement</t>
  </si>
  <si>
    <t>Predevelopment Flow of Funds</t>
  </si>
  <si>
    <t>USES</t>
  </si>
  <si>
    <t>Spent to</t>
  </si>
  <si>
    <t>MODULES</t>
  </si>
  <si>
    <t xml:space="preserve">CONST </t>
  </si>
  <si>
    <t>Budget</t>
  </si>
  <si>
    <t>Date (8-21)</t>
  </si>
  <si>
    <t>COSTS</t>
  </si>
  <si>
    <t>General Contractor Costs</t>
  </si>
  <si>
    <t>Other Consultants (Community Outreach)</t>
  </si>
  <si>
    <t>SOFT COST CONTINGENCY</t>
  </si>
  <si>
    <t>SOURCES</t>
  </si>
  <si>
    <t>Facebook Grant - Predevelopment Tranche</t>
  </si>
  <si>
    <t>Facebook Grant - Modular Tranche</t>
  </si>
  <si>
    <t>Construction Flow of Funds</t>
  </si>
  <si>
    <t>DEVLOPMENT USES</t>
  </si>
  <si>
    <t xml:space="preserve">Closing </t>
  </si>
  <si>
    <t>Const Complete</t>
  </si>
  <si>
    <t>Draw</t>
  </si>
  <si>
    <t>Module Sales Tax</t>
  </si>
  <si>
    <t>Module Transportation</t>
  </si>
  <si>
    <t>Modular Retention</t>
  </si>
  <si>
    <t>Modular Contingency</t>
  </si>
  <si>
    <t>Preconstruction</t>
  </si>
  <si>
    <t>Structures, Residential</t>
  </si>
  <si>
    <t>Bridge Loan Interest</t>
  </si>
  <si>
    <t>Community Outreach Consultant</t>
  </si>
  <si>
    <t>TOTAL DEVELOPMENT USES</t>
  </si>
  <si>
    <t>Facebook Grant - Construction Tranche</t>
  </si>
  <si>
    <t>Arch</t>
  </si>
  <si>
    <t>Consultants</t>
  </si>
  <si>
    <t>Predev Total</t>
  </si>
  <si>
    <t># of months</t>
  </si>
  <si>
    <t>Consultant</t>
  </si>
  <si>
    <t>Jan - March 2021</t>
  </si>
  <si>
    <t>April - September 2021</t>
  </si>
  <si>
    <t>September 2021 - February 2022</t>
  </si>
  <si>
    <t>BID</t>
  </si>
  <si>
    <t>INCOME</t>
  </si>
  <si>
    <t>TCAC, 2021</t>
  </si>
  <si>
    <t>Incomes</t>
  </si>
  <si>
    <t>1 person</t>
  </si>
  <si>
    <t>2 person</t>
  </si>
  <si>
    <t>3 person</t>
  </si>
  <si>
    <t>4 person</t>
  </si>
  <si>
    <t>5 person</t>
  </si>
  <si>
    <t>60% Income Level</t>
  </si>
  <si>
    <t>Per/SF</t>
  </si>
  <si>
    <t>1BD</t>
  </si>
  <si>
    <t>2BD</t>
  </si>
  <si>
    <t>80% Income Level</t>
  </si>
  <si>
    <t>90% Income Level</t>
  </si>
  <si>
    <t>100% Income Level</t>
  </si>
  <si>
    <t>110% Income Level</t>
  </si>
  <si>
    <t>120% Income Level</t>
  </si>
  <si>
    <t>130% Income Level</t>
  </si>
  <si>
    <t>140% Income Level</t>
  </si>
  <si>
    <t>RENTS</t>
  </si>
  <si>
    <t>market</t>
  </si>
  <si>
    <t>% below M</t>
  </si>
  <si>
    <t>With</t>
  </si>
  <si>
    <t>increase in market</t>
  </si>
  <si>
    <t>80% Rent</t>
  </si>
  <si>
    <t>90% rent</t>
  </si>
  <si>
    <t>Efficiency</t>
  </si>
  <si>
    <t>1BR</t>
  </si>
  <si>
    <t>2BR</t>
  </si>
  <si>
    <t xml:space="preserve">SURVEY Results:  </t>
  </si>
  <si>
    <t>HH Size: 60% 1+2 person HH, 40% 3+ HH</t>
  </si>
  <si>
    <t>Percent of Total</t>
  </si>
  <si>
    <t>Teachers</t>
  </si>
  <si>
    <t>Classified</t>
  </si>
  <si>
    <t>60%AMI</t>
  </si>
  <si>
    <t>80%AMI</t>
  </si>
  <si>
    <t>90%AMI</t>
  </si>
  <si>
    <t>100%AMI</t>
  </si>
  <si>
    <t>110%AMI</t>
  </si>
  <si>
    <t>120%AMI</t>
  </si>
  <si>
    <t>130%AMI</t>
  </si>
  <si>
    <t>140%AMI</t>
  </si>
  <si>
    <t>above 140%</t>
  </si>
  <si>
    <t>Building Permit Fee</t>
  </si>
  <si>
    <t>Development Timeline</t>
  </si>
  <si>
    <t>ASSUMED SCHEDULE</t>
  </si>
  <si>
    <t xml:space="preserve">Option 1 - Modular congruent with site work. Facebook funds Predev (including modular) with balance at Perm conversion. </t>
  </si>
  <si>
    <t>Quarter 1</t>
  </si>
  <si>
    <t>Quarter 2</t>
  </si>
  <si>
    <t>Quarter 3</t>
  </si>
  <si>
    <t>Quarter 4</t>
  </si>
  <si>
    <t>01-03 / 21</t>
  </si>
  <si>
    <t>04-06 / 21</t>
  </si>
  <si>
    <t>07-09 / 21</t>
  </si>
  <si>
    <t>10-12 / 21</t>
  </si>
  <si>
    <t>01-03 / 22</t>
  </si>
  <si>
    <t>04-06 / 22</t>
  </si>
  <si>
    <t>07-09 / 22</t>
  </si>
  <si>
    <t>10-12 / 22</t>
  </si>
  <si>
    <t>01-03 / 23</t>
  </si>
  <si>
    <t>04-06 / 23</t>
  </si>
  <si>
    <t>07-09 / 23</t>
  </si>
  <si>
    <t>10-12 / 23</t>
  </si>
  <si>
    <t>01-03 / 24</t>
  </si>
  <si>
    <t>04-06 / 24</t>
  </si>
  <si>
    <t>Entitlements</t>
  </si>
  <si>
    <t>CEQA - EIR Process</t>
  </si>
  <si>
    <t>County Hearing</t>
  </si>
  <si>
    <t>Modular Design</t>
  </si>
  <si>
    <t>Schematic Design</t>
  </si>
  <si>
    <t>Design Development</t>
  </si>
  <si>
    <t>Construction Documents</t>
  </si>
  <si>
    <t>Permitting - Site Work, Podium</t>
  </si>
  <si>
    <t>Permitting - Modular</t>
  </si>
  <si>
    <t>Financing</t>
  </si>
  <si>
    <t>Facebook Financing</t>
  </si>
  <si>
    <t>School District Financing</t>
  </si>
  <si>
    <t>Construction Financing</t>
  </si>
  <si>
    <t>Permanent Financing</t>
  </si>
  <si>
    <t xml:space="preserve">Conversion </t>
  </si>
  <si>
    <t>Construction</t>
  </si>
  <si>
    <t xml:space="preserve">&lt;Site Construction Start </t>
  </si>
  <si>
    <t>Module Installation</t>
  </si>
  <si>
    <t xml:space="preserve">Site Work </t>
  </si>
  <si>
    <t>Podium</t>
  </si>
  <si>
    <t>Balance of Construction</t>
  </si>
  <si>
    <t>Construction Completion</t>
  </si>
  <si>
    <t xml:space="preserve">Check </t>
  </si>
  <si>
    <t xml:space="preserve"> Predev Costs</t>
  </si>
  <si>
    <t>Predev Costs</t>
  </si>
  <si>
    <t xml:space="preserve">Construction </t>
  </si>
  <si>
    <t xml:space="preserve">Other </t>
  </si>
  <si>
    <t xml:space="preserve">Total Development Costs </t>
  </si>
  <si>
    <t>TDC</t>
  </si>
  <si>
    <t>Option 2 - Modular start prior to site work and completed prior to on site start. Facebook $25MM available at predev and construction. TDC savings of 624,146</t>
  </si>
  <si>
    <t>savings</t>
  </si>
  <si>
    <t>Modular phase fully completed before site work.  Facebook funds predev and modular only.</t>
  </si>
  <si>
    <t xml:space="preserve">Predevelopment </t>
  </si>
  <si>
    <t xml:space="preserve">Post Const. </t>
  </si>
  <si>
    <t xml:space="preserve">Cumulative Development Expenses </t>
  </si>
  <si>
    <t xml:space="preserve"> Predev (A&amp;E, Soft Costs, Modular) </t>
  </si>
  <si>
    <t xml:space="preserve">Additional Modular Costs (Transportation &amp; Retention) </t>
  </si>
  <si>
    <t xml:space="preserve">Sources </t>
  </si>
  <si>
    <t xml:space="preserve">  County of Santa Clara</t>
  </si>
  <si>
    <t xml:space="preserve">  Facebook</t>
  </si>
  <si>
    <t>Bank Lender</t>
  </si>
  <si>
    <t xml:space="preserve">Total Development Uses </t>
  </si>
  <si>
    <t xml:space="preserve">check </t>
  </si>
  <si>
    <t>Additional Modular Costs</t>
  </si>
  <si>
    <t>Other Costs</t>
  </si>
  <si>
    <t>Initial Year Operating Budget</t>
  </si>
  <si>
    <t>4-Bedroom</t>
  </si>
  <si>
    <t>Residential
(Current)</t>
  </si>
  <si>
    <t>Non-Residential</t>
  </si>
  <si>
    <t>Per Sq Ft</t>
  </si>
  <si>
    <t>Abode
Projections</t>
  </si>
  <si>
    <t>Abode</t>
  </si>
  <si>
    <t>NOTES</t>
  </si>
  <si>
    <t>per-unit</t>
  </si>
  <si>
    <t>$29/hr for Manager; $21/hr for APM, includes .5 hr/week for OT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</si>
  <si>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25.47%</t>
    </r>
  </si>
  <si>
    <t>Third-party review of recertifications ($60/file for 100 files); Supplies; IT; Conferences/Training; Marketing</t>
  </si>
  <si>
    <t>$25/hr (trended up 3%)</t>
  </si>
  <si>
    <t>$20/hr (trended up 3%)</t>
  </si>
  <si>
    <t>December 2022 budget from Jennifer Dolin</t>
  </si>
  <si>
    <t>Fire Safety, HVAC, appliances, etc. (Dec. 2022 budget from JD)</t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</si>
  <si>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8.65%</t>
    </r>
  </si>
  <si>
    <r>
      <rPr>
        <b/>
        <sz val="10"/>
        <rFont val="Arial"/>
        <family val="2"/>
      </rPr>
      <t>Dec. 2022:</t>
    </r>
    <r>
      <rPr>
        <sz val="10"/>
        <rFont val="Arial"/>
        <family val="2"/>
      </rPr>
      <t xml:space="preserve"> Assuming 17% of salary for medical/dental; 0.51% for life/disability; 4% for retirement</t>
    </r>
  </si>
  <si>
    <t>October 2023 Gallagher rough estimate</t>
  </si>
  <si>
    <t>SPECIAL NEEDS UNIT STAFFING</t>
  </si>
  <si>
    <t>Case Manager</t>
  </si>
  <si>
    <t>Services Coordinator</t>
  </si>
  <si>
    <t>Total FTE</t>
  </si>
  <si>
    <t>IMAGINE VILLAGE COMP:</t>
  </si>
  <si>
    <t>per unit</t>
  </si>
  <si>
    <t>VISTA DEL MAR COMP:</t>
  </si>
  <si>
    <t>Debt Calculations</t>
  </si>
  <si>
    <t xml:space="preserve">RESIDENTIAL PERMANENT FINANCING </t>
  </si>
  <si>
    <t>Maximum annual debt service</t>
  </si>
  <si>
    <t>Maximum loan amount</t>
  </si>
  <si>
    <t>Actual loan amount</t>
  </si>
  <si>
    <t xml:space="preserve">Actual annual debt service </t>
  </si>
  <si>
    <t>Starting</t>
  </si>
  <si>
    <t>Ending</t>
  </si>
  <si>
    <t>Year</t>
  </si>
  <si>
    <t>Balance</t>
  </si>
  <si>
    <t>Interest</t>
  </si>
  <si>
    <t>Principal</t>
  </si>
  <si>
    <t>Total Land Cost or Value</t>
  </si>
  <si>
    <t>Legal / Broker Fees</t>
  </si>
  <si>
    <t>Title</t>
  </si>
  <si>
    <t>Broker</t>
  </si>
  <si>
    <t>Legal</t>
  </si>
  <si>
    <t>Off-Site Improvements</t>
  </si>
  <si>
    <t>Demolition &amp; Abatement</t>
  </si>
  <si>
    <t>LBP/Asbestos Abatement (NC)</t>
  </si>
  <si>
    <t>Demolition (NC)</t>
  </si>
  <si>
    <t>Cost Calculations</t>
  </si>
  <si>
    <t>BUILDING &amp; SITE DESCRIPTION</t>
  </si>
  <si>
    <t>New Building Area (sq ft)</t>
  </si>
  <si>
    <t>Residential Unit Area</t>
  </si>
  <si>
    <t>Community Amenities</t>
  </si>
  <si>
    <t>Common Area</t>
  </si>
  <si>
    <t>Total Residential</t>
  </si>
  <si>
    <t>Total Non-Residential</t>
  </si>
  <si>
    <t>Total Building Area</t>
  </si>
  <si>
    <t>Percentage Residential</t>
  </si>
  <si>
    <t>Percentage Non-Residential</t>
  </si>
  <si>
    <t>Existing Building Area (sq ft)</t>
  </si>
  <si>
    <t>Community Room &amp; Offices</t>
  </si>
  <si>
    <t>Non-Res_1</t>
  </si>
  <si>
    <t>Non-Res_2</t>
  </si>
  <si>
    <t>Total Building Area (NC &amp; Existing)</t>
  </si>
  <si>
    <t>Percentage New Building</t>
  </si>
  <si>
    <t>Percentage Existing Building</t>
  </si>
  <si>
    <t>Cost Allocation</t>
  </si>
  <si>
    <t>By SF</t>
  </si>
  <si>
    <t>Residential</t>
  </si>
  <si>
    <t>COST CALCULATIONS</t>
  </si>
  <si>
    <t>Assumptions</t>
  </si>
  <si>
    <t>Cost Calculation</t>
  </si>
  <si>
    <t>Residential (incl mngr and staff)</t>
  </si>
  <si>
    <t>Cost/sqft</t>
  </si>
  <si>
    <t>Sqft</t>
  </si>
  <si>
    <t>Cost</t>
  </si>
  <si>
    <t>Cost / Stall</t>
  </si>
  <si>
    <t>Surface</t>
  </si>
  <si>
    <t>Total Parking Spaces</t>
  </si>
  <si>
    <t>Subterranean</t>
  </si>
  <si>
    <t>Stall Location Distribution</t>
  </si>
  <si>
    <t>SF / Stall</t>
  </si>
  <si>
    <t>Non-residential</t>
  </si>
  <si>
    <t>Total:</t>
  </si>
  <si>
    <t>Math Check (should 0)</t>
  </si>
  <si>
    <t xml:space="preserve">Demolition </t>
  </si>
  <si>
    <t>Demo Assumptions</t>
  </si>
  <si>
    <t>Sq. Footage Existing Buildings</t>
  </si>
  <si>
    <t>% to be Demolished</t>
  </si>
  <si>
    <t>Sq. Footage to be Demolished</t>
  </si>
  <si>
    <t>Residential Parking</t>
  </si>
  <si>
    <t>TCAC &amp; CDLAC Fees</t>
  </si>
  <si>
    <t>TCAC - 9%</t>
  </si>
  <si>
    <t>CDLAC</t>
  </si>
  <si>
    <t>Application Fee</t>
  </si>
  <si>
    <t>Filing Fee</t>
  </si>
  <si>
    <t xml:space="preserve">Allocation Fee </t>
  </si>
  <si>
    <t>Performance Deposit</t>
  </si>
  <si>
    <t>Monitoring Fee</t>
  </si>
  <si>
    <t>Source:</t>
  </si>
  <si>
    <t>CDLAC Regulations, eff 7/29/22</t>
  </si>
  <si>
    <t>TCAC - 4%</t>
  </si>
  <si>
    <t>$1000 single site, $1500 scattered site &amp; resyndication</t>
  </si>
  <si>
    <t>Reservation Fee</t>
  </si>
  <si>
    <t>Only for 4% + State Credit projects</t>
  </si>
  <si>
    <t>TCAC Regulations, eff 12/21/20</t>
  </si>
  <si>
    <t>[Blank]</t>
  </si>
  <si>
    <t>Site Work</t>
  </si>
  <si>
    <t>Non-residential (incl Parking)</t>
  </si>
  <si>
    <t>Estimating Contingency &amp; Cost Escalation</t>
  </si>
  <si>
    <t>General Requirements</t>
  </si>
  <si>
    <t>Contractor Overhead / Profit</t>
  </si>
  <si>
    <t>Other Mark-Up if Applicable</t>
  </si>
  <si>
    <t>Bond Premium</t>
  </si>
  <si>
    <t>GC Liability Insurance</t>
  </si>
  <si>
    <t>GC Contingency</t>
  </si>
  <si>
    <t xml:space="preserve">Subtotal Construction </t>
  </si>
  <si>
    <t>LEED/Sustainable Design Construction</t>
  </si>
  <si>
    <t>Subtotal Construction &amp; LEED</t>
  </si>
  <si>
    <t>CONSTRUCTION CONTINGENCY</t>
  </si>
  <si>
    <t>GreenPoint/Sustainable Soft Costs</t>
  </si>
  <si>
    <t>DEVELOPMENT BUDGET</t>
  </si>
  <si>
    <t>LIHTC BASIS CALCULATION</t>
  </si>
  <si>
    <t>PREDEVELOPMENT BUDGET</t>
  </si>
  <si>
    <t>Instructions: Manually enter Predevelopment Draw (PD) amounts by line item. Drawn and Remaining columns will auto calculate</t>
  </si>
  <si>
    <t>Total Costs</t>
  </si>
  <si>
    <t>Development Budget Assumptions</t>
  </si>
  <si>
    <t>Formulas</t>
  </si>
  <si>
    <t>Development Budget: Additional Work / Calculation Area</t>
  </si>
  <si>
    <t>Res</t>
  </si>
  <si>
    <t>Non-Res</t>
  </si>
  <si>
    <t>Res Costs</t>
  </si>
  <si>
    <t>Non-Res Costs</t>
  </si>
  <si>
    <t>Per Unit Res</t>
  </si>
  <si>
    <t>Const / Rehab Basis</t>
  </si>
  <si>
    <t>Acq Basis</t>
  </si>
  <si>
    <t>Basis Adjustment</t>
  </si>
  <si>
    <t>Predevelopment Cost</t>
  </si>
  <si>
    <t>Predevelopment Assumptions</t>
  </si>
  <si>
    <t>Drawn</t>
  </si>
  <si>
    <t>Remaining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</si>
  <si>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</si>
  <si>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</si>
  <si>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</si>
  <si>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</si>
  <si>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</si>
  <si>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</si>
  <si>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</si>
  <si>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</si>
  <si>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</si>
  <si>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</si>
  <si>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</si>
  <si>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</si>
  <si>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</si>
  <si>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</si>
  <si>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</si>
  <si>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</si>
  <si>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</si>
  <si>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</si>
  <si>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</si>
  <si>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</si>
  <si>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</si>
  <si>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</si>
  <si>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</si>
  <si>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</si>
  <si>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Total Purchase Price</t>
  </si>
  <si>
    <t>per SF</t>
  </si>
  <si>
    <t>per Unit</t>
  </si>
  <si>
    <t>Existing Improvements Value</t>
  </si>
  <si>
    <t>Subtotal Acquisition</t>
  </si>
  <si>
    <t>LEED Provider Fees</t>
  </si>
  <si>
    <t>LEED HERS rater</t>
  </si>
  <si>
    <t>Misc</t>
  </si>
  <si>
    <t xml:space="preserve">Subtotal Sustainability Soft Costs </t>
  </si>
  <si>
    <t>ARCHITECTURE - Residential</t>
  </si>
  <si>
    <t>Feasibility analysis</t>
  </si>
  <si>
    <t>Reimbursables &amp; Additional Services</t>
  </si>
  <si>
    <t>Other: CASp</t>
  </si>
  <si>
    <t>Need to confirm with SALT</t>
  </si>
  <si>
    <t>Subtotal Architecture - Non-residential</t>
  </si>
  <si>
    <t>Civil engineer</t>
  </si>
  <si>
    <t>Standard: 0.25% of total construction costs, exclusive of contingency.</t>
  </si>
  <si>
    <t>Landscape architect</t>
  </si>
  <si>
    <t>LEED consultant</t>
  </si>
  <si>
    <t>Already included above</t>
  </si>
  <si>
    <t>Low voltage consultant</t>
  </si>
  <si>
    <t>Utility Planner</t>
  </si>
  <si>
    <t>acquisition</t>
  </si>
  <si>
    <t>completion</t>
  </si>
  <si>
    <t>(empty)</t>
  </si>
  <si>
    <t>Geotechnical report</t>
  </si>
  <si>
    <t xml:space="preserve">Other engineering </t>
  </si>
  <si>
    <t>Construction Monitoring</t>
  </si>
  <si>
    <t>Geocon recommended  ~$60-65K per Adams Terrace site; $105k Beacon Landing; LV $85k - added cushion</t>
  </si>
  <si>
    <t>Subtotal Survey &amp; Engineering</t>
  </si>
  <si>
    <t>PERMITS &amp; FEES</t>
  </si>
  <si>
    <t>Local Development Impact Fees</t>
  </si>
  <si>
    <t>Permitting &amp; Plan Check Calculations - Source: ImpactPermit Fee Tab</t>
  </si>
  <si>
    <t>Planning Permit Fee</t>
  </si>
  <si>
    <t>Based on County Housing Element Estimated fees per unit pg. 165</t>
  </si>
  <si>
    <t>https://planning.lacounty.gov/wp-content/uploads/2022/11/housing-element-20220517.pdf</t>
  </si>
  <si>
    <t>CEQA / NEPA / Traffic review fee</t>
  </si>
  <si>
    <t>Plan Check Fee</t>
  </si>
  <si>
    <t>Utility Connections</t>
  </si>
  <si>
    <t>Other Fees</t>
  </si>
  <si>
    <t>Subtotal Permits &amp; Fees</t>
  </si>
  <si>
    <t>PREDEV &amp; ACQ FINANCING</t>
  </si>
  <si>
    <t>Acquisition / Predevelopment Loan</t>
  </si>
  <si>
    <t>Loan interest</t>
  </si>
  <si>
    <t>Loan fees/points</t>
  </si>
  <si>
    <t>1.5% of Acquisition Loan + $10K legal fee</t>
  </si>
  <si>
    <t>Predevelopment I</t>
  </si>
  <si>
    <t>Formula</t>
  </si>
  <si>
    <t>Hard Coded</t>
  </si>
  <si>
    <t>Interest calculates on full loan balance over entire predevelopment term</t>
  </si>
  <si>
    <t>Loan fees</t>
  </si>
  <si>
    <t>Title &amp; escrow</t>
  </si>
  <si>
    <t>Predevelopment II</t>
  </si>
  <si>
    <t>Predevelopment III</t>
  </si>
  <si>
    <t>Subtotal Predev &amp; Acq Financing</t>
  </si>
  <si>
    <t>CONSTRUCTION FINANCING</t>
  </si>
  <si>
    <r>
      <t>Calculated assuming 60</t>
    </r>
    <r>
      <rPr>
        <b/>
        <sz val="8"/>
        <rFont val="Arial"/>
        <family val="2"/>
      </rPr>
      <t>%</t>
    </r>
    <r>
      <rPr>
        <sz val="8"/>
        <color rgb="FFFF0000"/>
        <rFont val="Arial"/>
        <family val="2"/>
      </rPr>
      <t xml:space="preserve"> </t>
    </r>
    <r>
      <rPr>
        <sz val="8"/>
        <color indexed="8"/>
        <rFont val="Arial"/>
        <family val="2"/>
      </rPr>
      <t>of total loan amount outstanding during construction period. See "Financing Assumptions" for interest rate and schedule.</t>
    </r>
  </si>
  <si>
    <t>Origination Fee / Credit Enhancement</t>
  </si>
  <si>
    <t>See "Financing Assumptions" for fee percentage.</t>
  </si>
  <si>
    <t>CDLAC &amp; CDIAC Fees</t>
  </si>
  <si>
    <t>CDLAC Fees (excludes deposit) + CDIAC Fees</t>
  </si>
  <si>
    <t>CDIAC Fee:</t>
  </si>
  <si>
    <t>LACDA Fee</t>
  </si>
  <si>
    <t>Taxes</t>
  </si>
  <si>
    <t>Predevelopment (property &amp; liability)</t>
  </si>
  <si>
    <t>Course of construction</t>
  </si>
  <si>
    <r>
      <t>Feeds from Premium Calculator dated 9/15/20, assumes mark-up per Bruce.</t>
    </r>
    <r>
      <rPr>
        <b/>
        <sz val="8"/>
        <rFont val="Arial"/>
        <family val="2"/>
      </rPr>
      <t>added 35%</t>
    </r>
  </si>
  <si>
    <t>Operating (year 1)</t>
  </si>
  <si>
    <t>Title &amp; Recording</t>
  </si>
  <si>
    <t>Title insurance &amp; endorsements</t>
  </si>
  <si>
    <t>Escrow &amp; recording</t>
  </si>
  <si>
    <t>Lender Transaction Costs</t>
  </si>
  <si>
    <t>Lender appraisal</t>
  </si>
  <si>
    <t>Lender construction monitoring</t>
  </si>
  <si>
    <t>Other lender expenses</t>
  </si>
  <si>
    <t>Bond-related expenses</t>
  </si>
  <si>
    <t>Issuer:</t>
  </si>
  <si>
    <t>If Bond Issuer is an entity other than City of LA or CalHFA, use Column N to input Issuance Costs</t>
  </si>
  <si>
    <t>CalHFA Issuance Fees</t>
  </si>
  <si>
    <t>City of LA Issuance Fees</t>
  </si>
  <si>
    <t>CMFA origination fee = 1/8 point on construction loan. Confirm fee in other jurisdictions</t>
  </si>
  <si>
    <t>City of Los Angeles projects: $6,000. Confirm fee in other jurisdictions.</t>
  </si>
  <si>
    <t>City of Los Angeles: $75K. Check Issuer Bond Counsel in other jurisdictions.</t>
  </si>
  <si>
    <t>UNCOMMON. For public offerings only, 0.60% of bond amount</t>
  </si>
  <si>
    <t>UNCOMMON. For public offerings only, $25k</t>
  </si>
  <si>
    <t>for public offerings only; or $5K for LA projects per CHP</t>
  </si>
  <si>
    <t>for public offerings only; or $35K for LA projects per CHP</t>
  </si>
  <si>
    <t>UNCOMMON. For public offerings only, $10k</t>
  </si>
  <si>
    <t>UNCOMMON. For public offerings only, $7,500</t>
  </si>
  <si>
    <t>for Fannie Mae only, $10k</t>
  </si>
  <si>
    <t>for LA projects, verify current fee for LA deals. Confirm fee in other jurisdictions</t>
  </si>
  <si>
    <t>for Fannie Mae only</t>
  </si>
  <si>
    <t>Confirm fee calculation with issuer. CalHFA = $7500 x 2.</t>
  </si>
  <si>
    <t>Incl $25K contin + $10K CalHFA MIP app fee (counts toward MIP loan fee)</t>
  </si>
  <si>
    <t>Subtotal Construction Financing</t>
  </si>
  <si>
    <t>Loan Origination Fee</t>
  </si>
  <si>
    <t>Perm loan orig fee</t>
  </si>
  <si>
    <t xml:space="preserve">Title and Recording </t>
  </si>
  <si>
    <t>Lender Legal</t>
  </si>
  <si>
    <t>[Enter other applicable costs]</t>
  </si>
  <si>
    <t>Subtotal Permanent Financing</t>
  </si>
  <si>
    <t>Lender Legal Paid by Applicant</t>
  </si>
  <si>
    <t>Other Legal</t>
  </si>
  <si>
    <t>Transaction</t>
  </si>
  <si>
    <t>CalHFA MIP legal fee (waived if CalHFA is the perm lender).</t>
  </si>
  <si>
    <t>Subtotal Legal Fees</t>
  </si>
  <si>
    <t>Operating Reserves</t>
  </si>
  <si>
    <t>3 months of operating expenses + debt service</t>
  </si>
  <si>
    <t>Section 8 Transition Reserve</t>
  </si>
  <si>
    <t>N</t>
  </si>
  <si>
    <t>Verify if required by lender(s). Most HCD sources require. This calculates based on Year 16 loss; confirm contract length and adjust as necessary.</t>
  </si>
  <si>
    <t>Project Approval Underwriting Thresholds: Development project - Not less than $0; Portfolio project - Not less than $300/unit; PSH units - $500/unit new construction &amp; rehab</t>
  </si>
  <si>
    <t>Subtotal Reserves</t>
  </si>
  <si>
    <t xml:space="preserve">Appraisal </t>
  </si>
  <si>
    <t>Other / updates</t>
  </si>
  <si>
    <t>Capital Needs Assessment</t>
  </si>
  <si>
    <t>Tree study/Arborist</t>
  </si>
  <si>
    <t>Subtotal Reports</t>
  </si>
  <si>
    <t>TCAC Fees</t>
  </si>
  <si>
    <t>Phase I</t>
  </si>
  <si>
    <t>Phase I updates</t>
  </si>
  <si>
    <t>LBP / Asbestos report</t>
  </si>
  <si>
    <t>Methane testing</t>
  </si>
  <si>
    <t>Soils</t>
  </si>
  <si>
    <t>Phase II</t>
  </si>
  <si>
    <t>Other: EIR</t>
  </si>
  <si>
    <t>Marketing</t>
  </si>
  <si>
    <t>Lease-up fee</t>
  </si>
  <si>
    <t>Feeds from Lease-Up Calculator tab</t>
  </si>
  <si>
    <t>Personnel, Supplies, Advertising</t>
  </si>
  <si>
    <t>Community &amp; Public relations</t>
  </si>
  <si>
    <t>Photos (project completion)</t>
  </si>
  <si>
    <t>Ground breaking &amp; opening</t>
  </si>
  <si>
    <t>Relocation Expenses</t>
  </si>
  <si>
    <t>Moving expenses</t>
  </si>
  <si>
    <t>Rental assistance payments</t>
  </si>
  <si>
    <t>Furnishings</t>
  </si>
  <si>
    <t>Residential units</t>
  </si>
  <si>
    <t>Manager's office</t>
  </si>
  <si>
    <t>Community space</t>
  </si>
  <si>
    <t>Resident Services office</t>
  </si>
  <si>
    <t>Site furnishings</t>
  </si>
  <si>
    <t>Maintenance equipment</t>
  </si>
  <si>
    <t>Other: Entitlements</t>
  </si>
  <si>
    <t>Entitlement / SB4 Consultant</t>
  </si>
  <si>
    <t>CEQA / NEPA consultants</t>
  </si>
  <si>
    <t>Other: Construction-related services</t>
  </si>
  <si>
    <t>Construction manager</t>
  </si>
  <si>
    <t>Geotechnical monitoring</t>
  </si>
  <si>
    <t>Abatement monitoring</t>
  </si>
  <si>
    <t>Testing &amp; inspections</t>
  </si>
  <si>
    <t>Other monitoring</t>
  </si>
  <si>
    <t>Pest extermination</t>
  </si>
  <si>
    <t xml:space="preserve">   </t>
  </si>
  <si>
    <t>Prevailing wage monitoring</t>
  </si>
  <si>
    <t>Typically included in GC overhead</t>
  </si>
  <si>
    <t xml:space="preserve">Other: Holding costs </t>
  </si>
  <si>
    <t>Site security, maintenance, other</t>
  </si>
  <si>
    <t>Other: LA County Fees (waived)</t>
  </si>
  <si>
    <t>Other: Soft Cost Contingency</t>
  </si>
  <si>
    <t>Subtotal Soft Costs</t>
  </si>
  <si>
    <t>Cannot use this line item, per TCAC, otherwise it is deducted from dev fee. If necessary, include in Accounting below.</t>
  </si>
  <si>
    <t>Quarterly accounting</t>
  </si>
  <si>
    <t>Audits &amp; reviews</t>
  </si>
  <si>
    <t>Tax returns</t>
  </si>
  <si>
    <t>Subtotal Developer Costs</t>
  </si>
  <si>
    <t>SYNDICATION COSTS</t>
  </si>
  <si>
    <t>Cost certification</t>
  </si>
  <si>
    <t>Legal - Syndication</t>
  </si>
  <si>
    <t>Consultant - Syndication</t>
  </si>
  <si>
    <t>CHP base fee of $75K, plus $7500 per HCD source</t>
  </si>
  <si>
    <t>Partnership taxes</t>
  </si>
  <si>
    <t>Partnership formation</t>
  </si>
  <si>
    <t>Subtotal Syndication Costs</t>
  </si>
  <si>
    <t>TOTAL DEVELOPMENT COSTS</t>
  </si>
  <si>
    <t>https://planning.lacounty.gov/wp-content/uploads/2023/12/fee_20240101.pdf</t>
  </si>
  <si>
    <t>ENVIRONMENTAL FEES</t>
  </si>
  <si>
    <t>1) ENVIRONMENTAL ASSESSMENT, INITIAL REVIEW (Initial Studies Review, Categorical Exemptions)</t>
  </si>
  <si>
    <t>SUBDIVISION FEES</t>
  </si>
  <si>
    <t>CASE INTAKE</t>
  </si>
  <si>
    <t>ZONING PERMIT FEES</t>
  </si>
  <si>
    <t>34) HOUSING PERMIT, ADMINISTRATIVE (1) (2) (3)</t>
  </si>
  <si>
    <t>37) INSPECTION, SITE PLAN REVIEW (SPR) PLAN CHECK (POST APPROVAL)</t>
  </si>
  <si>
    <t>47) PRE-APPLICATION COUNSELING</t>
  </si>
  <si>
    <t>68) SITE PLAN REVIEW, MINISTERIAL, RESIDENTIAL SITE PLANS</t>
  </si>
  <si>
    <t>(1) FEE EXEMPTION - AFFORDABLE HOUSING: Projects with an affordable housing set-aside may qualify for a fee exemption or reduction from Title 22 Planning &amp; Zoning fees and deposits. Please inquire with planning staff.</t>
  </si>
  <si>
    <r>
      <t xml:space="preserve">(2) Applicant shall pay directly to the LACDA in the amount of </t>
    </r>
    <r>
      <rPr>
        <b/>
        <sz val="10"/>
        <rFont val="Switzerland"/>
      </rPr>
      <t xml:space="preserve">$2,379 </t>
    </r>
    <r>
      <rPr>
        <sz val="12"/>
        <color theme="1"/>
        <rFont val="Calibri"/>
        <family val="2"/>
      </rPr>
      <t>for the LACDA’s review of a Housing Permit application.</t>
    </r>
  </si>
  <si>
    <t>https://pw.lacounty.gov/bsd/lib/fp/fees/County/2023/Fees%20from%20ordinance%20template%2023-24.pdf</t>
  </si>
  <si>
    <t>TABLE 1-A BUILDING PERMIT FEES* 1,2,3</t>
  </si>
  <si>
    <t>A permit issuance fee of $ 37.33 shall be added to all building permit fees</t>
  </si>
  <si>
    <t>Valuation not over</t>
  </si>
  <si>
    <t>TOTAL VALUATION</t>
  </si>
  <si>
    <t>FEE</t>
  </si>
  <si>
    <t>More than $100,000</t>
  </si>
  <si>
    <t>plus for each additional $1,000 or fraction
thereof.</t>
  </si>
  <si>
    <t>%TDC</t>
  </si>
  <si>
    <t>Permanent Financing Interest</t>
  </si>
  <si>
    <t>Hard coded</t>
  </si>
  <si>
    <t>Mezzanine Debt</t>
  </si>
  <si>
    <t>RECYCLED BOND FINANCING</t>
  </si>
  <si>
    <t>Subtotal Architecture-Residential</t>
  </si>
  <si>
    <t>ARCHITECTURE - Commercial</t>
  </si>
  <si>
    <t>School Fee</t>
  </si>
  <si>
    <t xml:space="preserve">Total Units </t>
  </si>
  <si>
    <t>Parking Ratio</t>
  </si>
  <si>
    <t>LP</t>
  </si>
  <si>
    <t>Land Value</t>
  </si>
  <si>
    <t>Improvements Value</t>
  </si>
  <si>
    <t>Land Rate</t>
  </si>
  <si>
    <t>Improvements Rate</t>
  </si>
  <si>
    <t xml:space="preserve">Total Land </t>
  </si>
  <si>
    <t>Total Improvements</t>
  </si>
  <si>
    <t>Market Rate Percentage</t>
  </si>
  <si>
    <t>Prorated Tax</t>
  </si>
  <si>
    <t>Total Prorated Tax</t>
  </si>
  <si>
    <t>Equity Per Unit</t>
  </si>
  <si>
    <t xml:space="preserve">Differential </t>
  </si>
  <si>
    <t>Generic Template Non-LIHTC</t>
  </si>
  <si>
    <t>Per Gio, min 19k/unit or 5%hard cost, Formula -&gt;</t>
  </si>
  <si>
    <t>Tax-Exempt Units</t>
  </si>
  <si>
    <t>Units</t>
  </si>
  <si>
    <t>RE Taxes payable during construction</t>
  </si>
  <si>
    <t>Gap</t>
  </si>
  <si>
    <t xml:space="preserve">Construction and Predev Taxes  </t>
  </si>
  <si>
    <t>Predevelopment Period</t>
  </si>
  <si>
    <t xml:space="preserve">Construction Period </t>
  </si>
  <si>
    <t xml:space="preserve">Operational taxes </t>
  </si>
  <si>
    <t xml:space="preserve">Total </t>
  </si>
  <si>
    <t>Avg land cost PU</t>
  </si>
  <si>
    <t>Permanent Loan</t>
  </si>
  <si>
    <t xml:space="preserve">Permanent Financing </t>
  </si>
  <si>
    <r>
      <rPr>
        <sz val="12"/>
        <color rgb="FFFF0000"/>
        <rFont val="Calibri"/>
        <family val="2"/>
        <scheme val="minor"/>
      </rPr>
      <t>Gap</t>
    </r>
    <r>
      <rPr>
        <sz val="12"/>
        <color theme="1"/>
        <rFont val="Calibri"/>
        <family val="2"/>
        <scheme val="minor"/>
      </rPr>
      <t>/</t>
    </r>
    <r>
      <rPr>
        <sz val="12"/>
        <color theme="9"/>
        <rFont val="Calibri"/>
        <family val="2"/>
        <scheme val="minor"/>
      </rPr>
      <t>Surplus</t>
    </r>
  </si>
  <si>
    <t>Construction Equity</t>
  </si>
  <si>
    <t>Permanent Equity</t>
  </si>
  <si>
    <t xml:space="preserve">Total Equity </t>
  </si>
  <si>
    <t>Generic Non-LIHTC Unit Mix</t>
  </si>
  <si>
    <t xml:space="preserve">Formula </t>
  </si>
  <si>
    <t>Gallagher</t>
  </si>
  <si>
    <t>Construction insurance cost estimate</t>
  </si>
  <si>
    <t>Project name:</t>
  </si>
  <si>
    <t>(Estimator created on 09.15.20)</t>
  </si>
  <si>
    <t>Contractor:</t>
  </si>
  <si>
    <t>(estimated only)</t>
  </si>
  <si>
    <t>Estimated start date:</t>
  </si>
  <si>
    <t>Months</t>
  </si>
  <si>
    <t>Blue cells feed from other tabs</t>
  </si>
  <si>
    <t>Estimated term:</t>
  </si>
  <si>
    <t>Estimated hard cost (GC):</t>
  </si>
  <si>
    <t>General liability</t>
  </si>
  <si>
    <t>$1,000,000 primary limit</t>
  </si>
  <si>
    <t>Umbrella liability (excess)</t>
  </si>
  <si>
    <t>Builders risk protection (fire)</t>
  </si>
  <si>
    <t>Hard costs</t>
  </si>
  <si>
    <t>Soft costs</t>
  </si>
  <si>
    <t>Business Pers. Prop</t>
  </si>
  <si>
    <t>Mecahnical Breakdown protection</t>
  </si>
  <si>
    <t>Total estimated for construction period</t>
  </si>
  <si>
    <t>INCLUDES RECENT MARK-UP PER BRUCE'S 9.15.20 EMAIL</t>
  </si>
  <si>
    <t>Operational insurance cost estimate</t>
  </si>
  <si>
    <t>Project:</t>
  </si>
  <si>
    <t>Estimated completion date:</t>
  </si>
  <si>
    <t>Number of units:</t>
  </si>
  <si>
    <t>Fire insurance limit:</t>
  </si>
  <si>
    <t>$4,000,000 limit</t>
  </si>
  <si>
    <t>Fire protection</t>
  </si>
  <si>
    <t>(assumed sprinklered to NFPA13 standard)</t>
  </si>
  <si>
    <t>Building</t>
  </si>
  <si>
    <t>Business personal Property</t>
  </si>
  <si>
    <t>Total estimated annual for operational period</t>
  </si>
  <si>
    <t>Recycled Bond (Perm)</t>
  </si>
  <si>
    <t>Recycled</t>
  </si>
  <si>
    <t>Perm</t>
  </si>
  <si>
    <t>LTC Cap</t>
  </si>
  <si>
    <t>Profit Breakdown</t>
  </si>
  <si>
    <t>LP Equity Created</t>
  </si>
  <si>
    <t>Total Investment Return</t>
  </si>
  <si>
    <t>MOIC</t>
  </si>
  <si>
    <t>Return %</t>
  </si>
  <si>
    <t>Annualized (IRR)</t>
  </si>
  <si>
    <t>TDC/SQFT</t>
  </si>
  <si>
    <t>% of Cashflow</t>
  </si>
  <si>
    <t>Mezzanine Loan/Gap Finance</t>
  </si>
  <si>
    <t>-</t>
  </si>
  <si>
    <t>Debt Yeild:</t>
  </si>
  <si>
    <t>Percent Equity at Construction</t>
  </si>
  <si>
    <t xml:space="preserve">GP Equity </t>
  </si>
  <si>
    <t>DSCR Limit</t>
  </si>
  <si>
    <t>Possible LP Equity</t>
  </si>
  <si>
    <t xml:space="preserve">LP Preferred Return </t>
  </si>
  <si>
    <t>Exit</t>
  </si>
  <si>
    <t>Recycled Construction</t>
  </si>
  <si>
    <t>Possible Impact Equity w Refi</t>
  </si>
  <si>
    <t>LP Refi Proceeds</t>
  </si>
  <si>
    <t>Gap/Surplus</t>
  </si>
  <si>
    <t>Possible Impact Equity No Refi</t>
  </si>
  <si>
    <t>Possible Equity (Refi)</t>
  </si>
  <si>
    <t>Possible Equity (No Refi)</t>
  </si>
  <si>
    <t>Equity created</t>
  </si>
  <si>
    <t>1.2 DCSR</t>
  </si>
  <si>
    <t>60% LTV</t>
  </si>
  <si>
    <t>loan</t>
  </si>
  <si>
    <t>minus debt</t>
  </si>
  <si>
    <t>investor share</t>
  </si>
  <si>
    <t>Abode Return</t>
  </si>
  <si>
    <t>Abode 9% Return</t>
  </si>
  <si>
    <t>Abode Equity in</t>
  </si>
  <si>
    <t>Possible GP Equity</t>
  </si>
  <si>
    <t xml:space="preserve">GP Preferred Return </t>
  </si>
  <si>
    <t>GP Refi Proceeds</t>
  </si>
  <si>
    <t>Equity Gap/Surplus</t>
  </si>
  <si>
    <t>Y7 Refi</t>
  </si>
  <si>
    <t xml:space="preserve">LP Convesion Proceeds </t>
  </si>
  <si>
    <t xml:space="preserve">GP Conversion Proceeds </t>
  </si>
  <si>
    <t xml:space="preserve">Money IN </t>
  </si>
  <si>
    <t xml:space="preserve">Actual Return </t>
  </si>
  <si>
    <t xml:space="preserve">Money in </t>
  </si>
  <si>
    <t>30% AMI</t>
  </si>
  <si>
    <t>IRR</t>
  </si>
  <si>
    <t>Grandview Apartments</t>
  </si>
  <si>
    <t/>
  </si>
  <si>
    <t>St. James UMC</t>
  </si>
  <si>
    <t>Y10 Refi</t>
  </si>
  <si>
    <t>Negative Arbitrage</t>
  </si>
  <si>
    <t>Archtecture Cost Formula</t>
  </si>
  <si>
    <t>Mixed Income</t>
  </si>
  <si>
    <t>LP IRR</t>
  </si>
  <si>
    <t>GP IRR</t>
  </si>
  <si>
    <t>Project Gap/Surplus:</t>
  </si>
  <si>
    <t>Project Returns</t>
  </si>
  <si>
    <t>7 Year Takeout</t>
  </si>
  <si>
    <t>10 Year Takeout</t>
  </si>
  <si>
    <t xml:space="preserve">Money Out </t>
  </si>
  <si>
    <t>Money Out</t>
  </si>
  <si>
    <t>No Abatement</t>
  </si>
  <si>
    <t>Term (months)</t>
  </si>
  <si>
    <t>Term (yr)</t>
  </si>
  <si>
    <t>Conversion Takeout</t>
  </si>
  <si>
    <t>Year 7 Takeout</t>
  </si>
  <si>
    <t>80% 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</si>
</sst>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&quot;Residential Floors:&quot;\ 0"/>
    <numFmt numFmtId="167" formatCode="#,###\ &quot;PU&quot;"/>
    <numFmt numFmtId="168" formatCode="#,###\ &quot;Per Unit&quot;"/>
    <numFmt numFmtId="169" formatCode="&quot;$&quot;#,##0"/>
    <numFmt numFmtId="170" formatCode="_(&quot;$&quot;* #,##0_);_(&quot;$&quot;* \(#,##0\);_(&quot;$&quot;* &quot;-&quot;??_);_(@_)"/>
    <numFmt numFmtId="171" formatCode="_(* #,##0_);_(* \(#,##0\);_(* &quot;-&quot;?_);_(@_)"/>
    <numFmt numFmtId="172" formatCode="&quot;$&quot;#,##0.00"/>
    <numFmt numFmtId="173" formatCode="[$-409]mmm\-yy;@"/>
    <numFmt numFmtId="174" formatCode="_(* #,##0.0_);_(* \(#,##0.0\);_(* &quot;-&quot;?_);_(@_)"/>
    <numFmt numFmtId="175" formatCode="_([$$-409]* #,##0.00_);_([$$-409]* \(#,##0.00\);_([$$-409]* &quot;-&quot;??_);_(@_)"/>
    <numFmt numFmtId="176" formatCode="&quot;$&quot;#,##0.0000"/>
    <numFmt numFmtId="177" formatCode="000\ &quot;sf per space&quot;"/>
    <numFmt numFmtId="178" formatCode="0.00&quot;:1 ratio&quot;"/>
    <numFmt numFmtId="179" formatCode="000\ &quot;per LI unit&quot;"/>
    <numFmt numFmtId="180" formatCode="#,##0.0_);\(#,##0.0\);&quot;–  &quot;"/>
    <numFmt numFmtId="181" formatCode="0.0%\ &quot;NC&quot;"/>
    <numFmt numFmtId="182" formatCode="0.00%\ &quot;Rehab&quot;"/>
    <numFmt numFmtId="183" formatCode="&quot;$&quot;0.00&quot;/res SF&quot;"/>
    <numFmt numFmtId="184" formatCode="&quot;$&quot;#,##0.0000_);[Red]\(&quot;$&quot;#,##0.0000\)"/>
    <numFmt numFmtId="185" formatCode="&quot;Issuer:&quot;\ 00000"/>
    <numFmt numFmtId="186" formatCode="&quot;$&quot;#,##0.00&quot; &quot;;\(&quot;$&quot;#,##0.00\)"/>
  </numFmts>
  <fonts count="165"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sz val="10"/>
      <color indexed="8"/>
      <name val="Calibri"/>
      <family val="2"/>
      <scheme val="minor"/>
    </font>
    <font>
      <i/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24"/>
      <name val="Calibri"/>
      <family val="2"/>
      <scheme val="minor"/>
    </font>
    <font>
      <b/>
      <sz val="14"/>
      <color theme="1"/>
      <name val="Calibri"/>
      <family val="2"/>
    </font>
    <font>
      <b/>
      <sz val="16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Franklin Gothic Book"/>
      <family val="2"/>
    </font>
    <font>
      <sz val="10"/>
      <color indexed="8"/>
      <name val="Franklin Gothic Book"/>
      <family val="2"/>
    </font>
    <font>
      <b/>
      <sz val="26"/>
      <name val="Franklin Gothic Book"/>
      <family val="2"/>
    </font>
    <font>
      <sz val="10"/>
      <color indexed="9"/>
      <name val="Franklin Gothic Book"/>
      <family val="2"/>
    </font>
    <font>
      <b/>
      <sz val="10"/>
      <name val="Franklin Gothic Book"/>
      <family val="2"/>
    </font>
    <font>
      <i/>
      <sz val="10"/>
      <name val="Franklin Gothic Book"/>
      <family val="2"/>
    </font>
    <font>
      <b/>
      <sz val="10"/>
      <color indexed="8"/>
      <name val="Franklin Gothic Book"/>
      <family val="2"/>
    </font>
    <font>
      <sz val="10"/>
      <color rgb="FFFF0000"/>
      <name val="Franklin Gothic Book"/>
      <family val="2"/>
    </font>
    <font>
      <sz val="10"/>
      <color indexed="10"/>
      <name val="Franklin Gothic Book"/>
      <family val="2"/>
    </font>
    <font>
      <i/>
      <sz val="10"/>
      <color indexed="8"/>
      <name val="Franklin Gothic Book"/>
      <family val="2"/>
    </font>
    <font>
      <sz val="10"/>
      <color indexed="12"/>
      <name val="Franklin Gothic Book"/>
      <family val="2"/>
    </font>
    <font>
      <b/>
      <i/>
      <sz val="10"/>
      <name val="Franklin Gothic Boo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Franklin Gothic Book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12"/>
      <color rgb="FF000000"/>
      <name val="Calibri"/>
      <family val="2"/>
    </font>
    <font>
      <i/>
      <sz val="12"/>
      <color theme="1"/>
      <name val="Calibri"/>
      <family val="2"/>
    </font>
    <font>
      <sz val="18"/>
      <color theme="1"/>
      <name val="Calibri"/>
      <family val="2"/>
      <scheme val="minor"/>
    </font>
    <font>
      <sz val="11"/>
      <color rgb="FF201F1E"/>
      <name val="Calibri"/>
      <family val="2"/>
    </font>
    <font>
      <b/>
      <sz val="16"/>
      <color theme="1"/>
      <name val="Calibri"/>
      <family val="2"/>
    </font>
    <font>
      <u/>
      <sz val="11"/>
      <color rgb="FF201F1E"/>
      <name val="Calibri"/>
      <family val="2"/>
    </font>
    <font>
      <b/>
      <sz val="11"/>
      <color rgb="FF201F1E"/>
      <name val="Calibri"/>
      <family val="2"/>
    </font>
    <font>
      <b/>
      <sz val="12"/>
      <color rgb="FF201F1E"/>
      <name val="Calibri"/>
      <family val="2"/>
    </font>
    <font>
      <sz val="10"/>
      <color theme="1"/>
      <name val="Calibri"/>
      <family val="2"/>
    </font>
    <font>
      <sz val="8"/>
      <name val="Calibri"/>
      <family val="2"/>
    </font>
    <font>
      <strike/>
      <sz val="12"/>
      <color theme="1"/>
      <name val="Calibri"/>
      <family val="2"/>
    </font>
    <font>
      <sz val="10"/>
      <name val="Franklin Gothic Book"/>
      <family val="2"/>
    </font>
    <font>
      <sz val="11"/>
      <color rgb="FF000000"/>
      <name val="Calibri"/>
      <family val="2"/>
      <scheme val="minor"/>
    </font>
    <font>
      <sz val="10"/>
      <name val="Switzerland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0"/>
      <name val="Switzerland"/>
      <family val="2"/>
    </font>
    <font>
      <i/>
      <sz val="10"/>
      <color indexed="8"/>
      <name val="Arial"/>
      <family val="2"/>
    </font>
    <font>
      <i/>
      <sz val="10"/>
      <name val="Switzerland"/>
    </font>
    <font>
      <sz val="10"/>
      <color indexed="8"/>
      <name val="SWITZERLAND"/>
    </font>
    <font>
      <b/>
      <u/>
      <sz val="10"/>
      <name val="Switzerland"/>
    </font>
    <font>
      <b/>
      <sz val="10"/>
      <color indexed="8"/>
      <name val="Arial"/>
      <family val="2"/>
    </font>
    <font>
      <i/>
      <sz val="10"/>
      <color rgb="FFFF000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u/>
      <sz val="12"/>
      <color theme="10"/>
      <name val="Calibri"/>
      <family val="2"/>
    </font>
    <font>
      <b/>
      <i/>
      <sz val="10"/>
      <color indexed="8"/>
      <name val="Arial"/>
      <family val="2"/>
    </font>
    <font>
      <sz val="8"/>
      <name val="Arial Narrow"/>
      <family val="2"/>
    </font>
    <font>
      <sz val="10"/>
      <color rgb="FFFF0000"/>
      <name val="Switzerland"/>
      <family val="2"/>
    </font>
    <font>
      <b/>
      <sz val="10"/>
      <name val="Switzerland"/>
    </font>
    <font>
      <b/>
      <sz val="8"/>
      <name val="Arial"/>
      <family val="2"/>
    </font>
    <font>
      <b/>
      <sz val="10"/>
      <color indexed="12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0"/>
      <name val="Switzerland"/>
      <family val="2"/>
    </font>
    <font>
      <b/>
      <i/>
      <sz val="10"/>
      <color indexed="10"/>
      <name val="Arial"/>
      <family val="2"/>
    </font>
    <font>
      <u/>
      <sz val="10"/>
      <name val="Arial"/>
      <family val="2"/>
    </font>
    <font>
      <sz val="8"/>
      <name val="Switzerland"/>
      <family val="2"/>
    </font>
    <font>
      <b/>
      <strike/>
      <sz val="8"/>
      <name val="Arial"/>
      <family val="2"/>
    </font>
    <font>
      <b/>
      <sz val="8"/>
      <color rgb="FFFF0000"/>
      <name val="Arial"/>
      <family val="2"/>
    </font>
    <font>
      <sz val="10"/>
      <name val="Switzerland"/>
    </font>
    <font>
      <b/>
      <i/>
      <sz val="10"/>
      <name val="Switzerland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9"/>
      <name val="Switzerland"/>
      <family val="2"/>
    </font>
    <font>
      <b/>
      <i/>
      <sz val="9"/>
      <name val="Arial"/>
      <family val="2"/>
    </font>
    <font>
      <b/>
      <sz val="9"/>
      <name val="Switzerland"/>
    </font>
    <font>
      <sz val="8"/>
      <color theme="1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  <font>
      <b/>
      <i/>
      <sz val="11"/>
      <name val="Arial"/>
      <family val="2"/>
    </font>
    <font>
      <sz val="12"/>
      <name val="Calibri"/>
      <family val="2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indexed="9"/>
      <name val="Arial"/>
      <family val="2"/>
    </font>
    <font>
      <b/>
      <sz val="14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6AA84F"/>
      <name val="Arial"/>
      <family val="2"/>
    </font>
    <font>
      <sz val="10"/>
      <color rgb="FF9900FF"/>
      <name val="Arial"/>
      <family val="2"/>
    </font>
    <font>
      <sz val="10"/>
      <color rgb="FF85CA97"/>
      <name val="Arial"/>
      <family val="2"/>
    </font>
    <font>
      <sz val="12"/>
      <name val="Arial"/>
      <family val="2"/>
    </font>
    <font>
      <sz val="10"/>
      <color theme="1"/>
      <name val="Arial Unicode MS"/>
      <family val="2"/>
    </font>
    <font>
      <sz val="10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9"/>
      <name val="Arial"/>
      <family val="2"/>
    </font>
    <font>
      <b/>
      <sz val="11"/>
      <color theme="1"/>
      <name val="Calibri"/>
      <family val="2"/>
    </font>
    <font>
      <sz val="10"/>
      <color theme="0"/>
      <name val="Arial"/>
      <family val="2"/>
    </font>
    <font>
      <i/>
      <sz val="10"/>
      <color theme="0"/>
      <name val="Arial"/>
      <family val="2"/>
    </font>
    <font>
      <u/>
      <sz val="10"/>
      <color theme="0"/>
      <name val="Arial"/>
      <family val="2"/>
    </font>
    <font>
      <sz val="8"/>
      <color theme="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4506668294322"/>
        <bgColor rgb="FFFF0000"/>
      </patternFill>
    </fill>
    <fill>
      <patternFill patternType="solid">
        <fgColor indexed="65"/>
        <bgColor rgb="FFFF0000"/>
      </patternFill>
    </fill>
    <fill>
      <patternFill patternType="solid">
        <fgColor theme="0" tint="-0.14996795556505021"/>
        <bgColor rgb="FFFF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B7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6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DashDotDot">
        <color indexed="64"/>
      </left>
      <right/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mediumDashDotDot">
        <color rgb="FFFF0000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dashed">
        <color indexed="64"/>
      </bottom>
      <diagonal/>
    </border>
    <border>
      <left style="mediumDashDotDot">
        <color rgb="FFFF0000"/>
      </left>
      <right style="mediumDashDotDot">
        <color rgb="FFFF0000"/>
      </right>
      <top style="dashed">
        <color indexed="64"/>
      </top>
      <bottom style="mediumDashDotDot">
        <color rgb="FFFF0000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/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mediumDashDotDot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mediumDashDotDot">
        <color rgb="FFC00000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DashDotDot">
        <color indexed="64"/>
      </left>
      <right style="mediumDashDotDot">
        <color rgb="FFC00000"/>
      </right>
      <top style="dashed">
        <color indexed="64"/>
      </top>
      <bottom style="mediumDashDotDot">
        <color rgb="FFC00000"/>
      </bottom>
      <diagonal/>
    </border>
    <border>
      <left style="mediumDashDotDot">
        <color indexed="64"/>
      </left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 style="dotted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 style="dotted">
        <color indexed="8"/>
      </left>
      <right/>
      <top/>
      <bottom/>
      <diagonal/>
    </border>
    <border>
      <left style="hair">
        <color indexed="8"/>
      </left>
      <right style="dashed">
        <color indexed="8"/>
      </right>
      <top/>
      <bottom/>
      <diagonal/>
    </border>
    <border>
      <left/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 style="dashed">
        <color indexed="8"/>
      </right>
      <top style="dotted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dotted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/>
      <right style="medium">
        <color theme="9" tint="-0.249977111117893"/>
      </right>
      <top style="medium">
        <color rgb="FF000000"/>
      </top>
      <bottom style="medium">
        <color rgb="FF000000"/>
      </bottom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thin">
        <color rgb="FF7030A0"/>
      </right>
      <top/>
      <bottom/>
      <diagonal/>
    </border>
    <border>
      <left/>
      <right style="thin">
        <color rgb="FF7030A0"/>
      </right>
      <top/>
      <bottom style="double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thin">
        <color rgb="FF7030A0"/>
      </right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thin">
        <color rgb="FF7030A0"/>
      </right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/>
      <right style="medium">
        <color theme="8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37" fontId="23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4" fillId="0" borderId="0" applyFont="0" applyFill="0" applyBorder="0" applyAlignment="0" applyProtection="0"/>
    <xf numFmtId="0" fontId="91" fillId="0" borderId="0"/>
    <xf numFmtId="0" fontId="111" fillId="0" borderId="0" applyNumberFormat="0" applyFill="0" applyBorder="0" applyAlignment="0" applyProtection="0"/>
    <xf numFmtId="0" fontId="24" fillId="0" borderId="0"/>
    <xf numFmtId="0" fontId="155" fillId="0" borderId="0"/>
  </cellStyleXfs>
  <cellXfs count="1779">
    <xf numFmtId="0" fontId="0" fillId="0" borderId="0" xfId="0"/>
    <xf numFmtId="0" fontId="22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applyFont="1"/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indent="1"/>
    </xf>
    <xf numFmtId="164" fontId="25" fillId="0" borderId="0" xfId="1" applyNumberFormat="1" applyFont="1" applyFill="1" applyBorder="1" applyAlignment="1">
      <alignment horizontal="left" indent="1"/>
    </xf>
    <xf numFmtId="164" fontId="25" fillId="0" borderId="0" xfId="0" applyNumberFormat="1" applyFont="1" applyAlignment="1">
      <alignment horizontal="left" indent="1"/>
    </xf>
    <xf numFmtId="37" fontId="22" fillId="0" borderId="0" xfId="4" applyFont="1"/>
    <xf numFmtId="37" fontId="29" fillId="0" borderId="0" xfId="4" applyFont="1"/>
    <xf numFmtId="170" fontId="30" fillId="0" borderId="0" xfId="4" applyNumberFormat="1" applyFont="1"/>
    <xf numFmtId="37" fontId="31" fillId="0" borderId="0" xfId="4" applyFont="1"/>
    <xf numFmtId="37" fontId="30" fillId="0" borderId="0" xfId="4" applyFont="1"/>
    <xf numFmtId="164" fontId="22" fillId="0" borderId="0" xfId="0" applyNumberFormat="1" applyFont="1"/>
    <xf numFmtId="0" fontId="21" fillId="0" borderId="0" xfId="0" applyFont="1" applyAlignment="1">
      <alignment vertical="center"/>
    </xf>
    <xf numFmtId="10" fontId="22" fillId="0" borderId="0" xfId="3" applyNumberFormat="1" applyFont="1" applyFill="1" applyBorder="1" applyAlignment="1">
      <alignment horizontal="right" vertical="center"/>
    </xf>
    <xf numFmtId="37" fontId="22" fillId="0" borderId="0" xfId="4" applyFont="1" applyAlignment="1">
      <alignment vertical="center"/>
    </xf>
    <xf numFmtId="9" fontId="31" fillId="0" borderId="0" xfId="5" applyFont="1" applyFill="1" applyBorder="1" applyAlignment="1">
      <alignment vertical="center"/>
    </xf>
    <xf numFmtId="37" fontId="31" fillId="0" borderId="0" xfId="4" applyFont="1" applyAlignment="1">
      <alignment vertical="center"/>
    </xf>
    <xf numFmtId="170" fontId="31" fillId="0" borderId="0" xfId="4" applyNumberFormat="1" applyFont="1" applyAlignment="1">
      <alignment vertical="center"/>
    </xf>
    <xf numFmtId="43" fontId="22" fillId="0" borderId="0" xfId="0" applyNumberFormat="1" applyFont="1"/>
    <xf numFmtId="10" fontId="31" fillId="0" borderId="0" xfId="3" applyNumberFormat="1" applyFont="1" applyFill="1" applyBorder="1" applyAlignment="1">
      <alignment horizontal="right"/>
    </xf>
    <xf numFmtId="0" fontId="22" fillId="0" borderId="0" xfId="0" applyFont="1" applyAlignment="1">
      <alignment vertical="center"/>
    </xf>
    <xf numFmtId="167" fontId="25" fillId="0" borderId="0" xfId="0" applyNumberFormat="1" applyFont="1"/>
    <xf numFmtId="164" fontId="21" fillId="0" borderId="0" xfId="1" applyNumberFormat="1" applyFont="1" applyFill="1" applyBorder="1" applyAlignment="1">
      <alignment horizontal="center"/>
    </xf>
    <xf numFmtId="0" fontId="29" fillId="0" borderId="0" xfId="0" applyFont="1"/>
    <xf numFmtId="0" fontId="32" fillId="0" borderId="0" xfId="0" applyFont="1" applyAlignment="1">
      <alignment horizontal="right"/>
    </xf>
    <xf numFmtId="0" fontId="29" fillId="0" borderId="0" xfId="0" applyFont="1" applyAlignment="1">
      <alignment horizontal="right"/>
    </xf>
    <xf numFmtId="170" fontId="31" fillId="0" borderId="0" xfId="4" applyNumberFormat="1" applyFont="1"/>
    <xf numFmtId="164" fontId="22" fillId="0" borderId="0" xfId="1" applyNumberFormat="1" applyFont="1" applyFill="1" applyBorder="1"/>
    <xf numFmtId="0" fontId="31" fillId="0" borderId="0" xfId="0" applyFont="1"/>
    <xf numFmtId="9" fontId="31" fillId="0" borderId="0" xfId="5" applyFont="1" applyFill="1" applyBorder="1"/>
    <xf numFmtId="164" fontId="25" fillId="0" borderId="1" xfId="1" applyNumberFormat="1" applyFont="1" applyFill="1" applyBorder="1" applyAlignment="1">
      <alignment horizontal="center"/>
    </xf>
    <xf numFmtId="0" fontId="34" fillId="0" borderId="0" xfId="0" applyFont="1" applyAlignment="1">
      <alignment horizontal="centerContinuous"/>
    </xf>
    <xf numFmtId="0" fontId="33" fillId="0" borderId="0" xfId="0" applyFont="1" applyAlignment="1">
      <alignment horizontal="centerContinuous"/>
    </xf>
    <xf numFmtId="164" fontId="33" fillId="0" borderId="0" xfId="1" applyNumberFormat="1" applyFont="1" applyFill="1" applyBorder="1" applyAlignment="1">
      <alignment horizontal="centerContinuous"/>
    </xf>
    <xf numFmtId="0" fontId="25" fillId="0" borderId="3" xfId="0" applyFont="1" applyBorder="1"/>
    <xf numFmtId="164" fontId="25" fillId="0" borderId="3" xfId="1" applyNumberFormat="1" applyFont="1" applyFill="1" applyBorder="1" applyAlignment="1">
      <alignment horizontal="center"/>
    </xf>
    <xf numFmtId="164" fontId="25" fillId="0" borderId="0" xfId="1" applyNumberFormat="1" applyFont="1" applyFill="1" applyBorder="1" applyAlignment="1">
      <alignment horizontal="center"/>
    </xf>
    <xf numFmtId="0" fontId="20" fillId="0" borderId="0" xfId="0" applyFont="1"/>
    <xf numFmtId="0" fontId="35" fillId="0" borderId="0" xfId="0" applyFont="1"/>
    <xf numFmtId="0" fontId="20" fillId="0" borderId="6" xfId="0" applyFont="1" applyBorder="1"/>
    <xf numFmtId="0" fontId="0" fillId="0" borderId="6" xfId="0" applyBorder="1"/>
    <xf numFmtId="0" fontId="20" fillId="0" borderId="3" xfId="0" applyFont="1" applyBorder="1"/>
    <xf numFmtId="0" fontId="0" fillId="0" borderId="3" xfId="0" applyBorder="1"/>
    <xf numFmtId="0" fontId="20" fillId="0" borderId="2" xfId="0" applyFont="1" applyBorder="1"/>
    <xf numFmtId="0" fontId="0" fillId="0" borderId="2" xfId="0" applyBorder="1"/>
    <xf numFmtId="164" fontId="0" fillId="0" borderId="0" xfId="1" applyNumberFormat="1" applyFont="1"/>
    <xf numFmtId="164" fontId="0" fillId="0" borderId="2" xfId="1" applyNumberFormat="1" applyFont="1" applyBorder="1" applyAlignment="1">
      <alignment horizontal="center"/>
    </xf>
    <xf numFmtId="164" fontId="0" fillId="0" borderId="6" xfId="1" applyNumberFormat="1" applyFont="1" applyBorder="1"/>
    <xf numFmtId="164" fontId="0" fillId="0" borderId="0" xfId="1" applyNumberFormat="1" applyFont="1" applyBorder="1"/>
    <xf numFmtId="164" fontId="20" fillId="0" borderId="3" xfId="1" applyNumberFormat="1" applyFont="1" applyBorder="1"/>
    <xf numFmtId="164" fontId="0" fillId="0" borderId="0" xfId="0" applyNumberFormat="1"/>
    <xf numFmtId="9" fontId="0" fillId="0" borderId="0" xfId="0" applyNumberFormat="1"/>
    <xf numFmtId="9" fontId="0" fillId="0" borderId="0" xfId="3" applyFont="1"/>
    <xf numFmtId="171" fontId="0" fillId="0" borderId="0" xfId="0" applyNumberFormat="1"/>
    <xf numFmtId="164" fontId="20" fillId="0" borderId="0" xfId="1" applyNumberFormat="1" applyFont="1"/>
    <xf numFmtId="0" fontId="37" fillId="0" borderId="0" xfId="0" applyFont="1"/>
    <xf numFmtId="6" fontId="0" fillId="0" borderId="0" xfId="0" applyNumberFormat="1"/>
    <xf numFmtId="0" fontId="26" fillId="0" borderId="0" xfId="0" applyFont="1" applyAlignment="1">
      <alignment horizontal="left" indent="2"/>
    </xf>
    <xf numFmtId="164" fontId="26" fillId="0" borderId="0" xfId="1" applyNumberFormat="1" applyFont="1" applyFill="1" applyBorder="1"/>
    <xf numFmtId="10" fontId="26" fillId="0" borderId="0" xfId="3" applyNumberFormat="1" applyFont="1" applyFill="1" applyBorder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indent="1"/>
    </xf>
    <xf numFmtId="0" fontId="36" fillId="0" borderId="0" xfId="0" applyFont="1" applyAlignment="1">
      <alignment horizontal="left" indent="1"/>
    </xf>
    <xf numFmtId="0" fontId="26" fillId="0" borderId="6" xfId="0" applyFont="1" applyBorder="1" applyAlignment="1">
      <alignment horizontal="left" indent="2"/>
    </xf>
    <xf numFmtId="0" fontId="26" fillId="0" borderId="6" xfId="0" applyFont="1" applyBorder="1"/>
    <xf numFmtId="43" fontId="26" fillId="0" borderId="0" xfId="1" applyFont="1" applyFill="1" applyBorder="1" applyAlignment="1">
      <alignment horizontal="right"/>
    </xf>
    <xf numFmtId="164" fontId="36" fillId="0" borderId="0" xfId="1" applyNumberFormat="1" applyFont="1" applyFill="1" applyBorder="1"/>
    <xf numFmtId="0" fontId="28" fillId="0" borderId="0" xfId="0" applyFont="1"/>
    <xf numFmtId="0" fontId="28" fillId="0" borderId="2" xfId="0" applyFont="1" applyBorder="1"/>
    <xf numFmtId="0" fontId="28" fillId="0" borderId="7" xfId="0" applyFont="1" applyBorder="1"/>
    <xf numFmtId="0" fontId="27" fillId="2" borderId="0" xfId="0" applyFont="1" applyFill="1"/>
    <xf numFmtId="0" fontId="28" fillId="2" borderId="3" xfId="0" applyFont="1" applyFill="1" applyBorder="1"/>
    <xf numFmtId="0" fontId="28" fillId="2" borderId="5" xfId="0" applyFont="1" applyFill="1" applyBorder="1"/>
    <xf numFmtId="0" fontId="38" fillId="0" borderId="0" xfId="0" applyFont="1"/>
    <xf numFmtId="0" fontId="38" fillId="0" borderId="8" xfId="0" applyFont="1" applyBorder="1"/>
    <xf numFmtId="0" fontId="38" fillId="3" borderId="9" xfId="0" applyFont="1" applyFill="1" applyBorder="1"/>
    <xf numFmtId="0" fontId="39" fillId="3" borderId="7" xfId="0" applyFont="1" applyFill="1" applyBorder="1" applyAlignment="1">
      <alignment horizontal="left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locked="0"/>
    </xf>
    <xf numFmtId="0" fontId="38" fillId="3" borderId="8" xfId="0" applyFont="1" applyFill="1" applyBorder="1" applyAlignment="1" applyProtection="1">
      <alignment horizontal="center"/>
      <protection locked="0"/>
    </xf>
    <xf numFmtId="0" fontId="38" fillId="0" borderId="10" xfId="0" applyFont="1" applyBorder="1"/>
    <xf numFmtId="0" fontId="38" fillId="0" borderId="11" xfId="0" applyFont="1" applyBorder="1"/>
    <xf numFmtId="0" fontId="38" fillId="0" borderId="12" xfId="0" applyFont="1" applyBorder="1"/>
    <xf numFmtId="0" fontId="38" fillId="0" borderId="0" xfId="0" applyFont="1" applyProtection="1">
      <protection locked="0"/>
    </xf>
    <xf numFmtId="0" fontId="38" fillId="0" borderId="7" xfId="0" applyFont="1" applyBorder="1" applyAlignment="1" applyProtection="1">
      <alignment horizontal="left" indent="1"/>
      <protection locked="0"/>
    </xf>
    <xf numFmtId="10" fontId="28" fillId="0" borderId="0" xfId="0" applyNumberFormat="1" applyFont="1" applyProtection="1">
      <protection locked="0"/>
    </xf>
    <xf numFmtId="37" fontId="38" fillId="0" borderId="0" xfId="0" applyNumberFormat="1" applyFont="1" applyProtection="1">
      <protection locked="0"/>
    </xf>
    <xf numFmtId="37" fontId="38" fillId="0" borderId="8" xfId="0" applyNumberFormat="1" applyFont="1" applyBorder="1" applyProtection="1">
      <protection locked="0"/>
    </xf>
    <xf numFmtId="0" fontId="38" fillId="0" borderId="7" xfId="0" applyFont="1" applyBorder="1" applyAlignment="1">
      <alignment horizontal="left" indent="1"/>
    </xf>
    <xf numFmtId="172" fontId="38" fillId="0" borderId="0" xfId="0" applyNumberFormat="1" applyFont="1"/>
    <xf numFmtId="37" fontId="38" fillId="0" borderId="7" xfId="0" applyNumberFormat="1" applyFont="1" applyBorder="1"/>
    <xf numFmtId="37" fontId="38" fillId="0" borderId="13" xfId="0" applyNumberFormat="1" applyFont="1" applyBorder="1" applyProtection="1">
      <protection locked="0"/>
    </xf>
    <xf numFmtId="37" fontId="38" fillId="0" borderId="0" xfId="0" applyNumberFormat="1" applyFont="1"/>
    <xf numFmtId="37" fontId="38" fillId="0" borderId="8" xfId="0" applyNumberFormat="1" applyFont="1" applyBorder="1"/>
    <xf numFmtId="0" fontId="38" fillId="0" borderId="14" xfId="0" applyFont="1" applyBorder="1" applyAlignment="1" applyProtection="1">
      <alignment horizontal="left" indent="1"/>
      <protection locked="0"/>
    </xf>
    <xf numFmtId="10" fontId="28" fillId="0" borderId="2" xfId="0" applyNumberFormat="1" applyFont="1" applyBorder="1" applyProtection="1">
      <protection locked="0"/>
    </xf>
    <xf numFmtId="10" fontId="38" fillId="0" borderId="2" xfId="0" applyNumberFormat="1" applyFont="1" applyBorder="1"/>
    <xf numFmtId="37" fontId="38" fillId="0" borderId="2" xfId="0" applyNumberFormat="1" applyFont="1" applyBorder="1" applyProtection="1">
      <protection locked="0"/>
    </xf>
    <xf numFmtId="37" fontId="38" fillId="0" borderId="15" xfId="0" applyNumberFormat="1" applyFont="1" applyBorder="1" applyProtection="1">
      <protection locked="0"/>
    </xf>
    <xf numFmtId="0" fontId="38" fillId="0" borderId="7" xfId="0" applyFont="1" applyBorder="1" applyAlignment="1">
      <alignment horizontal="left"/>
    </xf>
    <xf numFmtId="37" fontId="38" fillId="0" borderId="13" xfId="0" applyNumberFormat="1" applyFont="1" applyBorder="1"/>
    <xf numFmtId="37" fontId="38" fillId="0" borderId="16" xfId="0" applyNumberFormat="1" applyFont="1" applyBorder="1"/>
    <xf numFmtId="0" fontId="38" fillId="0" borderId="7" xfId="0" applyFont="1" applyBorder="1"/>
    <xf numFmtId="37" fontId="38" fillId="0" borderId="16" xfId="0" applyNumberFormat="1" applyFont="1" applyBorder="1" applyProtection="1">
      <protection locked="0"/>
    </xf>
    <xf numFmtId="5" fontId="28" fillId="0" borderId="2" xfId="0" applyNumberFormat="1" applyFont="1" applyBorder="1" applyProtection="1">
      <protection locked="0"/>
    </xf>
    <xf numFmtId="37" fontId="38" fillId="0" borderId="2" xfId="0" applyNumberFormat="1" applyFont="1" applyBorder="1"/>
    <xf numFmtId="37" fontId="38" fillId="0" borderId="15" xfId="0" applyNumberFormat="1" applyFont="1" applyBorder="1"/>
    <xf numFmtId="0" fontId="38" fillId="0" borderId="7" xfId="0" applyFont="1" applyBorder="1" applyAlignment="1" applyProtection="1">
      <alignment horizontal="left"/>
      <protection locked="0"/>
    </xf>
    <xf numFmtId="5" fontId="38" fillId="0" borderId="0" xfId="0" applyNumberFormat="1" applyFont="1"/>
    <xf numFmtId="0" fontId="38" fillId="0" borderId="2" xfId="0" applyFont="1" applyBorder="1"/>
    <xf numFmtId="0" fontId="28" fillId="0" borderId="7" xfId="0" applyFont="1" applyBorder="1" applyAlignment="1" applyProtection="1">
      <alignment horizontal="left"/>
      <protection locked="0"/>
    </xf>
    <xf numFmtId="10" fontId="28" fillId="0" borderId="0" xfId="5" applyNumberFormat="1" applyFont="1" applyFill="1" applyBorder="1"/>
    <xf numFmtId="37" fontId="28" fillId="0" borderId="0" xfId="0" applyNumberFormat="1" applyFont="1"/>
    <xf numFmtId="37" fontId="28" fillId="0" borderId="8" xfId="0" applyNumberFormat="1" applyFont="1" applyBorder="1"/>
    <xf numFmtId="0" fontId="40" fillId="0" borderId="7" xfId="0" applyFont="1" applyBorder="1" applyAlignment="1" applyProtection="1">
      <alignment horizontal="left"/>
      <protection locked="0"/>
    </xf>
    <xf numFmtId="0" fontId="40" fillId="0" borderId="0" xfId="0" applyFont="1"/>
    <xf numFmtId="37" fontId="40" fillId="0" borderId="0" xfId="0" applyNumberFormat="1" applyFont="1"/>
    <xf numFmtId="0" fontId="38" fillId="0" borderId="4" xfId="0" applyFont="1" applyBorder="1" applyAlignment="1" applyProtection="1">
      <alignment horizontal="left"/>
      <protection locked="0"/>
    </xf>
    <xf numFmtId="0" fontId="38" fillId="0" borderId="3" xfId="0" applyFont="1" applyBorder="1"/>
    <xf numFmtId="39" fontId="38" fillId="0" borderId="3" xfId="0" applyNumberFormat="1" applyFont="1" applyBorder="1"/>
    <xf numFmtId="0" fontId="38" fillId="0" borderId="10" xfId="0" applyFont="1" applyBorder="1" applyProtection="1">
      <protection locked="0"/>
    </xf>
    <xf numFmtId="0" fontId="38" fillId="0" borderId="11" xfId="0" applyFont="1" applyBorder="1" applyAlignment="1" applyProtection="1">
      <alignment horizontal="left"/>
      <protection locked="0"/>
    </xf>
    <xf numFmtId="37" fontId="38" fillId="0" borderId="10" xfId="0" applyNumberFormat="1" applyFont="1" applyBorder="1"/>
    <xf numFmtId="37" fontId="38" fillId="0" borderId="12" xfId="0" applyNumberFormat="1" applyFont="1" applyBorder="1"/>
    <xf numFmtId="0" fontId="28" fillId="0" borderId="0" xfId="0" applyFont="1" applyAlignment="1" applyProtection="1">
      <alignment horizontal="left"/>
      <protection locked="0"/>
    </xf>
    <xf numFmtId="0" fontId="38" fillId="0" borderId="0" xfId="0" applyFont="1" applyAlignment="1" applyProtection="1">
      <alignment horizontal="left"/>
      <protection locked="0"/>
    </xf>
    <xf numFmtId="37" fontId="38" fillId="0" borderId="0" xfId="0" applyNumberFormat="1" applyFont="1" applyAlignment="1" applyProtection="1">
      <alignment horizontal="right"/>
      <protection locked="0"/>
    </xf>
    <xf numFmtId="37" fontId="38" fillId="0" borderId="8" xfId="0" applyNumberFormat="1" applyFont="1" applyBorder="1" applyAlignment="1" applyProtection="1">
      <alignment horizontal="right"/>
      <protection locked="0"/>
    </xf>
    <xf numFmtId="10" fontId="38" fillId="0" borderId="0" xfId="5" applyNumberFormat="1" applyFont="1" applyFill="1" applyBorder="1"/>
    <xf numFmtId="0" fontId="38" fillId="0" borderId="14" xfId="0" applyFont="1" applyBorder="1" applyAlignment="1" applyProtection="1">
      <alignment horizontal="left"/>
      <protection locked="0"/>
    </xf>
    <xf numFmtId="10" fontId="38" fillId="0" borderId="2" xfId="5" applyNumberFormat="1" applyFont="1" applyFill="1" applyBorder="1"/>
    <xf numFmtId="0" fontId="40" fillId="0" borderId="0" xfId="0" applyFont="1" applyProtection="1">
      <protection locked="0"/>
    </xf>
    <xf numFmtId="0" fontId="40" fillId="0" borderId="0" xfId="0" applyFont="1" applyAlignment="1" applyProtection="1">
      <alignment horizontal="left"/>
      <protection locked="0"/>
    </xf>
    <xf numFmtId="10" fontId="40" fillId="0" borderId="0" xfId="5" applyNumberFormat="1" applyFont="1" applyFill="1" applyBorder="1"/>
    <xf numFmtId="37" fontId="40" fillId="0" borderId="0" xfId="0" applyNumberFormat="1" applyFont="1" applyAlignment="1" applyProtection="1">
      <alignment horizontal="right"/>
      <protection locked="0"/>
    </xf>
    <xf numFmtId="0" fontId="27" fillId="0" borderId="0" xfId="0" applyFont="1"/>
    <xf numFmtId="0" fontId="28" fillId="0" borderId="0" xfId="0" applyFont="1" applyAlignment="1">
      <alignment horizontal="right"/>
    </xf>
    <xf numFmtId="165" fontId="38" fillId="0" borderId="0" xfId="5" applyNumberFormat="1" applyFont="1" applyBorder="1"/>
    <xf numFmtId="164" fontId="40" fillId="0" borderId="0" xfId="6" applyNumberFormat="1" applyFont="1" applyBorder="1"/>
    <xf numFmtId="10" fontId="40" fillId="0" borderId="0" xfId="3" applyNumberFormat="1" applyFont="1" applyBorder="1" applyProtection="1"/>
    <xf numFmtId="164" fontId="38" fillId="0" borderId="0" xfId="6" applyNumberFormat="1" applyFont="1" applyBorder="1"/>
    <xf numFmtId="169" fontId="26" fillId="0" borderId="0" xfId="2" applyNumberFormat="1" applyFont="1" applyFill="1" applyBorder="1" applyAlignment="1">
      <alignment horizontal="right"/>
    </xf>
    <xf numFmtId="168" fontId="26" fillId="0" borderId="0" xfId="1" applyNumberFormat="1" applyFont="1" applyFill="1" applyBorder="1"/>
    <xf numFmtId="0" fontId="26" fillId="0" borderId="6" xfId="0" applyFont="1" applyBorder="1" applyAlignment="1">
      <alignment horizontal="left" indent="1"/>
    </xf>
    <xf numFmtId="43" fontId="0" fillId="0" borderId="0" xfId="0" applyNumberFormat="1"/>
    <xf numFmtId="0" fontId="26" fillId="4" borderId="0" xfId="0" applyFont="1" applyFill="1" applyAlignment="1">
      <alignment horizontal="left" indent="2"/>
    </xf>
    <xf numFmtId="164" fontId="26" fillId="4" borderId="0" xfId="1" applyNumberFormat="1" applyFont="1" applyFill="1" applyBorder="1"/>
    <xf numFmtId="0" fontId="36" fillId="0" borderId="0" xfId="0" applyFont="1" applyAlignment="1">
      <alignment horizontal="right"/>
    </xf>
    <xf numFmtId="0" fontId="41" fillId="4" borderId="0" xfId="0" applyFont="1" applyFill="1"/>
    <xf numFmtId="0" fontId="41" fillId="4" borderId="0" xfId="0" applyFont="1" applyFill="1" applyAlignment="1">
      <alignment horizontal="left"/>
    </xf>
    <xf numFmtId="0" fontId="28" fillId="2" borderId="0" xfId="0" applyFont="1" applyFill="1"/>
    <xf numFmtId="0" fontId="28" fillId="2" borderId="8" xfId="0" applyFont="1" applyFill="1" applyBorder="1"/>
    <xf numFmtId="0" fontId="42" fillId="2" borderId="7" xfId="0" applyFont="1" applyFill="1" applyBorder="1"/>
    <xf numFmtId="0" fontId="43" fillId="0" borderId="0" xfId="0" applyFont="1"/>
    <xf numFmtId="0" fontId="44" fillId="2" borderId="4" xfId="0" applyFont="1" applyFill="1" applyBorder="1"/>
    <xf numFmtId="0" fontId="45" fillId="0" borderId="0" xfId="0" applyFont="1"/>
    <xf numFmtId="164" fontId="26" fillId="0" borderId="0" xfId="0" applyNumberFormat="1" applyFont="1"/>
    <xf numFmtId="37" fontId="40" fillId="0" borderId="8" xfId="0" applyNumberFormat="1" applyFont="1" applyBorder="1"/>
    <xf numFmtId="39" fontId="38" fillId="0" borderId="5" xfId="0" applyNumberFormat="1" applyFont="1" applyBorder="1"/>
    <xf numFmtId="164" fontId="26" fillId="0" borderId="0" xfId="1" applyNumberFormat="1" applyFont="1" applyBorder="1"/>
    <xf numFmtId="0" fontId="26" fillId="0" borderId="0" xfId="0" applyFont="1" applyAlignment="1">
      <alignment horizontal="right"/>
    </xf>
    <xf numFmtId="0" fontId="18" fillId="0" borderId="0" xfId="0" applyFont="1"/>
    <xf numFmtId="0" fontId="48" fillId="3" borderId="2" xfId="0" applyFont="1" applyFill="1" applyBorder="1" applyAlignment="1" applyProtection="1">
      <alignment horizontal="left"/>
      <protection locked="0"/>
    </xf>
    <xf numFmtId="0" fontId="47" fillId="3" borderId="2" xfId="0" applyFont="1" applyFill="1" applyBorder="1" applyAlignment="1" applyProtection="1">
      <alignment horizontal="left"/>
      <protection locked="0"/>
    </xf>
    <xf numFmtId="0" fontId="49" fillId="0" borderId="0" xfId="0" applyFont="1" applyProtection="1">
      <protection locked="0"/>
    </xf>
    <xf numFmtId="0" fontId="49" fillId="0" borderId="0" xfId="0" applyFont="1" applyAlignment="1" applyProtection="1">
      <alignment horizontal="left"/>
      <protection locked="0"/>
    </xf>
    <xf numFmtId="0" fontId="50" fillId="0" borderId="19" xfId="0" applyFont="1" applyBorder="1" applyAlignment="1" applyProtection="1">
      <alignment horizontal="left"/>
      <protection locked="0"/>
    </xf>
    <xf numFmtId="0" fontId="50" fillId="0" borderId="19" xfId="0" applyFont="1" applyBorder="1" applyProtection="1">
      <protection locked="0"/>
    </xf>
    <xf numFmtId="0" fontId="52" fillId="0" borderId="19" xfId="0" applyFont="1" applyBorder="1" applyProtection="1">
      <protection locked="0"/>
    </xf>
    <xf numFmtId="0" fontId="52" fillId="0" borderId="18" xfId="0" applyFont="1" applyBorder="1" applyProtection="1">
      <protection locked="0"/>
    </xf>
    <xf numFmtId="0" fontId="53" fillId="0" borderId="0" xfId="0" applyFont="1" applyProtection="1">
      <protection locked="0"/>
    </xf>
    <xf numFmtId="0" fontId="42" fillId="0" borderId="0" xfId="0" applyFont="1" applyProtection="1">
      <protection locked="0"/>
    </xf>
    <xf numFmtId="0" fontId="53" fillId="0" borderId="0" xfId="0" applyFont="1" applyAlignment="1" applyProtection="1">
      <alignment horizontal="left"/>
      <protection locked="0"/>
    </xf>
    <xf numFmtId="0" fontId="49" fillId="0" borderId="0" xfId="0" applyFont="1" applyAlignment="1">
      <alignment horizontal="left"/>
    </xf>
    <xf numFmtId="5" fontId="31" fillId="0" borderId="0" xfId="0" applyNumberFormat="1" applyFont="1" applyAlignment="1">
      <alignment horizontal="left"/>
    </xf>
    <xf numFmtId="37" fontId="49" fillId="0" borderId="0" xfId="0" applyNumberFormat="1" applyFont="1" applyAlignment="1" applyProtection="1">
      <alignment horizontal="left"/>
      <protection locked="0"/>
    </xf>
    <xf numFmtId="164" fontId="51" fillId="0" borderId="19" xfId="0" applyNumberFormat="1" applyFont="1" applyBorder="1" applyAlignment="1" applyProtection="1">
      <alignment horizontal="left"/>
      <protection locked="0"/>
    </xf>
    <xf numFmtId="164" fontId="51" fillId="0" borderId="19" xfId="0" applyNumberFormat="1" applyFont="1" applyBorder="1" applyProtection="1">
      <protection locked="0"/>
    </xf>
    <xf numFmtId="0" fontId="46" fillId="0" borderId="0" xfId="0" applyFont="1" applyAlignment="1">
      <alignment horizontal="centerContinuous"/>
    </xf>
    <xf numFmtId="164" fontId="26" fillId="0" borderId="0" xfId="1" applyNumberFormat="1" applyFont="1" applyBorder="1" applyAlignment="1">
      <alignment horizontal="centerContinuous"/>
    </xf>
    <xf numFmtId="0" fontId="26" fillId="0" borderId="0" xfId="0" applyFont="1" applyAlignment="1">
      <alignment horizontal="centerContinuous"/>
    </xf>
    <xf numFmtId="0" fontId="50" fillId="3" borderId="2" xfId="0" applyFont="1" applyFill="1" applyBorder="1" applyAlignment="1" applyProtection="1">
      <alignment horizontal="center"/>
      <protection locked="0"/>
    </xf>
    <xf numFmtId="0" fontId="30" fillId="0" borderId="20" xfId="0" applyFont="1" applyBorder="1"/>
    <xf numFmtId="0" fontId="49" fillId="0" borderId="7" xfId="0" applyFont="1" applyBorder="1" applyProtection="1">
      <protection locked="0"/>
    </xf>
    <xf numFmtId="0" fontId="50" fillId="0" borderId="7" xfId="0" applyFont="1" applyBorder="1" applyAlignment="1" applyProtection="1">
      <alignment horizontal="left"/>
      <protection locked="0"/>
    </xf>
    <xf numFmtId="0" fontId="30" fillId="0" borderId="7" xfId="0" applyFont="1" applyBorder="1"/>
    <xf numFmtId="0" fontId="50" fillId="3" borderId="15" xfId="0" applyFont="1" applyFill="1" applyBorder="1" applyAlignment="1" applyProtection="1">
      <alignment horizontal="center"/>
      <protection locked="0"/>
    </xf>
    <xf numFmtId="164" fontId="51" fillId="0" borderId="21" xfId="0" applyNumberFormat="1" applyFont="1" applyBorder="1" applyAlignment="1" applyProtection="1">
      <alignment horizontal="left"/>
      <protection locked="0"/>
    </xf>
    <xf numFmtId="0" fontId="52" fillId="3" borderId="14" xfId="0" applyFont="1" applyFill="1" applyBorder="1" applyAlignment="1" applyProtection="1">
      <alignment horizontal="left"/>
      <protection locked="0"/>
    </xf>
    <xf numFmtId="0" fontId="53" fillId="0" borderId="7" xfId="0" applyFont="1" applyBorder="1"/>
    <xf numFmtId="164" fontId="26" fillId="0" borderId="8" xfId="0" applyNumberFormat="1" applyFont="1" applyBorder="1"/>
    <xf numFmtId="0" fontId="26" fillId="0" borderId="8" xfId="0" applyFont="1" applyBorder="1"/>
    <xf numFmtId="164" fontId="51" fillId="0" borderId="21" xfId="0" applyNumberFormat="1" applyFont="1" applyBorder="1" applyProtection="1">
      <protection locked="0"/>
    </xf>
    <xf numFmtId="0" fontId="48" fillId="3" borderId="20" xfId="0" applyFont="1" applyFill="1" applyBorder="1" applyAlignment="1" applyProtection="1">
      <alignment horizontal="left"/>
      <protection locked="0"/>
    </xf>
    <xf numFmtId="0" fontId="48" fillId="3" borderId="22" xfId="0" applyFont="1" applyFill="1" applyBorder="1" applyAlignment="1" applyProtection="1">
      <alignment horizontal="left"/>
      <protection locked="0"/>
    </xf>
    <xf numFmtId="0" fontId="48" fillId="3" borderId="17" xfId="0" applyFont="1" applyFill="1" applyBorder="1" applyAlignment="1" applyProtection="1">
      <alignment horizontal="left"/>
      <protection locked="0"/>
    </xf>
    <xf numFmtId="0" fontId="47" fillId="3" borderId="20" xfId="0" applyFont="1" applyFill="1" applyBorder="1" applyAlignment="1" applyProtection="1">
      <alignment horizontal="left"/>
      <protection locked="0"/>
    </xf>
    <xf numFmtId="0" fontId="47" fillId="3" borderId="22" xfId="0" applyFont="1" applyFill="1" applyBorder="1" applyAlignment="1" applyProtection="1">
      <alignment horizontal="left"/>
      <protection locked="0"/>
    </xf>
    <xf numFmtId="0" fontId="54" fillId="0" borderId="0" xfId="0" applyFont="1"/>
    <xf numFmtId="0" fontId="55" fillId="0" borderId="16" xfId="0" applyFont="1" applyBorder="1"/>
    <xf numFmtId="0" fontId="55" fillId="0" borderId="0" xfId="0" applyFont="1"/>
    <xf numFmtId="0" fontId="55" fillId="0" borderId="16" xfId="0" applyFont="1" applyBorder="1" applyProtection="1">
      <protection locked="0"/>
    </xf>
    <xf numFmtId="0" fontId="55" fillId="0" borderId="25" xfId="0" applyFont="1" applyBorder="1" applyAlignment="1" applyProtection="1">
      <alignment horizontal="right"/>
      <protection locked="0"/>
    </xf>
    <xf numFmtId="9" fontId="55" fillId="0" borderId="23" xfId="0" applyNumberFormat="1" applyFont="1" applyBorder="1" applyAlignment="1" applyProtection="1">
      <alignment horizontal="right"/>
      <protection locked="0"/>
    </xf>
    <xf numFmtId="9" fontId="55" fillId="0" borderId="26" xfId="0" applyNumberFormat="1" applyFont="1" applyBorder="1" applyAlignment="1" applyProtection="1">
      <alignment horizontal="right"/>
      <protection locked="0"/>
    </xf>
    <xf numFmtId="0" fontId="54" fillId="0" borderId="26" xfId="0" applyFont="1" applyBorder="1" applyAlignment="1">
      <alignment horizontal="right"/>
    </xf>
    <xf numFmtId="0" fontId="55" fillId="0" borderId="0" xfId="0" applyFont="1" applyAlignment="1" applyProtection="1">
      <alignment horizontal="left"/>
      <protection locked="0"/>
    </xf>
    <xf numFmtId="38" fontId="54" fillId="0" borderId="0" xfId="0" applyNumberFormat="1" applyFont="1"/>
    <xf numFmtId="37" fontId="55" fillId="0" borderId="0" xfId="7" applyNumberFormat="1" applyFont="1" applyFill="1" applyBorder="1" applyAlignment="1" applyProtection="1">
      <alignment horizontal="right"/>
      <protection locked="0"/>
    </xf>
    <xf numFmtId="164" fontId="55" fillId="0" borderId="16" xfId="6" applyNumberFormat="1" applyFont="1" applyFill="1" applyBorder="1" applyAlignment="1" applyProtection="1">
      <alignment horizontal="right"/>
      <protection locked="0"/>
    </xf>
    <xf numFmtId="164" fontId="54" fillId="0" borderId="16" xfId="6" applyNumberFormat="1" applyFont="1" applyFill="1" applyBorder="1"/>
    <xf numFmtId="37" fontId="55" fillId="0" borderId="13" xfId="7" applyNumberFormat="1" applyFont="1" applyFill="1" applyBorder="1"/>
    <xf numFmtId="164" fontId="54" fillId="0" borderId="16" xfId="6" applyNumberFormat="1" applyFont="1" applyFill="1" applyBorder="1" applyAlignment="1" applyProtection="1">
      <alignment horizontal="right"/>
      <protection locked="0"/>
    </xf>
    <xf numFmtId="5" fontId="55" fillId="0" borderId="8" xfId="0" applyNumberFormat="1" applyFont="1" applyBorder="1" applyProtection="1">
      <protection locked="0"/>
    </xf>
    <xf numFmtId="164" fontId="55" fillId="0" borderId="16" xfId="6" applyNumberFormat="1" applyFont="1" applyFill="1" applyBorder="1" applyProtection="1">
      <protection locked="0"/>
    </xf>
    <xf numFmtId="37" fontId="55" fillId="0" borderId="13" xfId="7" applyNumberFormat="1" applyFont="1" applyFill="1" applyBorder="1" applyAlignment="1" applyProtection="1">
      <alignment horizontal="right"/>
      <protection locked="0"/>
    </xf>
    <xf numFmtId="164" fontId="55" fillId="0" borderId="26" xfId="6" applyNumberFormat="1" applyFont="1" applyFill="1" applyBorder="1" applyAlignment="1" applyProtection="1">
      <alignment horizontal="right"/>
      <protection locked="0"/>
    </xf>
    <xf numFmtId="164" fontId="54" fillId="0" borderId="26" xfId="6" applyNumberFormat="1" applyFont="1" applyFill="1" applyBorder="1"/>
    <xf numFmtId="0" fontId="54" fillId="0" borderId="30" xfId="0" applyFont="1" applyBorder="1"/>
    <xf numFmtId="0" fontId="54" fillId="0" borderId="0" xfId="0" applyFont="1" applyAlignment="1">
      <alignment horizontal="center"/>
    </xf>
    <xf numFmtId="0" fontId="55" fillId="0" borderId="0" xfId="0" applyFont="1" applyProtection="1">
      <protection locked="0"/>
    </xf>
    <xf numFmtId="37" fontId="55" fillId="0" borderId="16" xfId="7" applyNumberFormat="1" applyFont="1" applyFill="1" applyBorder="1" applyAlignment="1" applyProtection="1">
      <alignment horizontal="right"/>
      <protection locked="0"/>
    </xf>
    <xf numFmtId="37" fontId="54" fillId="0" borderId="16" xfId="0" applyNumberFormat="1" applyFont="1" applyBorder="1"/>
    <xf numFmtId="0" fontId="54" fillId="0" borderId="8" xfId="0" applyFont="1" applyBorder="1"/>
    <xf numFmtId="0" fontId="54" fillId="0" borderId="13" xfId="0" applyFont="1" applyBorder="1" applyAlignment="1">
      <alignment horizontal="center"/>
    </xf>
    <xf numFmtId="5" fontId="55" fillId="0" borderId="0" xfId="0" applyNumberFormat="1" applyFont="1" applyProtection="1">
      <protection locked="0"/>
    </xf>
    <xf numFmtId="0" fontId="54" fillId="0" borderId="16" xfId="0" applyFont="1" applyBorder="1"/>
    <xf numFmtId="17" fontId="54" fillId="0" borderId="13" xfId="0" applyNumberFormat="1" applyFont="1" applyBorder="1"/>
    <xf numFmtId="17" fontId="61" fillId="0" borderId="8" xfId="0" applyNumberFormat="1" applyFont="1" applyBorder="1"/>
    <xf numFmtId="0" fontId="59" fillId="0" borderId="8" xfId="0" applyFont="1" applyBorder="1" applyAlignment="1">
      <alignment horizontal="right"/>
    </xf>
    <xf numFmtId="17" fontId="59" fillId="0" borderId="8" xfId="0" applyNumberFormat="1" applyFont="1" applyBorder="1" applyAlignment="1">
      <alignment horizontal="right"/>
    </xf>
    <xf numFmtId="0" fontId="54" fillId="0" borderId="0" xfId="0" applyFont="1" applyAlignment="1">
      <alignment horizontal="left" indent="1"/>
    </xf>
    <xf numFmtId="9" fontId="54" fillId="0" borderId="0" xfId="5" applyFont="1" applyFill="1" applyBorder="1" applyAlignment="1">
      <alignment horizontal="left" indent="1"/>
    </xf>
    <xf numFmtId="0" fontId="55" fillId="0" borderId="10" xfId="0" applyFont="1" applyBorder="1" applyAlignment="1" applyProtection="1">
      <alignment horizontal="right"/>
      <protection locked="0"/>
    </xf>
    <xf numFmtId="0" fontId="55" fillId="0" borderId="0" xfId="0" applyFont="1" applyAlignment="1">
      <alignment horizontal="center"/>
    </xf>
    <xf numFmtId="0" fontId="55" fillId="0" borderId="0" xfId="0" applyFont="1" applyAlignment="1" applyProtection="1">
      <alignment horizontal="center"/>
      <protection locked="0"/>
    </xf>
    <xf numFmtId="37" fontId="55" fillId="0" borderId="0" xfId="0" applyNumberFormat="1" applyFont="1" applyProtection="1">
      <protection locked="0"/>
    </xf>
    <xf numFmtId="37" fontId="55" fillId="0" borderId="0" xfId="0" applyNumberFormat="1" applyFont="1" applyAlignment="1">
      <alignment horizontal="center"/>
    </xf>
    <xf numFmtId="0" fontId="55" fillId="0" borderId="28" xfId="0" applyFont="1" applyBorder="1"/>
    <xf numFmtId="0" fontId="60" fillId="0" borderId="28" xfId="0" applyFont="1" applyBorder="1"/>
    <xf numFmtId="37" fontId="55" fillId="0" borderId="28" xfId="0" applyNumberFormat="1" applyFont="1" applyBorder="1"/>
    <xf numFmtId="0" fontId="55" fillId="0" borderId="0" xfId="0" applyFont="1" applyAlignment="1" applyProtection="1">
      <alignment horizontal="right"/>
      <protection locked="0"/>
    </xf>
    <xf numFmtId="3" fontId="55" fillId="0" borderId="0" xfId="0" applyNumberFormat="1" applyFont="1"/>
    <xf numFmtId="37" fontId="55" fillId="0" borderId="10" xfId="0" applyNumberFormat="1" applyFont="1" applyBorder="1"/>
    <xf numFmtId="0" fontId="55" fillId="0" borderId="10" xfId="0" applyFont="1" applyBorder="1"/>
    <xf numFmtId="3" fontId="55" fillId="0" borderId="0" xfId="0" applyNumberFormat="1" applyFont="1" applyAlignment="1" applyProtection="1">
      <alignment horizontal="right"/>
      <protection locked="0"/>
    </xf>
    <xf numFmtId="3" fontId="55" fillId="0" borderId="0" xfId="0" applyNumberFormat="1" applyFont="1" applyAlignment="1">
      <alignment horizontal="center"/>
    </xf>
    <xf numFmtId="3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Protection="1">
      <protection locked="0"/>
    </xf>
    <xf numFmtId="0" fontId="60" fillId="0" borderId="10" xfId="0" applyFont="1" applyBorder="1" applyAlignment="1">
      <alignment horizontal="left"/>
    </xf>
    <xf numFmtId="0" fontId="60" fillId="0" borderId="10" xfId="0" applyFont="1" applyBorder="1"/>
    <xf numFmtId="3" fontId="55" fillId="0" borderId="10" xfId="0" applyNumberFormat="1" applyFont="1" applyBorder="1"/>
    <xf numFmtId="0" fontId="55" fillId="0" borderId="10" xfId="0" applyFont="1" applyBorder="1" applyAlignment="1">
      <alignment horizontal="left"/>
    </xf>
    <xf numFmtId="0" fontId="54" fillId="0" borderId="0" xfId="0" applyFont="1" applyProtection="1">
      <protection locked="0"/>
    </xf>
    <xf numFmtId="0" fontId="60" fillId="0" borderId="28" xfId="0" applyFont="1" applyBorder="1" applyAlignment="1" applyProtection="1">
      <alignment horizontal="left"/>
      <protection locked="0"/>
    </xf>
    <xf numFmtId="0" fontId="60" fillId="0" borderId="28" xfId="0" applyFont="1" applyBorder="1" applyProtection="1">
      <protection locked="0"/>
    </xf>
    <xf numFmtId="0" fontId="55" fillId="0" borderId="28" xfId="0" applyFont="1" applyBorder="1" applyProtection="1">
      <protection locked="0"/>
    </xf>
    <xf numFmtId="37" fontId="55" fillId="0" borderId="28" xfId="0" applyNumberFormat="1" applyFont="1" applyBorder="1" applyProtection="1">
      <protection locked="0"/>
    </xf>
    <xf numFmtId="5" fontId="60" fillId="0" borderId="28" xfId="0" applyNumberFormat="1" applyFont="1" applyBorder="1" applyProtection="1">
      <protection locked="0"/>
    </xf>
    <xf numFmtId="0" fontId="55" fillId="0" borderId="4" xfId="0" applyFont="1" applyBorder="1"/>
    <xf numFmtId="0" fontId="56" fillId="0" borderId="3" xfId="0" applyFont="1" applyBorder="1"/>
    <xf numFmtId="37" fontId="55" fillId="0" borderId="3" xfId="0" applyNumberFormat="1" applyFont="1" applyBorder="1"/>
    <xf numFmtId="37" fontId="57" fillId="0" borderId="3" xfId="0" applyNumberFormat="1" applyFont="1" applyBorder="1"/>
    <xf numFmtId="0" fontId="57" fillId="0" borderId="3" xfId="0" applyFont="1" applyBorder="1"/>
    <xf numFmtId="0" fontId="57" fillId="0" borderId="5" xfId="0" applyFont="1" applyBorder="1"/>
    <xf numFmtId="0" fontId="58" fillId="0" borderId="7" xfId="0" applyFont="1" applyBorder="1"/>
    <xf numFmtId="0" fontId="54" fillId="0" borderId="11" xfId="0" applyFont="1" applyBorder="1"/>
    <xf numFmtId="0" fontId="55" fillId="0" borderId="12" xfId="0" applyFont="1" applyBorder="1"/>
    <xf numFmtId="0" fontId="59" fillId="0" borderId="10" xfId="0" applyFont="1" applyBorder="1"/>
    <xf numFmtId="0" fontId="55" fillId="0" borderId="23" xfId="0" applyFont="1" applyBorder="1"/>
    <xf numFmtId="0" fontId="59" fillId="0" borderId="24" xfId="0" applyFont="1" applyBorder="1"/>
    <xf numFmtId="0" fontId="54" fillId="0" borderId="10" xfId="0" applyFont="1" applyBorder="1"/>
    <xf numFmtId="0" fontId="54" fillId="0" borderId="10" xfId="0" applyFont="1" applyBorder="1" applyAlignment="1">
      <alignment horizontal="right"/>
    </xf>
    <xf numFmtId="0" fontId="54" fillId="0" borderId="25" xfId="0" applyFont="1" applyBorder="1" applyAlignment="1">
      <alignment horizontal="right"/>
    </xf>
    <xf numFmtId="0" fontId="54" fillId="0" borderId="12" xfId="0" applyFont="1" applyBorder="1" applyAlignment="1">
      <alignment horizontal="right"/>
    </xf>
    <xf numFmtId="9" fontId="54" fillId="0" borderId="0" xfId="5" applyFont="1" applyFill="1" applyBorder="1"/>
    <xf numFmtId="6" fontId="54" fillId="0" borderId="0" xfId="0" applyNumberFormat="1" applyFont="1"/>
    <xf numFmtId="0" fontId="54" fillId="0" borderId="28" xfId="0" applyFont="1" applyBorder="1"/>
    <xf numFmtId="38" fontId="54" fillId="0" borderId="28" xfId="0" applyNumberFormat="1" applyFont="1" applyBorder="1"/>
    <xf numFmtId="9" fontId="54" fillId="0" borderId="28" xfId="0" applyNumberFormat="1" applyFont="1" applyBorder="1"/>
    <xf numFmtId="9" fontId="54" fillId="0" borderId="0" xfId="0" applyNumberFormat="1" applyFont="1"/>
    <xf numFmtId="37" fontId="54" fillId="0" borderId="0" xfId="0" applyNumberFormat="1" applyFont="1"/>
    <xf numFmtId="5" fontId="54" fillId="0" borderId="0" xfId="0" applyNumberFormat="1" applyFont="1"/>
    <xf numFmtId="0" fontId="62" fillId="0" borderId="0" xfId="0" applyFont="1"/>
    <xf numFmtId="2" fontId="54" fillId="0" borderId="0" xfId="0" applyNumberFormat="1" applyFont="1"/>
    <xf numFmtId="0" fontId="58" fillId="0" borderId="0" xfId="0" applyFont="1"/>
    <xf numFmtId="0" fontId="54" fillId="0" borderId="27" xfId="0" applyFont="1" applyBorder="1"/>
    <xf numFmtId="0" fontId="64" fillId="0" borderId="7" xfId="0" applyFont="1" applyBorder="1" applyProtection="1">
      <protection locked="0"/>
    </xf>
    <xf numFmtId="0" fontId="54" fillId="0" borderId="8" xfId="0" applyFont="1" applyBorder="1" applyAlignment="1">
      <alignment horizontal="center"/>
    </xf>
    <xf numFmtId="5" fontId="54" fillId="0" borderId="8" xfId="0" applyNumberFormat="1" applyFont="1" applyBorder="1"/>
    <xf numFmtId="37" fontId="54" fillId="0" borderId="28" xfId="0" applyNumberFormat="1" applyFont="1" applyBorder="1"/>
    <xf numFmtId="5" fontId="54" fillId="0" borderId="29" xfId="0" applyNumberFormat="1" applyFont="1" applyBorder="1"/>
    <xf numFmtId="0" fontId="54" fillId="0" borderId="7" xfId="0" applyFont="1" applyBorder="1"/>
    <xf numFmtId="37" fontId="54" fillId="0" borderId="10" xfId="0" applyNumberFormat="1" applyFont="1" applyBorder="1"/>
    <xf numFmtId="5" fontId="54" fillId="0" borderId="12" xfId="0" applyNumberFormat="1" applyFont="1" applyBorder="1"/>
    <xf numFmtId="3" fontId="54" fillId="0" borderId="0" xfId="0" applyNumberFormat="1" applyFont="1"/>
    <xf numFmtId="9" fontId="54" fillId="0" borderId="0" xfId="5" applyFont="1" applyFill="1"/>
    <xf numFmtId="0" fontId="54" fillId="0" borderId="4" xfId="0" applyFont="1" applyBorder="1"/>
    <xf numFmtId="0" fontId="55" fillId="0" borderId="3" xfId="0" applyFont="1" applyBorder="1"/>
    <xf numFmtId="37" fontId="54" fillId="0" borderId="3" xfId="0" applyNumberFormat="1" applyFont="1" applyBorder="1"/>
    <xf numFmtId="5" fontId="54" fillId="0" borderId="5" xfId="0" applyNumberFormat="1" applyFont="1" applyBorder="1"/>
    <xf numFmtId="0" fontId="63" fillId="0" borderId="27" xfId="0" applyFont="1" applyBorder="1" applyProtection="1">
      <protection locked="0"/>
    </xf>
    <xf numFmtId="0" fontId="60" fillId="0" borderId="14" xfId="0" applyFont="1" applyBorder="1" applyProtection="1">
      <protection locked="0"/>
    </xf>
    <xf numFmtId="0" fontId="54" fillId="0" borderId="31" xfId="0" applyFont="1" applyBorder="1"/>
    <xf numFmtId="0" fontId="54" fillId="0" borderId="32" xfId="0" applyFont="1" applyBorder="1"/>
    <xf numFmtId="169" fontId="55" fillId="0" borderId="0" xfId="1" applyNumberFormat="1" applyFont="1" applyFill="1" applyBorder="1" applyProtection="1">
      <protection locked="0"/>
    </xf>
    <xf numFmtId="3" fontId="60" fillId="0" borderId="0" xfId="0" applyNumberFormat="1" applyFont="1"/>
    <xf numFmtId="3" fontId="60" fillId="0" borderId="10" xfId="0" applyNumberFormat="1" applyFont="1" applyBorder="1"/>
    <xf numFmtId="3" fontId="60" fillId="0" borderId="10" xfId="0" applyNumberFormat="1" applyFont="1" applyBorder="1" applyAlignment="1">
      <alignment horizontal="left"/>
    </xf>
    <xf numFmtId="3" fontId="60" fillId="0" borderId="0" xfId="0" applyNumberFormat="1" applyFont="1" applyAlignment="1">
      <alignment horizontal="left"/>
    </xf>
    <xf numFmtId="0" fontId="58" fillId="0" borderId="28" xfId="0" applyFont="1" applyBorder="1" applyAlignment="1">
      <alignment horizontal="left"/>
    </xf>
    <xf numFmtId="9" fontId="65" fillId="0" borderId="3" xfId="5" quotePrefix="1" applyFont="1" applyFill="1" applyBorder="1"/>
    <xf numFmtId="0" fontId="60" fillId="0" borderId="3" xfId="0" applyFont="1" applyBorder="1"/>
    <xf numFmtId="3" fontId="60" fillId="0" borderId="3" xfId="0" applyNumberFormat="1" applyFont="1" applyBorder="1"/>
    <xf numFmtId="3" fontId="55" fillId="0" borderId="3" xfId="0" applyNumberFormat="1" applyFont="1" applyBorder="1"/>
    <xf numFmtId="10" fontId="0" fillId="0" borderId="0" xfId="0" applyNumberFormat="1"/>
    <xf numFmtId="9" fontId="0" fillId="0" borderId="6" xfId="0" applyNumberFormat="1" applyBorder="1"/>
    <xf numFmtId="0" fontId="38" fillId="0" borderId="14" xfId="0" applyFont="1" applyBorder="1" applyAlignment="1">
      <alignment horizontal="left" indent="1"/>
    </xf>
    <xf numFmtId="0" fontId="38" fillId="0" borderId="7" xfId="0" applyFont="1" applyBorder="1" applyProtection="1">
      <protection locked="0"/>
    </xf>
    <xf numFmtId="37" fontId="38" fillId="0" borderId="17" xfId="0" applyNumberFormat="1" applyFont="1" applyBorder="1"/>
    <xf numFmtId="9" fontId="38" fillId="0" borderId="0" xfId="3" applyFont="1" applyFill="1" applyBorder="1" applyProtection="1"/>
    <xf numFmtId="9" fontId="28" fillId="0" borderId="2" xfId="3" applyFont="1" applyFill="1" applyBorder="1"/>
    <xf numFmtId="10" fontId="54" fillId="0" borderId="0" xfId="3" applyNumberFormat="1" applyFont="1" applyFill="1"/>
    <xf numFmtId="43" fontId="0" fillId="0" borderId="0" xfId="1" applyFont="1"/>
    <xf numFmtId="6" fontId="58" fillId="0" borderId="0" xfId="0" applyNumberFormat="1" applyFont="1"/>
    <xf numFmtId="0" fontId="54" fillId="0" borderId="2" xfId="0" applyFont="1" applyBorder="1"/>
    <xf numFmtId="0" fontId="54" fillId="0" borderId="2" xfId="0" applyFont="1" applyBorder="1" applyAlignment="1">
      <alignment horizontal="center"/>
    </xf>
    <xf numFmtId="6" fontId="54" fillId="0" borderId="6" xfId="0" applyNumberFormat="1" applyFont="1" applyBorder="1"/>
    <xf numFmtId="0" fontId="54" fillId="0" borderId="6" xfId="0" applyFont="1" applyBorder="1"/>
    <xf numFmtId="9" fontId="54" fillId="0" borderId="0" xfId="3" applyFont="1" applyFill="1"/>
    <xf numFmtId="9" fontId="54" fillId="0" borderId="6" xfId="3" applyFont="1" applyFill="1" applyBorder="1"/>
    <xf numFmtId="0" fontId="69" fillId="0" borderId="0" xfId="0" applyFont="1"/>
    <xf numFmtId="164" fontId="26" fillId="0" borderId="0" xfId="0" applyNumberFormat="1" applyFont="1" applyAlignment="1">
      <alignment horizontal="left"/>
    </xf>
    <xf numFmtId="164" fontId="0" fillId="0" borderId="2" xfId="1" applyNumberFormat="1" applyFont="1" applyBorder="1"/>
    <xf numFmtId="164" fontId="26" fillId="0" borderId="0" xfId="1" applyNumberFormat="1" applyFont="1" applyFill="1" applyBorder="1" applyAlignment="1">
      <alignment horizontal="right"/>
    </xf>
    <xf numFmtId="164" fontId="26" fillId="0" borderId="6" xfId="1" applyNumberFormat="1" applyFont="1" applyBorder="1"/>
    <xf numFmtId="9" fontId="26" fillId="0" borderId="0" xfId="0" applyNumberFormat="1" applyFont="1"/>
    <xf numFmtId="165" fontId="26" fillId="0" borderId="0" xfId="3" applyNumberFormat="1" applyFont="1"/>
    <xf numFmtId="165" fontId="26" fillId="0" borderId="6" xfId="3" applyNumberFormat="1" applyFont="1" applyBorder="1"/>
    <xf numFmtId="0" fontId="63" fillId="0" borderId="7" xfId="0" applyFont="1" applyBorder="1" applyProtection="1">
      <protection locked="0"/>
    </xf>
    <xf numFmtId="0" fontId="60" fillId="0" borderId="10" xfId="0" applyFont="1" applyBorder="1" applyAlignment="1" applyProtection="1">
      <alignment horizontal="left"/>
      <protection locked="0"/>
    </xf>
    <xf numFmtId="0" fontId="60" fillId="0" borderId="10" xfId="0" applyFont="1" applyBorder="1" applyProtection="1">
      <protection locked="0"/>
    </xf>
    <xf numFmtId="0" fontId="55" fillId="0" borderId="10" xfId="0" applyFont="1" applyBorder="1" applyProtection="1">
      <protection locked="0"/>
    </xf>
    <xf numFmtId="37" fontId="55" fillId="0" borderId="10" xfId="0" applyNumberFormat="1" applyFont="1" applyBorder="1" applyProtection="1">
      <protection locked="0"/>
    </xf>
    <xf numFmtId="5" fontId="60" fillId="0" borderId="10" xfId="0" applyNumberFormat="1" applyFont="1" applyBorder="1" applyProtection="1">
      <protection locked="0"/>
    </xf>
    <xf numFmtId="0" fontId="70" fillId="0" borderId="0" xfId="0" applyFont="1"/>
    <xf numFmtId="164" fontId="71" fillId="0" borderId="0" xfId="1" applyNumberFormat="1" applyFont="1" applyBorder="1"/>
    <xf numFmtId="0" fontId="50" fillId="3" borderId="22" xfId="0" applyFont="1" applyFill="1" applyBorder="1" applyAlignment="1" applyProtection="1">
      <alignment horizontal="center"/>
      <protection locked="0"/>
    </xf>
    <xf numFmtId="173" fontId="50" fillId="3" borderId="0" xfId="0" quotePrefix="1" applyNumberFormat="1" applyFont="1" applyFill="1" applyAlignment="1" applyProtection="1">
      <alignment horizontal="center"/>
      <protection locked="0"/>
    </xf>
    <xf numFmtId="0" fontId="30" fillId="5" borderId="34" xfId="0" applyFont="1" applyFill="1" applyBorder="1"/>
    <xf numFmtId="0" fontId="49" fillId="0" borderId="39" xfId="0" applyFont="1" applyBorder="1" applyProtection="1">
      <protection locked="0"/>
    </xf>
    <xf numFmtId="164" fontId="31" fillId="6" borderId="36" xfId="1" applyNumberFormat="1" applyFont="1" applyFill="1" applyBorder="1"/>
    <xf numFmtId="0" fontId="50" fillId="0" borderId="39" xfId="0" applyFont="1" applyBorder="1" applyAlignment="1" applyProtection="1">
      <alignment horizontal="left"/>
      <protection locked="0"/>
    </xf>
    <xf numFmtId="0" fontId="50" fillId="5" borderId="34" xfId="0" applyFont="1" applyFill="1" applyBorder="1" applyProtection="1">
      <protection locked="0"/>
    </xf>
    <xf numFmtId="0" fontId="50" fillId="0" borderId="39" xfId="0" applyFont="1" applyBorder="1" applyProtection="1">
      <protection locked="0"/>
    </xf>
    <xf numFmtId="164" fontId="31" fillId="7" borderId="36" xfId="1" applyNumberFormat="1" applyFont="1" applyFill="1" applyBorder="1"/>
    <xf numFmtId="164" fontId="72" fillId="5" borderId="40" xfId="1" applyNumberFormat="1" applyFont="1" applyFill="1" applyBorder="1"/>
    <xf numFmtId="164" fontId="31" fillId="7" borderId="43" xfId="1" applyNumberFormat="1" applyFont="1" applyFill="1" applyBorder="1"/>
    <xf numFmtId="164" fontId="31" fillId="7" borderId="35" xfId="1" applyNumberFormat="1" applyFont="1" applyFill="1" applyBorder="1"/>
    <xf numFmtId="164" fontId="31" fillId="6" borderId="35" xfId="1" applyNumberFormat="1" applyFont="1" applyFill="1" applyBorder="1"/>
    <xf numFmtId="164" fontId="31" fillId="6" borderId="42" xfId="1" applyNumberFormat="1" applyFont="1" applyFill="1" applyBorder="1"/>
    <xf numFmtId="164" fontId="31" fillId="6" borderId="44" xfId="1" applyNumberFormat="1" applyFont="1" applyFill="1" applyBorder="1"/>
    <xf numFmtId="164" fontId="31" fillId="6" borderId="45" xfId="1" applyNumberFormat="1" applyFont="1" applyFill="1" applyBorder="1"/>
    <xf numFmtId="0" fontId="50" fillId="0" borderId="46" xfId="0" applyFont="1" applyBorder="1" applyAlignment="1" applyProtection="1">
      <alignment horizontal="left"/>
      <protection locked="0"/>
    </xf>
    <xf numFmtId="0" fontId="49" fillId="0" borderId="52" xfId="0" applyFont="1" applyBorder="1" applyProtection="1">
      <protection locked="0"/>
    </xf>
    <xf numFmtId="0" fontId="73" fillId="0" borderId="0" xfId="0" applyFont="1"/>
    <xf numFmtId="164" fontId="28" fillId="0" borderId="0" xfId="0" applyNumberFormat="1" applyFont="1"/>
    <xf numFmtId="44" fontId="73" fillId="0" borderId="0" xfId="2" applyFont="1"/>
    <xf numFmtId="164" fontId="26" fillId="0" borderId="2" xfId="1" applyNumberFormat="1" applyFont="1" applyBorder="1"/>
    <xf numFmtId="164" fontId="36" fillId="0" borderId="0" xfId="1" applyNumberFormat="1" applyFont="1" applyBorder="1"/>
    <xf numFmtId="0" fontId="74" fillId="0" borderId="0" xfId="0" applyFont="1"/>
    <xf numFmtId="0" fontId="50" fillId="3" borderId="20" xfId="0" applyFont="1" applyFill="1" applyBorder="1" applyAlignment="1" applyProtection="1">
      <alignment horizontal="center"/>
      <protection locked="0"/>
    </xf>
    <xf numFmtId="0" fontId="50" fillId="3" borderId="17" xfId="0" applyFont="1" applyFill="1" applyBorder="1" applyAlignment="1" applyProtection="1">
      <alignment horizontal="center"/>
      <protection locked="0"/>
    </xf>
    <xf numFmtId="173" fontId="50" fillId="3" borderId="58" xfId="0" quotePrefix="1" applyNumberFormat="1" applyFont="1" applyFill="1" applyBorder="1" applyAlignment="1" applyProtection="1">
      <alignment horizontal="center"/>
      <protection locked="0"/>
    </xf>
    <xf numFmtId="173" fontId="50" fillId="3" borderId="59" xfId="0" quotePrefix="1" applyNumberFormat="1" applyFont="1" applyFill="1" applyBorder="1" applyAlignment="1" applyProtection="1">
      <alignment horizontal="center"/>
      <protection locked="0"/>
    </xf>
    <xf numFmtId="164" fontId="31" fillId="7" borderId="37" xfId="1" applyNumberFormat="1" applyFont="1" applyFill="1" applyBorder="1"/>
    <xf numFmtId="164" fontId="31" fillId="8" borderId="60" xfId="1" applyNumberFormat="1" applyFont="1" applyFill="1" applyBorder="1"/>
    <xf numFmtId="164" fontId="31" fillId="10" borderId="63" xfId="1" applyNumberFormat="1" applyFont="1" applyFill="1" applyBorder="1"/>
    <xf numFmtId="173" fontId="50" fillId="3" borderId="7" xfId="0" quotePrefix="1" applyNumberFormat="1" applyFont="1" applyFill="1" applyBorder="1" applyAlignment="1" applyProtection="1">
      <alignment horizontal="center"/>
      <protection locked="0"/>
    </xf>
    <xf numFmtId="173" fontId="50" fillId="3" borderId="8" xfId="0" quotePrefix="1" applyNumberFormat="1" applyFont="1" applyFill="1" applyBorder="1" applyAlignment="1" applyProtection="1">
      <alignment horizontal="center"/>
      <protection locked="0"/>
    </xf>
    <xf numFmtId="0" fontId="30" fillId="11" borderId="65" xfId="0" applyFont="1" applyFill="1" applyBorder="1"/>
    <xf numFmtId="164" fontId="75" fillId="11" borderId="65" xfId="1" applyNumberFormat="1" applyFont="1" applyFill="1" applyBorder="1" applyAlignment="1">
      <alignment horizontal="center"/>
    </xf>
    <xf numFmtId="0" fontId="49" fillId="0" borderId="4" xfId="0" applyFont="1" applyBorder="1" applyProtection="1">
      <protection locked="0"/>
    </xf>
    <xf numFmtId="164" fontId="31" fillId="6" borderId="65" xfId="1" applyNumberFormat="1" applyFont="1" applyFill="1" applyBorder="1"/>
    <xf numFmtId="0" fontId="50" fillId="0" borderId="4" xfId="0" applyFont="1" applyBorder="1" applyAlignment="1" applyProtection="1">
      <alignment horizontal="left"/>
      <protection locked="0"/>
    </xf>
    <xf numFmtId="0" fontId="50" fillId="11" borderId="65" xfId="0" applyFont="1" applyFill="1" applyBorder="1" applyProtection="1">
      <protection locked="0"/>
    </xf>
    <xf numFmtId="0" fontId="50" fillId="0" borderId="4" xfId="0" applyFont="1" applyBorder="1" applyProtection="1">
      <protection locked="0"/>
    </xf>
    <xf numFmtId="164" fontId="31" fillId="7" borderId="65" xfId="1" applyNumberFormat="1" applyFont="1" applyFill="1" applyBorder="1"/>
    <xf numFmtId="164" fontId="72" fillId="5" borderId="66" xfId="1" applyNumberFormat="1" applyFont="1" applyFill="1" applyBorder="1"/>
    <xf numFmtId="164" fontId="31" fillId="7" borderId="4" xfId="1" applyNumberFormat="1" applyFont="1" applyFill="1" applyBorder="1"/>
    <xf numFmtId="164" fontId="31" fillId="6" borderId="66" xfId="1" applyNumberFormat="1" applyFont="1" applyFill="1" applyBorder="1"/>
    <xf numFmtId="164" fontId="75" fillId="0" borderId="0" xfId="1" applyNumberFormat="1" applyFont="1" applyBorder="1"/>
    <xf numFmtId="164" fontId="26" fillId="16" borderId="0" xfId="1" applyNumberFormat="1" applyFont="1" applyFill="1" applyBorder="1"/>
    <xf numFmtId="164" fontId="36" fillId="0" borderId="2" xfId="1" applyNumberFormat="1" applyFont="1" applyBorder="1"/>
    <xf numFmtId="0" fontId="72" fillId="0" borderId="0" xfId="0" applyFont="1"/>
    <xf numFmtId="0" fontId="72" fillId="0" borderId="6" xfId="0" applyFont="1" applyBorder="1"/>
    <xf numFmtId="0" fontId="50" fillId="3" borderId="0" xfId="0" applyFont="1" applyFill="1" applyAlignment="1" applyProtection="1">
      <alignment horizontal="center"/>
      <protection locked="0"/>
    </xf>
    <xf numFmtId="173" fontId="50" fillId="3" borderId="0" xfId="0" applyNumberFormat="1" applyFont="1" applyFill="1" applyAlignment="1" applyProtection="1">
      <alignment horizontal="center"/>
      <protection locked="0"/>
    </xf>
    <xf numFmtId="0" fontId="30" fillId="0" borderId="36" xfId="0" applyFont="1" applyBorder="1"/>
    <xf numFmtId="0" fontId="49" fillId="0" borderId="36" xfId="0" applyFont="1" applyBorder="1" applyProtection="1">
      <protection locked="0"/>
    </xf>
    <xf numFmtId="0" fontId="49" fillId="0" borderId="36" xfId="0" applyFont="1" applyBorder="1" applyAlignment="1" applyProtection="1">
      <alignment horizontal="left"/>
      <protection locked="0"/>
    </xf>
    <xf numFmtId="0" fontId="50" fillId="0" borderId="36" xfId="0" applyFont="1" applyBorder="1" applyAlignment="1" applyProtection="1">
      <alignment horizontal="left"/>
      <protection locked="0"/>
    </xf>
    <xf numFmtId="0" fontId="49" fillId="0" borderId="37" xfId="0" applyFont="1" applyBorder="1" applyAlignment="1" applyProtection="1">
      <alignment horizontal="left"/>
      <protection locked="0"/>
    </xf>
    <xf numFmtId="0" fontId="49" fillId="0" borderId="36" xfId="0" applyFont="1" applyBorder="1" applyAlignment="1">
      <alignment horizontal="left"/>
    </xf>
    <xf numFmtId="5" fontId="31" fillId="0" borderId="36" xfId="0" applyNumberFormat="1" applyFont="1" applyBorder="1" applyAlignment="1">
      <alignment horizontal="left"/>
    </xf>
    <xf numFmtId="37" fontId="49" fillId="0" borderId="36" xfId="0" applyNumberFormat="1" applyFont="1" applyBorder="1" applyAlignment="1" applyProtection="1">
      <alignment horizontal="left"/>
      <protection locked="0"/>
    </xf>
    <xf numFmtId="37" fontId="49" fillId="0" borderId="37" xfId="0" applyNumberFormat="1" applyFont="1" applyBorder="1" applyAlignment="1" applyProtection="1">
      <alignment horizontal="left"/>
      <protection locked="0"/>
    </xf>
    <xf numFmtId="0" fontId="30" fillId="0" borderId="67" xfId="0" applyFont="1" applyBorder="1"/>
    <xf numFmtId="164" fontId="51" fillId="0" borderId="68" xfId="0" applyNumberFormat="1" applyFont="1" applyBorder="1" applyProtection="1">
      <protection locked="0"/>
    </xf>
    <xf numFmtId="164" fontId="51" fillId="0" borderId="6" xfId="0" applyNumberFormat="1" applyFont="1" applyBorder="1" applyAlignment="1" applyProtection="1">
      <alignment horizontal="left"/>
      <protection locked="0"/>
    </xf>
    <xf numFmtId="164" fontId="51" fillId="0" borderId="6" xfId="0" applyNumberFormat="1" applyFont="1" applyBorder="1" applyProtection="1">
      <protection locked="0"/>
    </xf>
    <xf numFmtId="164" fontId="51" fillId="0" borderId="6" xfId="1" applyNumberFormat="1" applyFont="1" applyBorder="1" applyProtection="1">
      <protection locked="0"/>
    </xf>
    <xf numFmtId="164" fontId="42" fillId="0" borderId="0" xfId="0" applyNumberFormat="1" applyFont="1"/>
    <xf numFmtId="164" fontId="26" fillId="0" borderId="36" xfId="1" applyNumberFormat="1" applyFont="1" applyBorder="1"/>
    <xf numFmtId="0" fontId="42" fillId="0" borderId="0" xfId="0" applyFont="1"/>
    <xf numFmtId="0" fontId="51" fillId="0" borderId="69" xfId="0" applyFont="1" applyBorder="1" applyProtection="1">
      <protection locked="0"/>
    </xf>
    <xf numFmtId="0" fontId="51" fillId="0" borderId="70" xfId="0" applyFont="1" applyBorder="1" applyProtection="1">
      <protection locked="0"/>
    </xf>
    <xf numFmtId="164" fontId="51" fillId="0" borderId="70" xfId="0" applyNumberFormat="1" applyFont="1" applyBorder="1" applyProtection="1">
      <protection locked="0"/>
    </xf>
    <xf numFmtId="0" fontId="0" fillId="0" borderId="0" xfId="0" applyAlignment="1">
      <alignment horizontal="center"/>
    </xf>
    <xf numFmtId="17" fontId="0" fillId="0" borderId="0" xfId="0" applyNumberFormat="1"/>
    <xf numFmtId="0" fontId="0" fillId="0" borderId="0" xfId="1" applyNumberFormat="1" applyFont="1"/>
    <xf numFmtId="0" fontId="50" fillId="0" borderId="0" xfId="0" applyFont="1" applyProtection="1">
      <protection locked="0"/>
    </xf>
    <xf numFmtId="164" fontId="50" fillId="0" borderId="0" xfId="0" applyNumberFormat="1" applyFont="1" applyProtection="1">
      <protection locked="0"/>
    </xf>
    <xf numFmtId="164" fontId="0" fillId="0" borderId="0" xfId="1" applyNumberFormat="1" applyFont="1" applyFill="1"/>
    <xf numFmtId="164" fontId="54" fillId="0" borderId="0" xfId="1" applyNumberFormat="1" applyFont="1" applyFill="1"/>
    <xf numFmtId="174" fontId="0" fillId="0" borderId="0" xfId="0" applyNumberFormat="1"/>
    <xf numFmtId="14" fontId="26" fillId="0" borderId="0" xfId="1" applyNumberFormat="1" applyFont="1" applyBorder="1"/>
    <xf numFmtId="0" fontId="49" fillId="0" borderId="37" xfId="0" applyFont="1" applyBorder="1" applyProtection="1">
      <protection locked="0"/>
    </xf>
    <xf numFmtId="0" fontId="49" fillId="0" borderId="35" xfId="0" applyFont="1" applyBorder="1" applyProtection="1">
      <protection locked="0"/>
    </xf>
    <xf numFmtId="164" fontId="25" fillId="0" borderId="36" xfId="1" applyNumberFormat="1" applyFont="1" applyBorder="1"/>
    <xf numFmtId="0" fontId="49" fillId="0" borderId="48" xfId="0" applyFont="1" applyBorder="1" applyProtection="1">
      <protection locked="0"/>
    </xf>
    <xf numFmtId="0" fontId="49" fillId="0" borderId="41" xfId="0" applyFont="1" applyBorder="1" applyAlignment="1" applyProtection="1">
      <alignment horizontal="left"/>
      <protection locked="0"/>
    </xf>
    <xf numFmtId="164" fontId="51" fillId="0" borderId="69" xfId="0" applyNumberFormat="1" applyFont="1" applyBorder="1" applyProtection="1">
      <protection locked="0"/>
    </xf>
    <xf numFmtId="164" fontId="51" fillId="0" borderId="70" xfId="0" applyNumberFormat="1" applyFont="1" applyBorder="1" applyAlignment="1" applyProtection="1">
      <alignment horizontal="left"/>
      <protection locked="0"/>
    </xf>
    <xf numFmtId="164" fontId="51" fillId="0" borderId="70" xfId="1" applyNumberFormat="1" applyFont="1" applyBorder="1" applyProtection="1">
      <protection locked="0"/>
    </xf>
    <xf numFmtId="164" fontId="76" fillId="0" borderId="0" xfId="1" applyNumberFormat="1" applyFont="1" applyBorder="1"/>
    <xf numFmtId="0" fontId="50" fillId="3" borderId="22" xfId="0" applyFont="1" applyFill="1" applyBorder="1" applyAlignment="1" applyProtection="1">
      <alignment horizontal="center" wrapText="1"/>
      <protection locked="0"/>
    </xf>
    <xf numFmtId="9" fontId="0" fillId="17" borderId="0" xfId="0" applyNumberFormat="1" applyFill="1"/>
    <xf numFmtId="164" fontId="0" fillId="17" borderId="0" xfId="1" applyNumberFormat="1" applyFont="1" applyFill="1"/>
    <xf numFmtId="43" fontId="0" fillId="17" borderId="0" xfId="0" applyNumberFormat="1" applyFill="1"/>
    <xf numFmtId="171" fontId="0" fillId="17" borderId="0" xfId="0" applyNumberFormat="1" applyFill="1"/>
    <xf numFmtId="0" fontId="0" fillId="0" borderId="0" xfId="0" applyAlignment="1">
      <alignment horizontal="right"/>
    </xf>
    <xf numFmtId="0" fontId="78" fillId="0" borderId="65" xfId="0" applyFont="1" applyBorder="1" applyAlignment="1">
      <alignment vertical="center"/>
    </xf>
    <xf numFmtId="164" fontId="0" fillId="0" borderId="65" xfId="1" applyNumberFormat="1" applyFont="1" applyBorder="1"/>
    <xf numFmtId="164" fontId="26" fillId="0" borderId="0" xfId="1" applyNumberFormat="1" applyFont="1" applyFill="1" applyBorder="1" applyAlignment="1">
      <alignment horizontal="centerContinuous"/>
    </xf>
    <xf numFmtId="164" fontId="36" fillId="0" borderId="6" xfId="1" applyNumberFormat="1" applyFont="1" applyFill="1" applyBorder="1" applyProtection="1">
      <protection locked="0"/>
    </xf>
    <xf numFmtId="164" fontId="36" fillId="0" borderId="70" xfId="0" applyNumberFormat="1" applyFont="1" applyBorder="1" applyProtection="1">
      <protection locked="0"/>
    </xf>
    <xf numFmtId="164" fontId="25" fillId="0" borderId="0" xfId="0" applyNumberFormat="1" applyFont="1" applyProtection="1">
      <protection locked="0"/>
    </xf>
    <xf numFmtId="0" fontId="20" fillId="0" borderId="0" xfId="0" applyFont="1" applyAlignment="1">
      <alignment horizontal="right"/>
    </xf>
    <xf numFmtId="43" fontId="20" fillId="0" borderId="0" xfId="0" applyNumberFormat="1" applyFont="1"/>
    <xf numFmtId="0" fontId="79" fillId="0" borderId="0" xfId="0" applyFont="1"/>
    <xf numFmtId="165" fontId="0" fillId="0" borderId="0" xfId="0" applyNumberFormat="1"/>
    <xf numFmtId="0" fontId="20" fillId="0" borderId="0" xfId="0" quotePrefix="1" applyFont="1"/>
    <xf numFmtId="164" fontId="0" fillId="0" borderId="6" xfId="0" applyNumberFormat="1" applyBorder="1"/>
    <xf numFmtId="165" fontId="0" fillId="0" borderId="6" xfId="0" applyNumberFormat="1" applyBorder="1"/>
    <xf numFmtId="5" fontId="0" fillId="0" borderId="0" xfId="0" applyNumberFormat="1"/>
    <xf numFmtId="37" fontId="0" fillId="0" borderId="0" xfId="0" applyNumberFormat="1"/>
    <xf numFmtId="0" fontId="80" fillId="0" borderId="0" xfId="0" applyFont="1" applyAlignment="1">
      <alignment horizontal="left"/>
    </xf>
    <xf numFmtId="0" fontId="17" fillId="0" borderId="0" xfId="0" applyFont="1"/>
    <xf numFmtId="164" fontId="17" fillId="0" borderId="0" xfId="1" applyNumberFormat="1" applyFont="1" applyFill="1" applyBorder="1" applyAlignment="1">
      <alignment horizontal="center"/>
    </xf>
    <xf numFmtId="0" fontId="78" fillId="0" borderId="72" xfId="0" applyFont="1" applyBorder="1" applyAlignment="1">
      <alignment horizontal="right" vertical="center"/>
    </xf>
    <xf numFmtId="164" fontId="20" fillId="0" borderId="72" xfId="1" applyNumberFormat="1" applyFont="1" applyBorder="1"/>
    <xf numFmtId="164" fontId="0" fillId="0" borderId="72" xfId="1" applyNumberFormat="1" applyFont="1" applyBorder="1"/>
    <xf numFmtId="0" fontId="78" fillId="0" borderId="71" xfId="0" applyFont="1" applyBorder="1" applyAlignment="1">
      <alignment vertical="center"/>
    </xf>
    <xf numFmtId="164" fontId="0" fillId="0" borderId="71" xfId="1" applyNumberFormat="1" applyFont="1" applyBorder="1"/>
    <xf numFmtId="0" fontId="78" fillId="0" borderId="72" xfId="0" applyFont="1" applyBorder="1" applyAlignment="1">
      <alignment vertical="center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164" fontId="36" fillId="0" borderId="1" xfId="1" applyNumberFormat="1" applyFont="1" applyFill="1" applyBorder="1" applyAlignment="1">
      <alignment horizontal="center"/>
    </xf>
    <xf numFmtId="165" fontId="0" fillId="0" borderId="72" xfId="3" applyNumberFormat="1" applyFont="1" applyBorder="1" applyAlignment="1">
      <alignment horizontal="center"/>
    </xf>
    <xf numFmtId="165" fontId="0" fillId="0" borderId="65" xfId="3" applyNumberFormat="1" applyFont="1" applyBorder="1" applyAlignment="1">
      <alignment horizontal="center"/>
    </xf>
    <xf numFmtId="165" fontId="0" fillId="0" borderId="71" xfId="3" applyNumberFormat="1" applyFont="1" applyBorder="1" applyAlignment="1">
      <alignment horizontal="center"/>
    </xf>
    <xf numFmtId="0" fontId="0" fillId="0" borderId="72" xfId="0" applyBorder="1" applyAlignment="1">
      <alignment horizontal="center"/>
    </xf>
    <xf numFmtId="9" fontId="0" fillId="0" borderId="6" xfId="3" applyFont="1" applyBorder="1"/>
    <xf numFmtId="9" fontId="0" fillId="0" borderId="72" xfId="3" applyFont="1" applyBorder="1" applyAlignment="1">
      <alignment horizontal="right"/>
    </xf>
    <xf numFmtId="9" fontId="0" fillId="0" borderId="71" xfId="3" applyFont="1" applyBorder="1" applyAlignment="1">
      <alignment horizontal="right"/>
    </xf>
    <xf numFmtId="9" fontId="20" fillId="0" borderId="72" xfId="3" applyFont="1" applyBorder="1"/>
    <xf numFmtId="9" fontId="20" fillId="0" borderId="0" xfId="3" applyFont="1"/>
    <xf numFmtId="0" fontId="20" fillId="0" borderId="0" xfId="0" applyFont="1" applyAlignment="1">
      <alignment horizontal="center"/>
    </xf>
    <xf numFmtId="9" fontId="0" fillId="0" borderId="0" xfId="3" applyFont="1" applyBorder="1"/>
    <xf numFmtId="0" fontId="78" fillId="0" borderId="73" xfId="0" applyFont="1" applyBorder="1" applyAlignment="1">
      <alignment vertical="center"/>
    </xf>
    <xf numFmtId="164" fontId="0" fillId="0" borderId="73" xfId="1" applyNumberFormat="1" applyFont="1" applyBorder="1"/>
    <xf numFmtId="9" fontId="0" fillId="0" borderId="74" xfId="3" applyFont="1" applyBorder="1" applyAlignment="1">
      <alignment horizontal="right"/>
    </xf>
    <xf numFmtId="165" fontId="0" fillId="0" borderId="73" xfId="3" applyNumberFormat="1" applyFont="1" applyBorder="1" applyAlignment="1">
      <alignment horizontal="center"/>
    </xf>
    <xf numFmtId="0" fontId="81" fillId="0" borderId="0" xfId="0" applyFont="1" applyAlignment="1">
      <alignment horizontal="left" vertical="center" indent="1"/>
    </xf>
    <xf numFmtId="0" fontId="82" fillId="0" borderId="0" xfId="0" applyFont="1"/>
    <xf numFmtId="0" fontId="8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81" fillId="0" borderId="0" xfId="0" applyFont="1" applyAlignment="1">
      <alignment horizontal="left" vertical="center"/>
    </xf>
    <xf numFmtId="0" fontId="81" fillId="0" borderId="0" xfId="0" applyFont="1" applyAlignment="1">
      <alignment vertical="center"/>
    </xf>
    <xf numFmtId="1" fontId="0" fillId="0" borderId="0" xfId="0" applyNumberFormat="1"/>
    <xf numFmtId="0" fontId="84" fillId="0" borderId="0" xfId="0" applyFont="1" applyAlignment="1">
      <alignment vertical="center"/>
    </xf>
    <xf numFmtId="0" fontId="85" fillId="0" borderId="0" xfId="0" applyFont="1" applyAlignment="1">
      <alignment vertical="center"/>
    </xf>
    <xf numFmtId="164" fontId="69" fillId="0" borderId="0" xfId="1" applyNumberFormat="1" applyFont="1"/>
    <xf numFmtId="0" fontId="85" fillId="0" borderId="2" xfId="0" applyFont="1" applyBorder="1" applyAlignment="1">
      <alignment vertical="center"/>
    </xf>
    <xf numFmtId="0" fontId="69" fillId="0" borderId="0" xfId="0" applyFont="1" applyAlignment="1">
      <alignment horizontal="right"/>
    </xf>
    <xf numFmtId="171" fontId="69" fillId="0" borderId="0" xfId="0" applyNumberFormat="1" applyFont="1"/>
    <xf numFmtId="0" fontId="81" fillId="0" borderId="6" xfId="0" applyFont="1" applyBorder="1" applyAlignment="1">
      <alignment vertical="center"/>
    </xf>
    <xf numFmtId="171" fontId="69" fillId="0" borderId="6" xfId="0" applyNumberFormat="1" applyFont="1" applyBorder="1"/>
    <xf numFmtId="0" fontId="81" fillId="0" borderId="0" xfId="0" applyFont="1" applyAlignment="1">
      <alignment horizontal="right" vertical="center"/>
    </xf>
    <xf numFmtId="0" fontId="86" fillId="0" borderId="0" xfId="0" applyFont="1"/>
    <xf numFmtId="6" fontId="19" fillId="0" borderId="0" xfId="0" applyNumberFormat="1" applyFont="1" applyAlignment="1">
      <alignment horizontal="right" vertical="center" wrapText="1"/>
    </xf>
    <xf numFmtId="0" fontId="88" fillId="0" borderId="0" xfId="0" applyFont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1" xfId="0" applyBorder="1"/>
    <xf numFmtId="164" fontId="20" fillId="0" borderId="1" xfId="0" applyNumberFormat="1" applyFont="1" applyBorder="1"/>
    <xf numFmtId="164" fontId="20" fillId="0" borderId="81" xfId="0" applyNumberFormat="1" applyFont="1" applyBorder="1"/>
    <xf numFmtId="0" fontId="89" fillId="0" borderId="0" xfId="0" applyFont="1"/>
    <xf numFmtId="0" fontId="20" fillId="0" borderId="82" xfId="0" applyFont="1" applyBorder="1"/>
    <xf numFmtId="0" fontId="16" fillId="0" borderId="0" xfId="0" applyFont="1"/>
    <xf numFmtId="0" fontId="90" fillId="15" borderId="0" xfId="0" applyFont="1" applyFill="1"/>
    <xf numFmtId="0" fontId="88" fillId="0" borderId="79" xfId="0" applyFont="1" applyBorder="1"/>
    <xf numFmtId="10" fontId="26" fillId="0" borderId="0" xfId="3" applyNumberFormat="1" applyFont="1" applyAlignment="1">
      <alignment horizontal="right"/>
    </xf>
    <xf numFmtId="9" fontId="54" fillId="0" borderId="0" xfId="3" applyFont="1"/>
    <xf numFmtId="9" fontId="65" fillId="0" borderId="3" xfId="5" applyFont="1" applyBorder="1" applyAlignment="1">
      <alignment wrapText="1"/>
    </xf>
    <xf numFmtId="169" fontId="55" fillId="0" borderId="0" xfId="1" applyNumberFormat="1" applyFont="1" applyProtection="1">
      <protection locked="0"/>
    </xf>
    <xf numFmtId="9" fontId="65" fillId="0" borderId="3" xfId="5" applyFont="1" applyBorder="1"/>
    <xf numFmtId="0" fontId="24" fillId="2" borderId="24" xfId="8" applyFont="1" applyFill="1" applyBorder="1"/>
    <xf numFmtId="0" fontId="92" fillId="2" borderId="10" xfId="8" applyFont="1" applyFill="1" applyBorder="1"/>
    <xf numFmtId="0" fontId="24" fillId="2" borderId="10" xfId="8" applyFont="1" applyFill="1" applyBorder="1"/>
    <xf numFmtId="0" fontId="24" fillId="2" borderId="23" xfId="8" applyFont="1" applyFill="1" applyBorder="1"/>
    <xf numFmtId="0" fontId="24" fillId="2" borderId="0" xfId="8" applyFont="1" applyFill="1"/>
    <xf numFmtId="0" fontId="91" fillId="0" borderId="0" xfId="8"/>
    <xf numFmtId="0" fontId="24" fillId="2" borderId="9" xfId="8" applyFont="1" applyFill="1" applyBorder="1"/>
    <xf numFmtId="0" fontId="93" fillId="2" borderId="0" xfId="8" applyFont="1" applyFill="1"/>
    <xf numFmtId="0" fontId="24" fillId="2" borderId="13" xfId="8" applyFont="1" applyFill="1" applyBorder="1"/>
    <xf numFmtId="0" fontId="92" fillId="2" borderId="0" xfId="8" applyFont="1" applyFill="1"/>
    <xf numFmtId="0" fontId="24" fillId="0" borderId="0" xfId="8" applyFont="1"/>
    <xf numFmtId="0" fontId="91" fillId="3" borderId="24" xfId="8" applyFill="1" applyBorder="1"/>
    <xf numFmtId="0" fontId="91" fillId="3" borderId="10" xfId="8" applyFill="1" applyBorder="1"/>
    <xf numFmtId="0" fontId="91" fillId="3" borderId="23" xfId="8" applyFill="1" applyBorder="1"/>
    <xf numFmtId="0" fontId="94" fillId="3" borderId="24" xfId="8" applyFont="1" applyFill="1" applyBorder="1"/>
    <xf numFmtId="0" fontId="94" fillId="3" borderId="10" xfId="8" applyFont="1" applyFill="1" applyBorder="1"/>
    <xf numFmtId="0" fontId="94" fillId="3" borderId="23" xfId="8" applyFont="1" applyFill="1" applyBorder="1"/>
    <xf numFmtId="0" fontId="94" fillId="0" borderId="0" xfId="8" applyFont="1"/>
    <xf numFmtId="0" fontId="91" fillId="4" borderId="0" xfId="8" applyFill="1"/>
    <xf numFmtId="10" fontId="91" fillId="18" borderId="0" xfId="8" applyNumberFormat="1" applyFill="1"/>
    <xf numFmtId="0" fontId="91" fillId="3" borderId="9" xfId="8" applyFill="1" applyBorder="1"/>
    <xf numFmtId="0" fontId="95" fillId="3" borderId="0" xfId="8" applyFont="1" applyFill="1"/>
    <xf numFmtId="0" fontId="91" fillId="3" borderId="0" xfId="8" applyFill="1"/>
    <xf numFmtId="0" fontId="91" fillId="3" borderId="13" xfId="8" applyFill="1" applyBorder="1"/>
    <xf numFmtId="0" fontId="94" fillId="3" borderId="9" xfId="8" applyFont="1" applyFill="1" applyBorder="1"/>
    <xf numFmtId="0" fontId="96" fillId="3" borderId="0" xfId="8" applyFont="1" applyFill="1" applyAlignment="1">
      <alignment horizontal="left"/>
    </xf>
    <xf numFmtId="0" fontId="94" fillId="3" borderId="0" xfId="8" applyFont="1" applyFill="1"/>
    <xf numFmtId="0" fontId="94" fillId="3" borderId="13" xfId="8" applyFont="1" applyFill="1" applyBorder="1"/>
    <xf numFmtId="0" fontId="97" fillId="4" borderId="0" xfId="8" applyFont="1" applyFill="1"/>
    <xf numFmtId="0" fontId="91" fillId="18" borderId="0" xfId="8" applyFill="1"/>
    <xf numFmtId="2" fontId="91" fillId="18" borderId="0" xfId="8" applyNumberFormat="1" applyFill="1"/>
    <xf numFmtId="0" fontId="91" fillId="0" borderId="9" xfId="8" applyBorder="1"/>
    <xf numFmtId="0" fontId="91" fillId="0" borderId="13" xfId="8" applyBorder="1"/>
    <xf numFmtId="0" fontId="94" fillId="0" borderId="9" xfId="8" applyFont="1" applyBorder="1"/>
    <xf numFmtId="0" fontId="94" fillId="0" borderId="13" xfId="8" applyFont="1" applyBorder="1"/>
    <xf numFmtId="0" fontId="94" fillId="0" borderId="0" xfId="8" applyFont="1" applyAlignment="1">
      <alignment horizontal="left"/>
    </xf>
    <xf numFmtId="37" fontId="91" fillId="0" borderId="0" xfId="8" applyNumberFormat="1"/>
    <xf numFmtId="37" fontId="91" fillId="19" borderId="0" xfId="8" applyNumberFormat="1" applyFill="1"/>
    <xf numFmtId="41" fontId="91" fillId="0" borderId="0" xfId="8" applyNumberFormat="1"/>
    <xf numFmtId="3" fontId="91" fillId="0" borderId="0" xfId="8" applyNumberFormat="1"/>
    <xf numFmtId="39" fontId="94" fillId="0" borderId="0" xfId="8" applyNumberFormat="1" applyFont="1"/>
    <xf numFmtId="37" fontId="94" fillId="0" borderId="0" xfId="8" applyNumberFormat="1" applyFont="1"/>
    <xf numFmtId="0" fontId="94" fillId="0" borderId="13" xfId="8" applyFont="1" applyBorder="1" applyProtection="1">
      <protection locked="0"/>
    </xf>
    <xf numFmtId="0" fontId="94" fillId="0" borderId="0" xfId="8" applyFont="1" applyProtection="1">
      <protection locked="0"/>
    </xf>
    <xf numFmtId="0" fontId="91" fillId="0" borderId="0" xfId="8" applyAlignment="1">
      <alignment horizontal="center"/>
    </xf>
    <xf numFmtId="0" fontId="94" fillId="0" borderId="0" xfId="8" applyFont="1" applyAlignment="1">
      <alignment horizontal="center"/>
    </xf>
    <xf numFmtId="0" fontId="24" fillId="0" borderId="9" xfId="8" applyFont="1" applyBorder="1"/>
    <xf numFmtId="0" fontId="24" fillId="0" borderId="13" xfId="8" applyFont="1" applyBorder="1"/>
    <xf numFmtId="0" fontId="100" fillId="0" borderId="65" xfId="8" applyFont="1" applyBorder="1" applyAlignment="1" applyProtection="1">
      <alignment horizontal="right"/>
      <protection locked="0"/>
    </xf>
    <xf numFmtId="0" fontId="24" fillId="0" borderId="65" xfId="8" applyFont="1" applyBorder="1"/>
    <xf numFmtId="0" fontId="24" fillId="2" borderId="20" xfId="8" applyFont="1" applyFill="1" applyBorder="1"/>
    <xf numFmtId="0" fontId="92" fillId="2" borderId="22" xfId="8" applyFont="1" applyFill="1" applyBorder="1"/>
    <xf numFmtId="0" fontId="24" fillId="2" borderId="22" xfId="8" applyFont="1" applyFill="1" applyBorder="1"/>
    <xf numFmtId="0" fontId="94" fillId="0" borderId="65" xfId="8" applyFont="1" applyBorder="1" applyAlignment="1" applyProtection="1">
      <alignment horizontal="right"/>
      <protection locked="0"/>
    </xf>
    <xf numFmtId="38" fontId="24" fillId="2" borderId="65" xfId="8" applyNumberFormat="1" applyFont="1" applyFill="1" applyBorder="1"/>
    <xf numFmtId="0" fontId="24" fillId="0" borderId="0" xfId="8" applyFont="1" applyAlignment="1">
      <alignment horizontal="right"/>
    </xf>
    <xf numFmtId="38" fontId="24" fillId="0" borderId="0" xfId="8" applyNumberFormat="1" applyFont="1" applyAlignment="1">
      <alignment horizontal="center"/>
    </xf>
    <xf numFmtId="0" fontId="24" fillId="2" borderId="7" xfId="8" applyFont="1" applyFill="1" applyBorder="1"/>
    <xf numFmtId="0" fontId="24" fillId="2" borderId="14" xfId="8" applyFont="1" applyFill="1" applyBorder="1"/>
    <xf numFmtId="0" fontId="24" fillId="2" borderId="2" xfId="8" applyFont="1" applyFill="1" applyBorder="1"/>
    <xf numFmtId="0" fontId="101" fillId="0" borderId="0" xfId="8" applyFont="1"/>
    <xf numFmtId="0" fontId="24" fillId="0" borderId="65" xfId="8" applyFont="1" applyBorder="1" applyAlignment="1">
      <alignment horizontal="right"/>
    </xf>
    <xf numFmtId="37" fontId="94" fillId="0" borderId="65" xfId="8" applyNumberFormat="1" applyFont="1" applyBorder="1" applyProtection="1">
      <protection locked="0"/>
    </xf>
    <xf numFmtId="0" fontId="94" fillId="3" borderId="20" xfId="8" applyFont="1" applyFill="1" applyBorder="1"/>
    <xf numFmtId="0" fontId="94" fillId="3" borderId="22" xfId="8" applyFont="1" applyFill="1" applyBorder="1"/>
    <xf numFmtId="0" fontId="94" fillId="3" borderId="17" xfId="8" applyFont="1" applyFill="1" applyBorder="1"/>
    <xf numFmtId="0" fontId="94" fillId="3" borderId="73" xfId="8" applyFont="1" applyFill="1" applyBorder="1"/>
    <xf numFmtId="0" fontId="24" fillId="3" borderId="83" xfId="8" applyFont="1" applyFill="1" applyBorder="1"/>
    <xf numFmtId="0" fontId="94" fillId="3" borderId="84" xfId="8" applyFont="1" applyFill="1" applyBorder="1"/>
    <xf numFmtId="0" fontId="24" fillId="4" borderId="0" xfId="8" applyFont="1" applyFill="1"/>
    <xf numFmtId="0" fontId="94" fillId="3" borderId="7" xfId="8" applyFont="1" applyFill="1" applyBorder="1"/>
    <xf numFmtId="0" fontId="96" fillId="3" borderId="0" xfId="8" applyFont="1" applyFill="1" applyAlignment="1" applyProtection="1">
      <alignment horizontal="left"/>
      <protection locked="0"/>
    </xf>
    <xf numFmtId="0" fontId="94" fillId="3" borderId="8" xfId="8" applyFont="1" applyFill="1" applyBorder="1"/>
    <xf numFmtId="0" fontId="94" fillId="3" borderId="74" xfId="8" applyFont="1" applyFill="1" applyBorder="1" applyAlignment="1">
      <alignment horizontal="center" wrapText="1"/>
    </xf>
    <xf numFmtId="0" fontId="94" fillId="3" borderId="74" xfId="8" applyFont="1" applyFill="1" applyBorder="1" applyAlignment="1">
      <alignment horizontal="center"/>
    </xf>
    <xf numFmtId="0" fontId="24" fillId="3" borderId="85" xfId="8" applyFont="1" applyFill="1" applyBorder="1"/>
    <xf numFmtId="0" fontId="94" fillId="3" borderId="86" xfId="8" applyFont="1" applyFill="1" applyBorder="1" applyAlignment="1">
      <alignment horizontal="center" wrapText="1"/>
    </xf>
    <xf numFmtId="0" fontId="94" fillId="3" borderId="14" xfId="8" applyFont="1" applyFill="1" applyBorder="1"/>
    <xf numFmtId="0" fontId="94" fillId="3" borderId="2" xfId="8" applyFont="1" applyFill="1" applyBorder="1"/>
    <xf numFmtId="0" fontId="94" fillId="3" borderId="15" xfId="8" applyFont="1" applyFill="1" applyBorder="1"/>
    <xf numFmtId="0" fontId="94" fillId="3" borderId="72" xfId="8" applyFont="1" applyFill="1" applyBorder="1" applyAlignment="1">
      <alignment horizontal="center"/>
    </xf>
    <xf numFmtId="0" fontId="94" fillId="0" borderId="20" xfId="8" applyFont="1" applyBorder="1" applyProtection="1">
      <protection locked="0"/>
    </xf>
    <xf numFmtId="0" fontId="100" fillId="0" borderId="22" xfId="8" applyFont="1" applyBorder="1" applyAlignment="1" applyProtection="1">
      <alignment horizontal="left"/>
      <protection locked="0"/>
    </xf>
    <xf numFmtId="0" fontId="94" fillId="0" borderId="17" xfId="8" applyFont="1" applyBorder="1" applyProtection="1">
      <protection locked="0"/>
    </xf>
    <xf numFmtId="0" fontId="102" fillId="0" borderId="73" xfId="8" applyFont="1" applyBorder="1"/>
    <xf numFmtId="0" fontId="24" fillId="0" borderId="73" xfId="8" applyFont="1" applyBorder="1"/>
    <xf numFmtId="37" fontId="94" fillId="0" borderId="73" xfId="8" applyNumberFormat="1" applyFont="1" applyBorder="1" applyProtection="1">
      <protection locked="0"/>
    </xf>
    <xf numFmtId="39" fontId="94" fillId="0" borderId="73" xfId="8" applyNumberFormat="1" applyFont="1" applyBorder="1" applyProtection="1">
      <protection locked="0"/>
    </xf>
    <xf numFmtId="37" fontId="24" fillId="0" borderId="73" xfId="8" applyNumberFormat="1" applyFont="1" applyBorder="1"/>
    <xf numFmtId="0" fontId="103" fillId="0" borderId="85" xfId="8" applyFont="1" applyBorder="1" applyProtection="1">
      <protection locked="0"/>
    </xf>
    <xf numFmtId="0" fontId="94" fillId="0" borderId="7" xfId="8" applyFont="1" applyBorder="1" applyProtection="1">
      <protection locked="0"/>
    </xf>
    <xf numFmtId="0" fontId="94" fillId="0" borderId="0" xfId="8" applyFont="1" applyAlignment="1" applyProtection="1">
      <alignment horizontal="left"/>
      <protection locked="0"/>
    </xf>
    <xf numFmtId="0" fontId="94" fillId="0" borderId="8" xfId="8" applyFont="1" applyBorder="1" applyProtection="1">
      <protection locked="0"/>
    </xf>
    <xf numFmtId="37" fontId="94" fillId="20" borderId="74" xfId="8" applyNumberFormat="1" applyFont="1" applyFill="1" applyBorder="1" applyProtection="1">
      <protection locked="0"/>
    </xf>
    <xf numFmtId="39" fontId="94" fillId="0" borderId="74" xfId="8" applyNumberFormat="1" applyFont="1" applyBorder="1" applyProtection="1">
      <protection locked="0"/>
    </xf>
    <xf numFmtId="37" fontId="24" fillId="0" borderId="74" xfId="8" applyNumberFormat="1" applyFont="1" applyBorder="1"/>
    <xf numFmtId="169" fontId="24" fillId="0" borderId="0" xfId="8" applyNumberFormat="1" applyFont="1"/>
    <xf numFmtId="172" fontId="94" fillId="0" borderId="87" xfId="8" applyNumberFormat="1" applyFont="1" applyBorder="1" applyProtection="1">
      <protection locked="0"/>
    </xf>
    <xf numFmtId="0" fontId="94" fillId="0" borderId="8" xfId="8" applyFont="1" applyBorder="1" applyAlignment="1" applyProtection="1">
      <alignment horizontal="left"/>
      <protection locked="0"/>
    </xf>
    <xf numFmtId="10" fontId="24" fillId="0" borderId="0" xfId="8" applyNumberFormat="1" applyFont="1" applyAlignment="1">
      <alignment horizontal="left"/>
    </xf>
    <xf numFmtId="169" fontId="104" fillId="0" borderId="65" xfId="6" applyNumberFormat="1" applyFont="1" applyFill="1" applyBorder="1"/>
    <xf numFmtId="10" fontId="24" fillId="0" borderId="0" xfId="8" applyNumberFormat="1" applyFont="1"/>
    <xf numFmtId="0" fontId="94" fillId="0" borderId="14" xfId="8" applyFont="1" applyBorder="1" applyProtection="1">
      <protection locked="0"/>
    </xf>
    <xf numFmtId="0" fontId="94" fillId="0" borderId="2" xfId="8" applyFont="1" applyBorder="1" applyProtection="1">
      <protection locked="0"/>
    </xf>
    <xf numFmtId="0" fontId="94" fillId="0" borderId="15" xfId="8" applyFont="1" applyBorder="1" applyAlignment="1" applyProtection="1">
      <alignment horizontal="left"/>
      <protection locked="0"/>
    </xf>
    <xf numFmtId="37" fontId="94" fillId="20" borderId="72" xfId="8" applyNumberFormat="1" applyFont="1" applyFill="1" applyBorder="1" applyProtection="1">
      <protection locked="0"/>
    </xf>
    <xf numFmtId="39" fontId="94" fillId="0" borderId="72" xfId="8" applyNumberFormat="1" applyFont="1" applyBorder="1" applyProtection="1">
      <protection locked="0"/>
    </xf>
    <xf numFmtId="37" fontId="24" fillId="0" borderId="72" xfId="8" applyNumberFormat="1" applyFont="1" applyBorder="1"/>
    <xf numFmtId="0" fontId="94" fillId="0" borderId="4" xfId="8" applyFont="1" applyBorder="1" applyProtection="1">
      <protection locked="0"/>
    </xf>
    <xf numFmtId="0" fontId="94" fillId="0" borderId="3" xfId="8" applyFont="1" applyBorder="1" applyProtection="1">
      <protection locked="0"/>
    </xf>
    <xf numFmtId="0" fontId="94" fillId="0" borderId="5" xfId="8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Protection="1">
      <protection locked="0"/>
    </xf>
    <xf numFmtId="39" fontId="94" fillId="0" borderId="65" xfId="8" applyNumberFormat="1" applyFont="1" applyBorder="1" applyProtection="1">
      <protection locked="0"/>
    </xf>
    <xf numFmtId="37" fontId="24" fillId="0" borderId="65" xfId="8" applyNumberFormat="1" applyFont="1" applyBorder="1"/>
    <xf numFmtId="0" fontId="103" fillId="0" borderId="88" xfId="8" applyFont="1" applyBorder="1" applyProtection="1">
      <protection locked="0"/>
    </xf>
    <xf numFmtId="169" fontId="94" fillId="0" borderId="89" xfId="6" applyNumberFormat="1" applyFont="1" applyBorder="1" applyProtection="1">
      <protection locked="0"/>
    </xf>
    <xf numFmtId="172" fontId="94" fillId="0" borderId="90" xfId="8" applyNumberFormat="1" applyFont="1" applyBorder="1" applyProtection="1">
      <protection locked="0"/>
    </xf>
    <xf numFmtId="0" fontId="94" fillId="0" borderId="73" xfId="8" applyFont="1" applyBorder="1" applyProtection="1">
      <protection locked="0"/>
    </xf>
    <xf numFmtId="0" fontId="105" fillId="0" borderId="0" xfId="8" applyFont="1"/>
    <xf numFmtId="176" fontId="24" fillId="0" borderId="0" xfId="8" applyNumberFormat="1" applyFont="1"/>
    <xf numFmtId="0" fontId="94" fillId="0" borderId="14" xfId="8" applyFont="1" applyBorder="1"/>
    <xf numFmtId="0" fontId="94" fillId="0" borderId="2" xfId="8" applyFont="1" applyBorder="1"/>
    <xf numFmtId="0" fontId="94" fillId="0" borderId="15" xfId="8" applyFont="1" applyBorder="1" applyAlignment="1">
      <alignment horizontal="left"/>
    </xf>
    <xf numFmtId="37" fontId="94" fillId="20" borderId="72" xfId="8" applyNumberFormat="1" applyFont="1" applyFill="1" applyBorder="1"/>
    <xf numFmtId="0" fontId="24" fillId="0" borderId="85" xfId="8" applyFont="1" applyBorder="1"/>
    <xf numFmtId="164" fontId="94" fillId="0" borderId="65" xfId="6" applyNumberFormat="1" applyFont="1" applyBorder="1" applyAlignment="1" applyProtection="1">
      <alignment horizontal="left" indent="3"/>
      <protection locked="0"/>
    </xf>
    <xf numFmtId="39" fontId="94" fillId="0" borderId="0" xfId="8" applyNumberFormat="1" applyFont="1" applyProtection="1">
      <protection locked="0"/>
    </xf>
    <xf numFmtId="43" fontId="94" fillId="0" borderId="65" xfId="6" applyFont="1" applyBorder="1" applyAlignment="1" applyProtection="1">
      <alignment horizontal="left" indent="3"/>
      <protection locked="0"/>
    </xf>
    <xf numFmtId="169" fontId="94" fillId="0" borderId="89" xfId="6" applyNumberFormat="1" applyFont="1" applyBorder="1" applyAlignment="1" applyProtection="1">
      <protection locked="0"/>
    </xf>
    <xf numFmtId="0" fontId="94" fillId="0" borderId="91" xfId="8" applyFont="1" applyBorder="1" applyProtection="1">
      <protection locked="0"/>
    </xf>
    <xf numFmtId="0" fontId="94" fillId="0" borderId="0" xfId="8" applyFont="1" applyAlignment="1" applyProtection="1">
      <alignment horizontal="left" indent="2"/>
      <protection locked="0"/>
    </xf>
    <xf numFmtId="164" fontId="94" fillId="0" borderId="91" xfId="6" applyNumberFormat="1" applyFont="1" applyBorder="1" applyAlignment="1" applyProtection="1">
      <alignment horizontal="left" indent="2"/>
      <protection locked="0"/>
    </xf>
    <xf numFmtId="164" fontId="94" fillId="0" borderId="65" xfId="6" applyNumberFormat="1" applyFont="1" applyBorder="1" applyAlignment="1" applyProtection="1">
      <alignment horizontal="left" indent="2"/>
      <protection locked="0"/>
    </xf>
    <xf numFmtId="169" fontId="94" fillId="0" borderId="89" xfId="6" applyNumberFormat="1" applyFont="1" applyBorder="1" applyAlignment="1" applyProtection="1">
      <alignment horizontal="left" indent="2"/>
      <protection locked="0"/>
    </xf>
    <xf numFmtId="37" fontId="94" fillId="0" borderId="0" xfId="8" applyNumberFormat="1" applyFont="1" applyProtection="1">
      <protection locked="0"/>
    </xf>
    <xf numFmtId="169" fontId="94" fillId="0" borderId="92" xfId="8" applyNumberFormat="1" applyFont="1" applyBorder="1" applyProtection="1">
      <protection locked="0"/>
    </xf>
    <xf numFmtId="169" fontId="94" fillId="0" borderId="0" xfId="8" applyNumberFormat="1" applyFont="1" applyProtection="1">
      <protection locked="0"/>
    </xf>
    <xf numFmtId="164" fontId="94" fillId="0" borderId="3" xfId="6" applyNumberFormat="1" applyFont="1" applyBorder="1" applyProtection="1">
      <protection locked="0"/>
    </xf>
    <xf numFmtId="37" fontId="24" fillId="0" borderId="5" xfId="8" applyNumberFormat="1" applyFont="1" applyBorder="1"/>
    <xf numFmtId="0" fontId="100" fillId="0" borderId="2" xfId="8" applyFont="1" applyBorder="1" applyAlignment="1" applyProtection="1">
      <alignment horizontal="left"/>
      <protection locked="0"/>
    </xf>
    <xf numFmtId="0" fontId="100" fillId="0" borderId="15" xfId="8" applyFont="1" applyBorder="1" applyProtection="1">
      <protection locked="0"/>
    </xf>
    <xf numFmtId="164" fontId="94" fillId="0" borderId="72" xfId="8" applyNumberFormat="1" applyFont="1" applyBorder="1" applyProtection="1">
      <protection locked="0"/>
    </xf>
    <xf numFmtId="164" fontId="94" fillId="0" borderId="65" xfId="8" applyNumberFormat="1" applyFont="1" applyBorder="1" applyProtection="1">
      <protection locked="0"/>
    </xf>
    <xf numFmtId="0" fontId="94" fillId="0" borderId="20" xfId="8" applyFont="1" applyBorder="1"/>
    <xf numFmtId="0" fontId="94" fillId="0" borderId="22" xfId="8" applyFont="1" applyBorder="1"/>
    <xf numFmtId="0" fontId="94" fillId="0" borderId="17" xfId="8" applyFont="1" applyBorder="1"/>
    <xf numFmtId="164" fontId="94" fillId="0" borderId="73" xfId="6" applyNumberFormat="1" applyFont="1" applyBorder="1"/>
    <xf numFmtId="0" fontId="94" fillId="0" borderId="73" xfId="8" applyFont="1" applyBorder="1"/>
    <xf numFmtId="37" fontId="24" fillId="0" borderId="93" xfId="8" applyNumberFormat="1" applyFont="1" applyBorder="1"/>
    <xf numFmtId="43" fontId="24" fillId="0" borderId="0" xfId="8" applyNumberFormat="1" applyFont="1"/>
    <xf numFmtId="0" fontId="94" fillId="0" borderId="15" xfId="8" applyFont="1" applyBorder="1"/>
    <xf numFmtId="164" fontId="94" fillId="0" borderId="72" xfId="6" applyNumberFormat="1" applyFont="1" applyBorder="1"/>
    <xf numFmtId="0" fontId="94" fillId="0" borderId="72" xfId="8" applyFont="1" applyBorder="1"/>
    <xf numFmtId="0" fontId="100" fillId="0" borderId="0" xfId="8" applyFont="1"/>
    <xf numFmtId="0" fontId="100" fillId="0" borderId="65" xfId="8" applyFont="1" applyBorder="1"/>
    <xf numFmtId="164" fontId="100" fillId="0" borderId="65" xfId="8" applyNumberFormat="1" applyFont="1" applyBorder="1"/>
    <xf numFmtId="39" fontId="100" fillId="0" borderId="65" xfId="8" applyNumberFormat="1" applyFont="1" applyBorder="1" applyProtection="1">
      <protection locked="0"/>
    </xf>
    <xf numFmtId="0" fontId="94" fillId="0" borderId="65" xfId="8" applyFont="1" applyBorder="1"/>
    <xf numFmtId="2" fontId="94" fillId="0" borderId="2" xfId="8" applyNumberFormat="1" applyFont="1" applyBorder="1"/>
    <xf numFmtId="16" fontId="24" fillId="0" borderId="0" xfId="8" applyNumberFormat="1" applyFont="1"/>
    <xf numFmtId="14" fontId="24" fillId="0" borderId="0" xfId="8" applyNumberFormat="1" applyFont="1"/>
    <xf numFmtId="170" fontId="94" fillId="0" borderId="0" xfId="7" applyNumberFormat="1" applyFont="1"/>
    <xf numFmtId="0" fontId="96" fillId="0" borderId="0" xfId="8" applyFont="1"/>
    <xf numFmtId="39" fontId="0" fillId="0" borderId="0" xfId="0" applyNumberFormat="1"/>
    <xf numFmtId="37" fontId="20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centerContinuous"/>
    </xf>
    <xf numFmtId="10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/>
    </xf>
    <xf numFmtId="169" fontId="15" fillId="0" borderId="0" xfId="2" applyNumberFormat="1" applyFont="1" applyFill="1" applyBorder="1" applyAlignment="1">
      <alignment horizontal="right"/>
    </xf>
    <xf numFmtId="168" fontId="15" fillId="0" borderId="0" xfId="1" applyNumberFormat="1" applyFont="1" applyFill="1" applyBorder="1"/>
    <xf numFmtId="0" fontId="15" fillId="0" borderId="0" xfId="0" applyFont="1" applyAlignment="1">
      <alignment horizontal="left" indent="2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right" indent="1"/>
    </xf>
    <xf numFmtId="38" fontId="15" fillId="0" borderId="0" xfId="0" applyNumberFormat="1" applyFont="1"/>
    <xf numFmtId="164" fontId="15" fillId="0" borderId="0" xfId="1" applyNumberFormat="1" applyFont="1" applyFill="1" applyBorder="1"/>
    <xf numFmtId="0" fontId="15" fillId="0" borderId="0" xfId="0" applyFont="1" applyAlignment="1">
      <alignment horizontal="left" indent="1"/>
    </xf>
    <xf numFmtId="0" fontId="15" fillId="0" borderId="0" xfId="0" applyFont="1" applyAlignment="1">
      <alignment horizontal="right"/>
    </xf>
    <xf numFmtId="164" fontId="15" fillId="0" borderId="0" xfId="0" applyNumberFormat="1" applyFont="1"/>
    <xf numFmtId="174" fontId="15" fillId="0" borderId="0" xfId="0" applyNumberFormat="1" applyFont="1"/>
    <xf numFmtId="164" fontId="15" fillId="0" borderId="0" xfId="0" applyNumberFormat="1" applyFont="1" applyAlignment="1">
      <alignment horizontal="left"/>
    </xf>
    <xf numFmtId="43" fontId="15" fillId="0" borderId="0" xfId="1" applyFont="1" applyFill="1" applyBorder="1"/>
    <xf numFmtId="43" fontId="15" fillId="0" borderId="0" xfId="0" applyNumberFormat="1" applyFont="1"/>
    <xf numFmtId="43" fontId="15" fillId="0" borderId="0" xfId="1" applyFont="1" applyFill="1" applyBorder="1" applyAlignment="1">
      <alignment horizontal="right"/>
    </xf>
    <xf numFmtId="164" fontId="15" fillId="0" borderId="0" xfId="1" applyNumberFormat="1" applyFont="1" applyFill="1" applyBorder="1" applyAlignment="1">
      <alignment horizontal="right"/>
    </xf>
    <xf numFmtId="165" fontId="15" fillId="0" borderId="0" xfId="3" applyNumberFormat="1" applyFon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166" fontId="15" fillId="0" borderId="0" xfId="0" applyNumberFormat="1" applyFont="1" applyAlignment="1">
      <alignment horizontal="left" vertical="center"/>
    </xf>
    <xf numFmtId="167" fontId="15" fillId="0" borderId="0" xfId="3" applyNumberFormat="1" applyFont="1" applyFill="1" applyBorder="1" applyAlignment="1">
      <alignment horizontal="right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4" fontId="15" fillId="0" borderId="0" xfId="0" applyNumberFormat="1" applyFont="1" applyAlignment="1">
      <alignment horizontal="center"/>
    </xf>
    <xf numFmtId="9" fontId="15" fillId="0" borderId="0" xfId="0" applyNumberFormat="1" applyFont="1"/>
    <xf numFmtId="164" fontId="15" fillId="0" borderId="0" xfId="1" applyNumberFormat="1" applyFont="1" applyFill="1" applyBorder="1" applyAlignment="1">
      <alignment horizontal="right" indent="1"/>
    </xf>
    <xf numFmtId="9" fontId="15" fillId="0" borderId="0" xfId="3" applyFont="1" applyFill="1" applyBorder="1" applyAlignment="1">
      <alignment horizontal="right" indent="1"/>
    </xf>
    <xf numFmtId="43" fontId="15" fillId="0" borderId="0" xfId="1" applyFont="1" applyFill="1" applyBorder="1" applyAlignment="1">
      <alignment horizontal="right" indent="1"/>
    </xf>
    <xf numFmtId="10" fontId="15" fillId="0" borderId="0" xfId="3" applyNumberFormat="1" applyFont="1" applyFill="1" applyBorder="1" applyAlignment="1">
      <alignment horizontal="right" indent="1"/>
    </xf>
    <xf numFmtId="164" fontId="15" fillId="0" borderId="0" xfId="1" applyNumberFormat="1" applyFont="1" applyFill="1" applyBorder="1" applyAlignment="1">
      <alignment horizontal="left" indent="1"/>
    </xf>
    <xf numFmtId="9" fontId="15" fillId="0" borderId="0" xfId="1" applyNumberFormat="1" applyFont="1" applyFill="1" applyBorder="1" applyAlignment="1">
      <alignment horizontal="left"/>
    </xf>
    <xf numFmtId="164" fontId="15" fillId="0" borderId="0" xfId="1" applyNumberFormat="1" applyFont="1" applyFill="1" applyBorder="1" applyAlignment="1">
      <alignment horizontal="left"/>
    </xf>
    <xf numFmtId="0" fontId="15" fillId="0" borderId="0" xfId="0" applyFont="1" applyAlignment="1">
      <alignment horizontal="left" vertical="center" indent="1"/>
    </xf>
    <xf numFmtId="0" fontId="59" fillId="0" borderId="94" xfId="0" quotePrefix="1" applyFont="1" applyBorder="1"/>
    <xf numFmtId="0" fontId="64" fillId="0" borderId="94" xfId="0" applyFont="1" applyBorder="1" applyProtection="1">
      <protection locked="0"/>
    </xf>
    <xf numFmtId="0" fontId="15" fillId="0" borderId="1" xfId="0" applyFont="1" applyBorder="1"/>
    <xf numFmtId="0" fontId="15" fillId="0" borderId="6" xfId="0" applyFont="1" applyBorder="1"/>
    <xf numFmtId="164" fontId="15" fillId="0" borderId="6" xfId="1" applyNumberFormat="1" applyFont="1" applyFill="1" applyBorder="1" applyAlignment="1">
      <alignment horizontal="center"/>
    </xf>
    <xf numFmtId="170" fontId="15" fillId="0" borderId="0" xfId="2" applyNumberFormat="1" applyFont="1" applyFill="1" applyBorder="1" applyAlignment="1">
      <alignment horizontal="center"/>
    </xf>
    <xf numFmtId="9" fontId="15" fillId="0" borderId="0" xfId="3" applyFont="1" applyFill="1" applyBorder="1" applyAlignment="1">
      <alignment horizontal="center"/>
    </xf>
    <xf numFmtId="0" fontId="15" fillId="0" borderId="3" xfId="0" applyFont="1" applyBorder="1"/>
    <xf numFmtId="164" fontId="15" fillId="0" borderId="3" xfId="1" applyNumberFormat="1" applyFont="1" applyFill="1" applyBorder="1" applyAlignment="1">
      <alignment horizontal="center"/>
    </xf>
    <xf numFmtId="9" fontId="15" fillId="0" borderId="6" xfId="3" applyFont="1" applyFill="1" applyBorder="1" applyAlignment="1">
      <alignment horizontal="center"/>
    </xf>
    <xf numFmtId="164" fontId="15" fillId="0" borderId="0" xfId="1" applyNumberFormat="1" applyFont="1" applyBorder="1" applyAlignment="1">
      <alignment horizontal="center"/>
    </xf>
    <xf numFmtId="0" fontId="15" fillId="0" borderId="8" xfId="0" applyFont="1" applyBorder="1"/>
    <xf numFmtId="164" fontId="15" fillId="0" borderId="0" xfId="1" applyNumberFormat="1" applyFont="1" applyBorder="1"/>
    <xf numFmtId="164" fontId="15" fillId="0" borderId="8" xfId="0" applyNumberFormat="1" applyFont="1" applyBorder="1"/>
    <xf numFmtId="164" fontId="15" fillId="0" borderId="0" xfId="1" applyNumberFormat="1" applyFont="1"/>
    <xf numFmtId="0" fontId="53" fillId="0" borderId="94" xfId="0" applyFont="1" applyBorder="1"/>
    <xf numFmtId="0" fontId="15" fillId="0" borderId="37" xfId="0" applyFont="1" applyBorder="1"/>
    <xf numFmtId="164" fontId="15" fillId="0" borderId="35" xfId="1" applyNumberFormat="1" applyFont="1" applyBorder="1" applyAlignment="1">
      <alignment horizontal="center"/>
    </xf>
    <xf numFmtId="164" fontId="15" fillId="0" borderId="36" xfId="1" applyNumberFormat="1" applyFont="1" applyBorder="1" applyAlignment="1">
      <alignment horizontal="center"/>
    </xf>
    <xf numFmtId="164" fontId="15" fillId="0" borderId="36" xfId="1" applyNumberFormat="1" applyFont="1" applyFill="1" applyBorder="1" applyAlignment="1">
      <alignment horizontal="center"/>
    </xf>
    <xf numFmtId="164" fontId="15" fillId="0" borderId="36" xfId="1" applyNumberFormat="1" applyFont="1" applyBorder="1"/>
    <xf numFmtId="164" fontId="15" fillId="0" borderId="36" xfId="1" applyNumberFormat="1" applyFont="1" applyFill="1" applyBorder="1"/>
    <xf numFmtId="0" fontId="15" fillId="0" borderId="36" xfId="0" applyFont="1" applyBorder="1"/>
    <xf numFmtId="164" fontId="15" fillId="0" borderId="35" xfId="1" applyNumberFormat="1" applyFont="1" applyBorder="1"/>
    <xf numFmtId="0" fontId="15" fillId="0" borderId="36" xfId="0" applyFont="1" applyBorder="1" applyAlignment="1" applyProtection="1">
      <alignment horizontal="left"/>
      <protection locked="0"/>
    </xf>
    <xf numFmtId="0" fontId="15" fillId="0" borderId="67" xfId="0" applyFont="1" applyBorder="1"/>
    <xf numFmtId="164" fontId="15" fillId="0" borderId="67" xfId="1" applyNumberFormat="1" applyFont="1" applyBorder="1"/>
    <xf numFmtId="164" fontId="15" fillId="0" borderId="67" xfId="1" applyNumberFormat="1" applyFont="1" applyFill="1" applyBorder="1"/>
    <xf numFmtId="43" fontId="15" fillId="0" borderId="36" xfId="1" applyFont="1" applyBorder="1"/>
    <xf numFmtId="164" fontId="15" fillId="0" borderId="47" xfId="1" applyNumberFormat="1" applyFont="1" applyBorder="1"/>
    <xf numFmtId="164" fontId="15" fillId="0" borderId="48" xfId="1" applyNumberFormat="1" applyFont="1" applyBorder="1"/>
    <xf numFmtId="0" fontId="15" fillId="0" borderId="2" xfId="0" applyFont="1" applyBorder="1" applyAlignment="1">
      <alignment horizontal="center"/>
    </xf>
    <xf numFmtId="43" fontId="15" fillId="0" borderId="0" xfId="1" applyFont="1"/>
    <xf numFmtId="43" fontId="15" fillId="0" borderId="6" xfId="1" applyFont="1" applyBorder="1"/>
    <xf numFmtId="164" fontId="15" fillId="5" borderId="35" xfId="1" applyNumberFormat="1" applyFont="1" applyFill="1" applyBorder="1" applyAlignment="1">
      <alignment horizontal="center"/>
    </xf>
    <xf numFmtId="164" fontId="15" fillId="5" borderId="36" xfId="1" applyNumberFormat="1" applyFont="1" applyFill="1" applyBorder="1" applyAlignment="1">
      <alignment horizontal="center"/>
    </xf>
    <xf numFmtId="164" fontId="15" fillId="5" borderId="37" xfId="1" applyNumberFormat="1" applyFont="1" applyFill="1" applyBorder="1" applyAlignment="1">
      <alignment horizontal="center"/>
    </xf>
    <xf numFmtId="164" fontId="15" fillId="5" borderId="34" xfId="1" applyNumberFormat="1" applyFont="1" applyFill="1" applyBorder="1" applyAlignment="1">
      <alignment horizontal="center"/>
    </xf>
    <xf numFmtId="164" fontId="15" fillId="5" borderId="38" xfId="1" applyNumberFormat="1" applyFont="1" applyFill="1" applyBorder="1" applyAlignment="1">
      <alignment horizontal="center"/>
    </xf>
    <xf numFmtId="164" fontId="15" fillId="0" borderId="37" xfId="1" applyNumberFormat="1" applyFont="1" applyBorder="1"/>
    <xf numFmtId="164" fontId="15" fillId="0" borderId="34" xfId="1" applyNumberFormat="1" applyFont="1" applyBorder="1"/>
    <xf numFmtId="164" fontId="15" fillId="0" borderId="38" xfId="1" applyNumberFormat="1" applyFont="1" applyBorder="1"/>
    <xf numFmtId="164" fontId="15" fillId="5" borderId="36" xfId="1" applyNumberFormat="1" applyFont="1" applyFill="1" applyBorder="1"/>
    <xf numFmtId="164" fontId="15" fillId="5" borderId="37" xfId="1" applyNumberFormat="1" applyFont="1" applyFill="1" applyBorder="1"/>
    <xf numFmtId="164" fontId="15" fillId="5" borderId="34" xfId="1" applyNumberFormat="1" applyFont="1" applyFill="1" applyBorder="1"/>
    <xf numFmtId="164" fontId="15" fillId="5" borderId="38" xfId="1" applyNumberFormat="1" applyFont="1" applyFill="1" applyBorder="1"/>
    <xf numFmtId="164" fontId="15" fillId="5" borderId="35" xfId="1" applyNumberFormat="1" applyFont="1" applyFill="1" applyBorder="1"/>
    <xf numFmtId="164" fontId="15" fillId="5" borderId="41" xfId="1" applyNumberFormat="1" applyFont="1" applyFill="1" applyBorder="1"/>
    <xf numFmtId="164" fontId="15" fillId="0" borderId="42" xfId="1" applyNumberFormat="1" applyFont="1" applyBorder="1"/>
    <xf numFmtId="164" fontId="15" fillId="0" borderId="44" xfId="1" applyNumberFormat="1" applyFont="1" applyBorder="1"/>
    <xf numFmtId="164" fontId="15" fillId="0" borderId="41" xfId="1" applyNumberFormat="1" applyFont="1" applyBorder="1"/>
    <xf numFmtId="164" fontId="15" fillId="0" borderId="49" xfId="1" applyNumberFormat="1" applyFont="1" applyBorder="1"/>
    <xf numFmtId="164" fontId="15" fillId="0" borderId="50" xfId="1" applyNumberFormat="1" applyFont="1" applyBorder="1"/>
    <xf numFmtId="164" fontId="15" fillId="0" borderId="51" xfId="1" applyNumberFormat="1" applyFont="1" applyBorder="1"/>
    <xf numFmtId="164" fontId="15" fillId="0" borderId="53" xfId="1" applyNumberFormat="1" applyFont="1" applyBorder="1"/>
    <xf numFmtId="164" fontId="15" fillId="0" borderId="54" xfId="1" applyNumberFormat="1" applyFont="1" applyBorder="1"/>
    <xf numFmtId="164" fontId="15" fillId="0" borderId="55" xfId="1" applyNumberFormat="1" applyFont="1" applyBorder="1"/>
    <xf numFmtId="164" fontId="15" fillId="0" borderId="56" xfId="1" applyNumberFormat="1" applyFont="1" applyBorder="1"/>
    <xf numFmtId="164" fontId="15" fillId="0" borderId="57" xfId="1" applyNumberFormat="1" applyFont="1" applyBorder="1"/>
    <xf numFmtId="164" fontId="15" fillId="9" borderId="61" xfId="1" applyNumberFormat="1" applyFont="1" applyFill="1" applyBorder="1"/>
    <xf numFmtId="164" fontId="15" fillId="0" borderId="62" xfId="1" applyNumberFormat="1" applyFont="1" applyBorder="1"/>
    <xf numFmtId="164" fontId="15" fillId="0" borderId="64" xfId="1" applyNumberFormat="1" applyFont="1" applyBorder="1"/>
    <xf numFmtId="164" fontId="15" fillId="11" borderId="65" xfId="1" applyNumberFormat="1" applyFont="1" applyFill="1" applyBorder="1" applyAlignment="1">
      <alignment horizontal="center"/>
    </xf>
    <xf numFmtId="164" fontId="15" fillId="0" borderId="5" xfId="1" applyNumberFormat="1" applyFont="1" applyBorder="1"/>
    <xf numFmtId="164" fontId="15" fillId="0" borderId="65" xfId="1" applyNumberFormat="1" applyFont="1" applyBorder="1"/>
    <xf numFmtId="164" fontId="15" fillId="11" borderId="65" xfId="1" applyNumberFormat="1" applyFont="1" applyFill="1" applyBorder="1"/>
    <xf numFmtId="164" fontId="15" fillId="5" borderId="65" xfId="1" applyNumberFormat="1" applyFont="1" applyFill="1" applyBorder="1"/>
    <xf numFmtId="164" fontId="15" fillId="14" borderId="65" xfId="1" applyNumberFormat="1" applyFont="1" applyFill="1" applyBorder="1"/>
    <xf numFmtId="164" fontId="15" fillId="0" borderId="4" xfId="1" applyNumberFormat="1" applyFont="1" applyBorder="1"/>
    <xf numFmtId="164" fontId="15" fillId="0" borderId="66" xfId="1" applyNumberFormat="1" applyFont="1" applyBorder="1"/>
    <xf numFmtId="164" fontId="15" fillId="15" borderId="4" xfId="1" applyNumberFormat="1" applyFont="1" applyFill="1" applyBorder="1"/>
    <xf numFmtId="0" fontId="20" fillId="21" borderId="96" xfId="0" applyFont="1" applyFill="1" applyBorder="1"/>
    <xf numFmtId="0" fontId="0" fillId="21" borderId="96" xfId="0" applyFill="1" applyBorder="1"/>
    <xf numFmtId="0" fontId="54" fillId="0" borderId="97" xfId="0" applyFont="1" applyBorder="1" applyAlignment="1">
      <alignment horizontal="center"/>
    </xf>
    <xf numFmtId="0" fontId="54" fillId="0" borderId="97" xfId="0" applyFont="1" applyBorder="1"/>
    <xf numFmtId="0" fontId="55" fillId="0" borderId="95" xfId="0" applyFont="1" applyBorder="1" applyAlignment="1" applyProtection="1">
      <alignment horizontal="right"/>
      <protection locked="0"/>
    </xf>
    <xf numFmtId="0" fontId="54" fillId="0" borderId="97" xfId="0" applyFont="1" applyBorder="1" applyAlignment="1">
      <alignment horizontal="right"/>
    </xf>
    <xf numFmtId="0" fontId="55" fillId="0" borderId="98" xfId="0" applyFont="1" applyBorder="1"/>
    <xf numFmtId="0" fontId="55" fillId="0" borderId="98" xfId="0" applyFont="1" applyBorder="1" applyProtection="1">
      <protection locked="0"/>
    </xf>
    <xf numFmtId="0" fontId="55" fillId="17" borderId="98" xfId="0" applyFont="1" applyFill="1" applyBorder="1" applyProtection="1">
      <protection locked="0"/>
    </xf>
    <xf numFmtId="0" fontId="54" fillId="0" borderId="98" xfId="0" applyFont="1" applyBorder="1"/>
    <xf numFmtId="0" fontId="60" fillId="0" borderId="98" xfId="0" applyFont="1" applyBorder="1" applyAlignment="1" applyProtection="1">
      <alignment horizontal="left"/>
      <protection locked="0"/>
    </xf>
    <xf numFmtId="0" fontId="55" fillId="0" borderId="98" xfId="0" applyFont="1" applyBorder="1" applyAlignment="1">
      <alignment horizontal="right"/>
    </xf>
    <xf numFmtId="0" fontId="54" fillId="0" borderId="98" xfId="0" applyFont="1" applyBorder="1" applyAlignment="1">
      <alignment horizontal="right"/>
    </xf>
    <xf numFmtId="0" fontId="55" fillId="0" borderId="98" xfId="0" applyFont="1" applyBorder="1" applyAlignment="1" applyProtection="1">
      <alignment horizontal="right"/>
      <protection locked="0"/>
    </xf>
    <xf numFmtId="0" fontId="55" fillId="0" borderId="98" xfId="0" applyFont="1" applyBorder="1" applyAlignment="1" applyProtection="1">
      <alignment horizontal="center" wrapText="1"/>
      <protection locked="0"/>
    </xf>
    <xf numFmtId="0" fontId="55" fillId="0" borderId="98" xfId="0" applyFont="1" applyBorder="1" applyAlignment="1" applyProtection="1">
      <alignment horizontal="center"/>
      <protection locked="0"/>
    </xf>
    <xf numFmtId="0" fontId="55" fillId="0" borderId="98" xfId="0" applyFont="1" applyBorder="1" applyAlignment="1">
      <alignment horizontal="center"/>
    </xf>
    <xf numFmtId="0" fontId="54" fillId="0" borderId="98" xfId="0" applyFont="1" applyBorder="1" applyAlignment="1">
      <alignment horizontal="center"/>
    </xf>
    <xf numFmtId="37" fontId="55" fillId="0" borderId="98" xfId="0" applyNumberFormat="1" applyFont="1" applyBorder="1" applyAlignment="1" applyProtection="1">
      <alignment horizontal="center"/>
      <protection locked="0"/>
    </xf>
    <xf numFmtId="37" fontId="55" fillId="0" borderId="98" xfId="0" applyNumberFormat="1" applyFont="1" applyBorder="1" applyProtection="1">
      <protection locked="0"/>
    </xf>
    <xf numFmtId="3" fontId="54" fillId="0" borderId="98" xfId="0" applyNumberFormat="1" applyFont="1" applyBorder="1"/>
    <xf numFmtId="3" fontId="55" fillId="0" borderId="98" xfId="0" applyNumberFormat="1" applyFont="1" applyBorder="1" applyAlignment="1" applyProtection="1">
      <alignment horizontal="right"/>
      <protection locked="0"/>
    </xf>
    <xf numFmtId="3" fontId="55" fillId="0" borderId="98" xfId="0" applyNumberFormat="1" applyFont="1" applyBorder="1" applyAlignment="1" applyProtection="1">
      <alignment horizontal="center" wrapText="1"/>
      <protection locked="0"/>
    </xf>
    <xf numFmtId="3" fontId="55" fillId="0" borderId="98" xfId="0" applyNumberFormat="1" applyFont="1" applyBorder="1" applyAlignment="1" applyProtection="1">
      <alignment horizontal="center"/>
      <protection locked="0"/>
    </xf>
    <xf numFmtId="0" fontId="53" fillId="0" borderId="98" xfId="0" applyFont="1" applyBorder="1" applyProtection="1">
      <protection locked="0"/>
    </xf>
    <xf numFmtId="0" fontId="24" fillId="3" borderId="99" xfId="8" applyFont="1" applyFill="1" applyBorder="1"/>
    <xf numFmtId="0" fontId="94" fillId="3" borderId="100" xfId="8" applyFont="1" applyFill="1" applyBorder="1" applyAlignment="1">
      <alignment horizontal="center"/>
    </xf>
    <xf numFmtId="0" fontId="103" fillId="0" borderId="99" xfId="8" applyFont="1" applyBorder="1" applyProtection="1">
      <protection locked="0"/>
    </xf>
    <xf numFmtId="169" fontId="94" fillId="0" borderId="101" xfId="8" applyNumberFormat="1" applyFont="1" applyBorder="1" applyProtection="1">
      <protection locked="0"/>
    </xf>
    <xf numFmtId="0" fontId="24" fillId="2" borderId="102" xfId="8" applyFont="1" applyFill="1" applyBorder="1"/>
    <xf numFmtId="0" fontId="24" fillId="2" borderId="103" xfId="8" applyFont="1" applyFill="1" applyBorder="1"/>
    <xf numFmtId="0" fontId="24" fillId="2" borderId="104" xfId="8" applyFont="1" applyFill="1" applyBorder="1"/>
    <xf numFmtId="0" fontId="91" fillId="3" borderId="102" xfId="8" applyFill="1" applyBorder="1"/>
    <xf numFmtId="0" fontId="91" fillId="3" borderId="103" xfId="8" applyFill="1" applyBorder="1"/>
    <xf numFmtId="0" fontId="91" fillId="3" borderId="104" xfId="8" applyFill="1" applyBorder="1"/>
    <xf numFmtId="0" fontId="94" fillId="3" borderId="102" xfId="8" applyFont="1" applyFill="1" applyBorder="1"/>
    <xf numFmtId="0" fontId="94" fillId="3" borderId="103" xfId="8" applyFont="1" applyFill="1" applyBorder="1"/>
    <xf numFmtId="0" fontId="94" fillId="3" borderId="104" xfId="8" applyFont="1" applyFill="1" applyBorder="1"/>
    <xf numFmtId="0" fontId="24" fillId="0" borderId="102" xfId="8" applyFont="1" applyBorder="1"/>
    <xf numFmtId="0" fontId="94" fillId="0" borderId="103" xfId="8" applyFont="1" applyBorder="1"/>
    <xf numFmtId="0" fontId="24" fillId="0" borderId="103" xfId="8" applyFont="1" applyBorder="1"/>
    <xf numFmtId="0" fontId="24" fillId="0" borderId="104" xfId="8" applyFont="1" applyBorder="1"/>
    <xf numFmtId="0" fontId="100" fillId="0" borderId="0" xfId="0" applyFont="1" applyAlignment="1">
      <alignment horizontal="left" vertical="top"/>
    </xf>
    <xf numFmtId="0" fontId="94" fillId="0" borderId="0" xfId="0" applyFont="1" applyAlignment="1">
      <alignment horizontal="left" vertical="top"/>
    </xf>
    <xf numFmtId="0" fontId="94" fillId="0" borderId="0" xfId="0" applyFont="1" applyAlignment="1">
      <alignment vertical="top"/>
    </xf>
    <xf numFmtId="6" fontId="94" fillId="18" borderId="0" xfId="0" applyNumberFormat="1" applyFont="1" applyFill="1" applyAlignment="1">
      <alignment horizontal="right" vertical="top"/>
    </xf>
    <xf numFmtId="9" fontId="96" fillId="0" borderId="0" xfId="5" applyFont="1" applyFill="1" applyBorder="1" applyAlignment="1" applyProtection="1">
      <alignment vertical="top"/>
    </xf>
    <xf numFmtId="38" fontId="96" fillId="0" borderId="0" xfId="0" applyNumberFormat="1" applyFont="1" applyAlignment="1">
      <alignment vertical="top"/>
    </xf>
    <xf numFmtId="0" fontId="24" fillId="0" borderId="0" xfId="0" applyFont="1" applyAlignment="1">
      <alignment vertical="top"/>
    </xf>
    <xf numFmtId="38" fontId="96" fillId="20" borderId="0" xfId="0" applyNumberFormat="1" applyFont="1" applyFill="1" applyAlignment="1">
      <alignment vertical="top"/>
    </xf>
    <xf numFmtId="10" fontId="94" fillId="18" borderId="0" xfId="0" applyNumberFormat="1" applyFont="1" applyFill="1" applyAlignment="1">
      <alignment vertical="top"/>
    </xf>
    <xf numFmtId="169" fontId="94" fillId="19" borderId="0" xfId="0" applyNumberFormat="1" applyFont="1" applyFill="1" applyAlignment="1">
      <alignment vertical="top"/>
    </xf>
    <xf numFmtId="7" fontId="94" fillId="0" borderId="0" xfId="0" applyNumberFormat="1" applyFont="1" applyAlignment="1">
      <alignment vertical="top"/>
    </xf>
    <xf numFmtId="8" fontId="94" fillId="22" borderId="0" xfId="0" applyNumberFormat="1" applyFont="1" applyFill="1" applyAlignment="1">
      <alignment vertical="top"/>
    </xf>
    <xf numFmtId="38" fontId="96" fillId="0" borderId="0" xfId="6" applyNumberFormat="1" applyFont="1" applyFill="1" applyBorder="1" applyAlignment="1" applyProtection="1">
      <alignment vertical="top"/>
    </xf>
    <xf numFmtId="38" fontId="94" fillId="0" borderId="74" xfId="6" applyNumberFormat="1" applyFont="1" applyFill="1" applyBorder="1" applyAlignment="1" applyProtection="1">
      <alignment vertical="top"/>
      <protection locked="0"/>
    </xf>
    <xf numFmtId="0" fontId="24" fillId="0" borderId="0" xfId="0" applyFont="1"/>
    <xf numFmtId="0" fontId="24" fillId="0" borderId="0" xfId="0" applyFont="1" applyAlignment="1">
      <alignment horizontal="center"/>
    </xf>
    <xf numFmtId="0" fontId="24" fillId="2" borderId="105" xfId="0" applyFont="1" applyFill="1" applyBorder="1"/>
    <xf numFmtId="0" fontId="24" fillId="2" borderId="23" xfId="0" applyFont="1" applyFill="1" applyBorder="1"/>
    <xf numFmtId="0" fontId="93" fillId="2" borderId="0" xfId="0" applyFont="1" applyFill="1"/>
    <xf numFmtId="37" fontId="24" fillId="2" borderId="0" xfId="0" applyNumberFormat="1" applyFont="1" applyFill="1"/>
    <xf numFmtId="0" fontId="24" fillId="2" borderId="0" xfId="0" applyFont="1" applyFill="1"/>
    <xf numFmtId="0" fontId="24" fillId="2" borderId="13" xfId="0" applyFont="1" applyFill="1" applyBorder="1"/>
    <xf numFmtId="6" fontId="104" fillId="0" borderId="0" xfId="0" applyNumberFormat="1" applyFont="1"/>
    <xf numFmtId="0" fontId="104" fillId="0" borderId="0" xfId="0" applyFont="1"/>
    <xf numFmtId="0" fontId="92" fillId="2" borderId="0" xfId="0" applyFont="1" applyFill="1"/>
    <xf numFmtId="0" fontId="24" fillId="2" borderId="103" xfId="0" applyFont="1" applyFill="1" applyBorder="1"/>
    <xf numFmtId="0" fontId="24" fillId="2" borderId="95" xfId="0" applyFont="1" applyFill="1" applyBorder="1"/>
    <xf numFmtId="0" fontId="92" fillId="0" borderId="0" xfId="0" applyFont="1"/>
    <xf numFmtId="0" fontId="24" fillId="3" borderId="0" xfId="0" applyFont="1" applyFill="1"/>
    <xf numFmtId="0" fontId="105" fillId="3" borderId="0" xfId="0" applyFont="1" applyFill="1"/>
    <xf numFmtId="0" fontId="92" fillId="3" borderId="0" xfId="0" applyFont="1" applyFill="1"/>
    <xf numFmtId="0" fontId="92" fillId="0" borderId="0" xfId="0" applyFont="1" applyAlignment="1">
      <alignment horizontal="right"/>
    </xf>
    <xf numFmtId="0" fontId="24" fillId="0" borderId="2" xfId="0" applyFont="1" applyBorder="1" applyAlignment="1">
      <alignment horizontal="center"/>
    </xf>
    <xf numFmtId="0" fontId="24" fillId="0" borderId="0" xfId="0" applyFont="1" applyAlignment="1">
      <alignment horizontal="left"/>
    </xf>
    <xf numFmtId="37" fontId="24" fillId="0" borderId="0" xfId="0" applyNumberFormat="1" applyFont="1" applyProtection="1">
      <protection locked="0"/>
    </xf>
    <xf numFmtId="0" fontId="106" fillId="0" borderId="0" xfId="0" applyFont="1"/>
    <xf numFmtId="164" fontId="24" fillId="0" borderId="0" xfId="6" applyNumberFormat="1" applyFont="1" applyFill="1" applyBorder="1" applyAlignment="1">
      <alignment horizontal="center"/>
    </xf>
    <xf numFmtId="49" fontId="24" fillId="0" borderId="0" xfId="0" applyNumberFormat="1" applyFont="1"/>
    <xf numFmtId="0" fontId="24" fillId="0" borderId="0" xfId="0" applyFont="1" applyAlignment="1">
      <alignment horizontal="right"/>
    </xf>
    <xf numFmtId="3" fontId="24" fillId="0" borderId="0" xfId="0" applyNumberFormat="1" applyFont="1"/>
    <xf numFmtId="37" fontId="24" fillId="19" borderId="0" xfId="0" applyNumberFormat="1" applyFont="1" applyFill="1" applyProtection="1">
      <protection locked="0"/>
    </xf>
    <xf numFmtId="0" fontId="107" fillId="0" borderId="0" xfId="0" applyFont="1"/>
    <xf numFmtId="10" fontId="24" fillId="20" borderId="0" xfId="5" applyNumberFormat="1" applyFont="1" applyFill="1" applyBorder="1" applyAlignment="1">
      <alignment horizontal="center"/>
    </xf>
    <xf numFmtId="37" fontId="24" fillId="0" borderId="0" xfId="0" applyNumberFormat="1" applyFont="1"/>
    <xf numFmtId="0" fontId="24" fillId="0" borderId="3" xfId="0" applyFont="1" applyBorder="1" applyAlignment="1">
      <alignment horizontal="left"/>
    </xf>
    <xf numFmtId="37" fontId="24" fillId="0" borderId="3" xfId="0" applyNumberFormat="1" applyFont="1" applyBorder="1" applyProtection="1">
      <protection locked="0"/>
    </xf>
    <xf numFmtId="3" fontId="24" fillId="0" borderId="0" xfId="0" applyNumberFormat="1" applyFont="1" applyAlignment="1" applyProtection="1">
      <alignment horizontal="right"/>
      <protection locked="0"/>
    </xf>
    <xf numFmtId="0" fontId="94" fillId="0" borderId="0" xfId="0" applyFont="1" applyAlignment="1">
      <alignment horizontal="left"/>
    </xf>
    <xf numFmtId="0" fontId="94" fillId="0" borderId="0" xfId="0" applyFont="1"/>
    <xf numFmtId="164" fontId="24" fillId="0" borderId="2" xfId="6" applyNumberFormat="1" applyFont="1" applyFill="1" applyBorder="1" applyAlignment="1">
      <alignment horizontal="center"/>
    </xf>
    <xf numFmtId="49" fontId="24" fillId="0" borderId="2" xfId="0" applyNumberFormat="1" applyFont="1" applyBorder="1"/>
    <xf numFmtId="3" fontId="24" fillId="0" borderId="0" xfId="0" applyNumberFormat="1" applyFont="1" applyAlignment="1">
      <alignment horizontal="right"/>
    </xf>
    <xf numFmtId="0" fontId="94" fillId="0" borderId="3" xfId="0" applyFont="1" applyBorder="1" applyAlignment="1">
      <alignment horizontal="left"/>
    </xf>
    <xf numFmtId="3" fontId="94" fillId="0" borderId="3" xfId="0" applyNumberFormat="1" applyFont="1" applyBorder="1" applyAlignment="1" applyProtection="1">
      <alignment horizontal="right"/>
      <protection locked="0"/>
    </xf>
    <xf numFmtId="2" fontId="24" fillId="0" borderId="0" xfId="0" applyNumberFormat="1" applyFont="1" applyAlignment="1">
      <alignment horizontal="center"/>
    </xf>
    <xf numFmtId="9" fontId="24" fillId="0" borderId="0" xfId="0" applyNumberFormat="1" applyFont="1"/>
    <xf numFmtId="37" fontId="94" fillId="0" borderId="0" xfId="0" applyNumberFormat="1" applyFont="1" applyProtection="1">
      <protection locked="0"/>
    </xf>
    <xf numFmtId="37" fontId="24" fillId="0" borderId="0" xfId="0" applyNumberFormat="1" applyFont="1" applyAlignment="1">
      <alignment horizontal="left"/>
    </xf>
    <xf numFmtId="9" fontId="94" fillId="0" borderId="0" xfId="0" applyNumberFormat="1" applyFont="1" applyProtection="1">
      <protection locked="0"/>
    </xf>
    <xf numFmtId="10" fontId="24" fillId="0" borderId="0" xfId="0" applyNumberFormat="1" applyFont="1"/>
    <xf numFmtId="37" fontId="94" fillId="19" borderId="0" xfId="0" applyNumberFormat="1" applyFont="1" applyFill="1" applyProtection="1">
      <protection locked="0"/>
    </xf>
    <xf numFmtId="37" fontId="94" fillId="0" borderId="3" xfId="0" applyNumberFormat="1" applyFont="1" applyBorder="1" applyProtection="1">
      <protection locked="0"/>
    </xf>
    <xf numFmtId="0" fontId="100" fillId="0" borderId="20" xfId="0" applyFont="1" applyBorder="1" applyAlignment="1">
      <alignment horizontal="left"/>
    </xf>
    <xf numFmtId="37" fontId="100" fillId="0" borderId="17" xfId="0" applyNumberFormat="1" applyFont="1" applyBorder="1" applyProtection="1">
      <protection locked="0"/>
    </xf>
    <xf numFmtId="0" fontId="100" fillId="0" borderId="7" xfId="0" applyFont="1" applyBorder="1" applyAlignment="1">
      <alignment horizontal="left"/>
    </xf>
    <xf numFmtId="9" fontId="100" fillId="0" borderId="8" xfId="0" applyNumberFormat="1" applyFont="1" applyBorder="1" applyProtection="1">
      <protection locked="0"/>
    </xf>
    <xf numFmtId="0" fontId="92" fillId="0" borderId="7" xfId="0" applyFont="1" applyBorder="1"/>
    <xf numFmtId="10" fontId="100" fillId="0" borderId="8" xfId="0" applyNumberFormat="1" applyFont="1" applyBorder="1" applyProtection="1">
      <protection locked="0"/>
    </xf>
    <xf numFmtId="10" fontId="100" fillId="0" borderId="8" xfId="0" applyNumberFormat="1" applyFont="1" applyBorder="1" applyAlignment="1" applyProtection="1">
      <alignment horizontal="right"/>
      <protection locked="0"/>
    </xf>
    <xf numFmtId="0" fontId="100" fillId="0" borderId="14" xfId="0" applyFont="1" applyBorder="1" applyAlignment="1">
      <alignment horizontal="left"/>
    </xf>
    <xf numFmtId="9" fontId="100" fillId="0" borderId="15" xfId="0" applyNumberFormat="1" applyFont="1" applyBorder="1" applyProtection="1">
      <protection locked="0"/>
    </xf>
    <xf numFmtId="0" fontId="92" fillId="0" borderId="3" xfId="0" applyFont="1" applyBorder="1"/>
    <xf numFmtId="0" fontId="24" fillId="0" borderId="3" xfId="0" applyFont="1" applyBorder="1"/>
    <xf numFmtId="0" fontId="24" fillId="0" borderId="5" xfId="0" applyFont="1" applyBorder="1"/>
    <xf numFmtId="0" fontId="108" fillId="0" borderId="0" xfId="0" applyFont="1"/>
    <xf numFmtId="3" fontId="94" fillId="0" borderId="0" xfId="0" applyNumberFormat="1" applyFont="1" applyProtection="1">
      <protection locked="0"/>
    </xf>
    <xf numFmtId="0" fontId="24" fillId="0" borderId="2" xfId="0" applyFont="1" applyBorder="1"/>
    <xf numFmtId="0" fontId="24" fillId="0" borderId="2" xfId="0" applyFont="1" applyBorder="1" applyAlignment="1">
      <alignment horizontal="left"/>
    </xf>
    <xf numFmtId="0" fontId="24" fillId="0" borderId="2" xfId="0" applyFont="1" applyBorder="1" applyAlignment="1">
      <alignment horizontal="center" wrapText="1"/>
    </xf>
    <xf numFmtId="2" fontId="24" fillId="0" borderId="0" xfId="0" applyNumberFormat="1" applyFont="1"/>
    <xf numFmtId="0" fontId="94" fillId="0" borderId="2" xfId="0" applyFont="1" applyBorder="1" applyAlignment="1">
      <alignment horizontal="left"/>
    </xf>
    <xf numFmtId="3" fontId="94" fillId="0" borderId="2" xfId="0" applyNumberFormat="1" applyFont="1" applyBorder="1" applyProtection="1">
      <protection locked="0"/>
    </xf>
    <xf numFmtId="164" fontId="24" fillId="22" borderId="0" xfId="6" applyNumberFormat="1" applyFont="1" applyFill="1" applyBorder="1"/>
    <xf numFmtId="3" fontId="24" fillId="0" borderId="0" xfId="6" applyNumberFormat="1" applyFont="1" applyAlignment="1">
      <alignment horizontal="center"/>
    </xf>
    <xf numFmtId="3" fontId="24" fillId="0" borderId="0" xfId="6" applyNumberFormat="1" applyFont="1" applyFill="1" applyBorder="1" applyAlignment="1">
      <alignment horizontal="center"/>
    </xf>
    <xf numFmtId="164" fontId="24" fillId="22" borderId="2" xfId="6" applyNumberFormat="1" applyFont="1" applyFill="1" applyBorder="1"/>
    <xf numFmtId="37" fontId="24" fillId="0" borderId="2" xfId="0" applyNumberFormat="1" applyFont="1" applyBorder="1"/>
    <xf numFmtId="3" fontId="24" fillId="0" borderId="2" xfId="6" applyNumberFormat="1" applyFont="1" applyFill="1" applyBorder="1" applyAlignment="1">
      <alignment horizontal="center"/>
    </xf>
    <xf numFmtId="0" fontId="92" fillId="0" borderId="22" xfId="0" applyFont="1" applyBorder="1"/>
    <xf numFmtId="37" fontId="92" fillId="0" borderId="22" xfId="0" applyNumberFormat="1" applyFont="1" applyBorder="1"/>
    <xf numFmtId="3" fontId="24" fillId="20" borderId="0" xfId="6" applyNumberFormat="1" applyFont="1" applyFill="1" applyBorder="1" applyAlignment="1">
      <alignment horizontal="right"/>
    </xf>
    <xf numFmtId="177" fontId="109" fillId="19" borderId="0" xfId="0" applyNumberFormat="1" applyFont="1" applyFill="1" applyAlignment="1">
      <alignment horizontal="left"/>
    </xf>
    <xf numFmtId="0" fontId="24" fillId="0" borderId="0" xfId="6" applyNumberFormat="1" applyFont="1" applyFill="1" applyBorder="1" applyAlignment="1">
      <alignment horizontal="left"/>
    </xf>
    <xf numFmtId="164" fontId="24" fillId="0" borderId="0" xfId="6" applyNumberFormat="1" applyFont="1"/>
    <xf numFmtId="3" fontId="24" fillId="19" borderId="2" xfId="6" applyNumberFormat="1" applyFont="1" applyFill="1" applyBorder="1" applyAlignment="1">
      <alignment horizontal="right"/>
    </xf>
    <xf numFmtId="177" fontId="109" fillId="19" borderId="2" xfId="0" applyNumberFormat="1" applyFont="1" applyFill="1" applyBorder="1" applyAlignment="1">
      <alignment horizontal="left"/>
    </xf>
    <xf numFmtId="164" fontId="24" fillId="0" borderId="0" xfId="6" applyNumberFormat="1" applyFont="1" applyFill="1" applyBorder="1"/>
    <xf numFmtId="5" fontId="94" fillId="0" borderId="0" xfId="0" applyNumberFormat="1" applyFont="1" applyProtection="1">
      <protection locked="0"/>
    </xf>
    <xf numFmtId="164" fontId="24" fillId="0" borderId="0" xfId="0" applyNumberFormat="1" applyFont="1"/>
    <xf numFmtId="0" fontId="109" fillId="0" borderId="0" xfId="0" applyFont="1" applyAlignment="1">
      <alignment horizontal="left"/>
    </xf>
    <xf numFmtId="3" fontId="109" fillId="23" borderId="0" xfId="0" applyNumberFormat="1" applyFont="1" applyFill="1" applyAlignment="1">
      <alignment horizontal="right"/>
    </xf>
    <xf numFmtId="0" fontId="94" fillId="0" borderId="0" xfId="0" applyFont="1" applyAlignment="1" applyProtection="1">
      <alignment horizontal="left"/>
      <protection locked="0"/>
    </xf>
    <xf numFmtId="169" fontId="24" fillId="0" borderId="0" xfId="0" applyNumberFormat="1" applyFont="1"/>
    <xf numFmtId="37" fontId="24" fillId="0" borderId="0" xfId="0" quotePrefix="1" applyNumberFormat="1" applyFont="1" applyAlignment="1" applyProtection="1">
      <alignment horizontal="right"/>
      <protection locked="0"/>
    </xf>
    <xf numFmtId="0" fontId="109" fillId="0" borderId="0" xfId="0" applyFont="1"/>
    <xf numFmtId="38" fontId="24" fillId="0" borderId="0" xfId="0" applyNumberFormat="1" applyFont="1"/>
    <xf numFmtId="164" fontId="24" fillId="0" borderId="0" xfId="6" applyNumberFormat="1" applyFont="1" applyFill="1" applyBorder="1" applyAlignment="1">
      <alignment horizontal="right"/>
    </xf>
    <xf numFmtId="164" fontId="110" fillId="0" borderId="0" xfId="6" applyNumberFormat="1" applyFont="1" applyFill="1" applyBorder="1"/>
    <xf numFmtId="0" fontId="112" fillId="0" borderId="0" xfId="0" applyFont="1" applyAlignment="1">
      <alignment horizontal="left" vertical="top"/>
    </xf>
    <xf numFmtId="38" fontId="94" fillId="0" borderId="0" xfId="6" applyNumberFormat="1" applyFont="1" applyFill="1" applyBorder="1" applyAlignment="1" applyProtection="1">
      <alignment vertical="top"/>
      <protection locked="0"/>
    </xf>
    <xf numFmtId="0" fontId="14" fillId="0" borderId="0" xfId="0" applyFont="1"/>
    <xf numFmtId="0" fontId="24" fillId="25" borderId="0" xfId="0" applyFont="1" applyFill="1"/>
    <xf numFmtId="7" fontId="24" fillId="25" borderId="0" xfId="0" applyNumberFormat="1" applyFont="1" applyFill="1"/>
    <xf numFmtId="3" fontId="109" fillId="25" borderId="0" xfId="0" applyNumberFormat="1" applyFont="1" applyFill="1"/>
    <xf numFmtId="6" fontId="113" fillId="25" borderId="0" xfId="0" applyNumberFormat="1" applyFont="1" applyFill="1" applyAlignment="1">
      <alignment horizontal="right"/>
    </xf>
    <xf numFmtId="0" fontId="113" fillId="25" borderId="0" xfId="0" applyFont="1" applyFill="1"/>
    <xf numFmtId="0" fontId="114" fillId="24" borderId="0" xfId="0" applyFont="1" applyFill="1"/>
    <xf numFmtId="0" fontId="0" fillId="24" borderId="0" xfId="0" applyFill="1"/>
    <xf numFmtId="3" fontId="0" fillId="24" borderId="0" xfId="0" applyNumberFormat="1" applyFill="1"/>
    <xf numFmtId="9" fontId="0" fillId="24" borderId="0" xfId="0" applyNumberFormat="1" applyFill="1"/>
    <xf numFmtId="3" fontId="24" fillId="26" borderId="0" xfId="0" applyNumberFormat="1" applyFont="1" applyFill="1"/>
    <xf numFmtId="0" fontId="24" fillId="26" borderId="0" xfId="0" applyFont="1" applyFill="1"/>
    <xf numFmtId="9" fontId="24" fillId="26" borderId="0" xfId="0" applyNumberFormat="1" applyFont="1" applyFill="1"/>
    <xf numFmtId="0" fontId="0" fillId="26" borderId="0" xfId="0" applyFill="1"/>
    <xf numFmtId="0" fontId="92" fillId="25" borderId="0" xfId="0" applyFont="1" applyFill="1"/>
    <xf numFmtId="0" fontId="24" fillId="25" borderId="0" xfId="0" applyFont="1" applyFill="1" applyAlignment="1">
      <alignment horizontal="center"/>
    </xf>
    <xf numFmtId="0" fontId="92" fillId="25" borderId="0" xfId="0" applyFont="1" applyFill="1" applyAlignment="1">
      <alignment horizontal="center"/>
    </xf>
    <xf numFmtId="7" fontId="24" fillId="25" borderId="0" xfId="0" applyNumberFormat="1" applyFont="1" applyFill="1" applyAlignment="1">
      <alignment horizontal="center"/>
    </xf>
    <xf numFmtId="3" fontId="109" fillId="25" borderId="0" xfId="0" applyNumberFormat="1" applyFont="1" applyFill="1" applyAlignment="1">
      <alignment horizontal="centerContinuous"/>
    </xf>
    <xf numFmtId="6" fontId="113" fillId="25" borderId="0" xfId="0" applyNumberFormat="1" applyFont="1" applyFill="1" applyAlignment="1">
      <alignment horizontal="centerContinuous"/>
    </xf>
    <xf numFmtId="0" fontId="113" fillId="25" borderId="0" xfId="0" applyFont="1" applyFill="1" applyAlignment="1">
      <alignment horizontal="centerContinuous"/>
    </xf>
    <xf numFmtId="0" fontId="24" fillId="25" borderId="0" xfId="0" applyFont="1" applyFill="1" applyAlignment="1">
      <alignment horizontal="centerContinuous"/>
    </xf>
    <xf numFmtId="0" fontId="115" fillId="24" borderId="0" xfId="0" applyFont="1" applyFill="1" applyAlignment="1">
      <alignment horizontal="centerContinuous"/>
    </xf>
    <xf numFmtId="0" fontId="0" fillId="24" borderId="0" xfId="0" applyFill="1" applyAlignment="1">
      <alignment horizontal="centerContinuous"/>
    </xf>
    <xf numFmtId="3" fontId="0" fillId="24" borderId="0" xfId="0" applyNumberFormat="1" applyFill="1" applyAlignment="1">
      <alignment horizontal="centerContinuous"/>
    </xf>
    <xf numFmtId="9" fontId="0" fillId="24" borderId="0" xfId="0" applyNumberFormat="1" applyFill="1" applyAlignment="1">
      <alignment horizontal="centerContinuous"/>
    </xf>
    <xf numFmtId="3" fontId="92" fillId="26" borderId="0" xfId="0" applyNumberFormat="1" applyFont="1" applyFill="1" applyAlignment="1">
      <alignment horizontal="centerContinuous"/>
    </xf>
    <xf numFmtId="0" fontId="24" fillId="26" borderId="0" xfId="0" applyFont="1" applyFill="1" applyAlignment="1">
      <alignment horizontal="centerContinuous"/>
    </xf>
    <xf numFmtId="9" fontId="24" fillId="26" borderId="0" xfId="0" applyNumberFormat="1" applyFont="1" applyFill="1" applyAlignment="1">
      <alignment horizontal="centerContinuous"/>
    </xf>
    <xf numFmtId="0" fontId="0" fillId="26" borderId="0" xfId="0" applyFill="1" applyAlignment="1">
      <alignment horizontal="centerContinuous"/>
    </xf>
    <xf numFmtId="3" fontId="24" fillId="26" borderId="0" xfId="0" applyNumberFormat="1" applyFont="1" applyFill="1" applyAlignment="1">
      <alignment horizontal="centerContinuous"/>
    </xf>
    <xf numFmtId="3" fontId="105" fillId="26" borderId="0" xfId="0" applyNumberFormat="1" applyFont="1" applyFill="1"/>
    <xf numFmtId="3" fontId="109" fillId="0" borderId="0" xfId="0" applyNumberFormat="1" applyFont="1"/>
    <xf numFmtId="3" fontId="0" fillId="0" borderId="0" xfId="0" applyNumberFormat="1"/>
    <xf numFmtId="0" fontId="92" fillId="0" borderId="0" xfId="0" applyFont="1" applyAlignment="1">
      <alignment horizontal="center"/>
    </xf>
    <xf numFmtId="0" fontId="92" fillId="3" borderId="0" xfId="0" applyFont="1" applyFill="1" applyAlignment="1">
      <alignment horizontal="center"/>
    </xf>
    <xf numFmtId="0" fontId="100" fillId="3" borderId="0" xfId="0" applyFont="1" applyFill="1" applyAlignment="1">
      <alignment horizontal="center"/>
    </xf>
    <xf numFmtId="0" fontId="100" fillId="0" borderId="0" xfId="0" applyFont="1" applyAlignment="1">
      <alignment horizontal="center"/>
    </xf>
    <xf numFmtId="0" fontId="100" fillId="4" borderId="0" xfId="0" applyFont="1" applyFill="1" applyAlignment="1">
      <alignment horizontal="center"/>
    </xf>
    <xf numFmtId="3" fontId="116" fillId="3" borderId="0" xfId="0" applyNumberFormat="1" applyFont="1" applyFill="1" applyAlignment="1">
      <alignment horizontal="center"/>
    </xf>
    <xf numFmtId="3" fontId="116" fillId="0" borderId="0" xfId="0" applyNumberFormat="1" applyFont="1" applyAlignment="1">
      <alignment horizontal="center"/>
    </xf>
    <xf numFmtId="3" fontId="116" fillId="4" borderId="0" xfId="0" applyNumberFormat="1" applyFont="1" applyFill="1" applyAlignment="1">
      <alignment horizontal="center"/>
    </xf>
    <xf numFmtId="0" fontId="92" fillId="4" borderId="0" xfId="0" applyFont="1" applyFill="1" applyAlignment="1">
      <alignment horizontal="center"/>
    </xf>
    <xf numFmtId="0" fontId="110" fillId="4" borderId="0" xfId="0" applyFont="1" applyFill="1" applyAlignment="1">
      <alignment horizontal="center" vertical="center"/>
    </xf>
    <xf numFmtId="0" fontId="92" fillId="27" borderId="0" xfId="0" applyFont="1" applyFill="1" applyAlignment="1">
      <alignment horizontal="center"/>
    </xf>
    <xf numFmtId="3" fontId="92" fillId="27" borderId="0" xfId="0" applyNumberFormat="1" applyFont="1" applyFill="1" applyAlignment="1">
      <alignment horizontal="center"/>
    </xf>
    <xf numFmtId="9" fontId="92" fillId="27" borderId="0" xfId="0" applyNumberFormat="1" applyFont="1" applyFill="1" applyAlignment="1">
      <alignment horizontal="center"/>
    </xf>
    <xf numFmtId="0" fontId="117" fillId="3" borderId="0" xfId="0" applyFont="1" applyFill="1" applyAlignment="1" applyProtection="1">
      <alignment horizontal="center"/>
      <protection locked="0"/>
    </xf>
    <xf numFmtId="0" fontId="100" fillId="3" borderId="0" xfId="0" applyFont="1" applyFill="1" applyAlignment="1" applyProtection="1">
      <alignment horizontal="center"/>
      <protection locked="0"/>
    </xf>
    <xf numFmtId="0" fontId="112" fillId="3" borderId="0" xfId="0" applyFont="1" applyFill="1" applyAlignment="1" applyProtection="1">
      <alignment horizontal="center"/>
      <protection locked="0"/>
    </xf>
    <xf numFmtId="0" fontId="100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/>
    </xf>
    <xf numFmtId="0" fontId="92" fillId="4" borderId="0" xfId="0" applyFont="1" applyFill="1" applyAlignment="1">
      <alignment horizontal="centerContinuous" vertical="center"/>
    </xf>
    <xf numFmtId="0" fontId="110" fillId="4" borderId="0" xfId="0" applyFont="1" applyFill="1" applyAlignment="1">
      <alignment horizontal="centerContinuous" vertical="center"/>
    </xf>
    <xf numFmtId="3" fontId="92" fillId="27" borderId="0" xfId="0" applyNumberFormat="1" applyFont="1" applyFill="1" applyAlignment="1">
      <alignment horizontal="centerContinuous"/>
    </xf>
    <xf numFmtId="3" fontId="118" fillId="3" borderId="0" xfId="0" applyNumberFormat="1" applyFont="1" applyFill="1" applyAlignment="1">
      <alignment horizontal="center"/>
    </xf>
    <xf numFmtId="3" fontId="118" fillId="0" borderId="0" xfId="0" applyNumberFormat="1" applyFont="1" applyAlignment="1">
      <alignment horizontal="center"/>
    </xf>
    <xf numFmtId="3" fontId="118" fillId="4" borderId="0" xfId="0" applyNumberFormat="1" applyFont="1" applyFill="1" applyAlignment="1">
      <alignment horizontal="center"/>
    </xf>
    <xf numFmtId="9" fontId="92" fillId="4" borderId="0" xfId="0" applyNumberFormat="1" applyFont="1" applyFill="1" applyAlignment="1">
      <alignment horizontal="center"/>
    </xf>
    <xf numFmtId="9" fontId="92" fillId="0" borderId="0" xfId="0" applyNumberFormat="1" applyFont="1" applyAlignment="1">
      <alignment horizontal="center"/>
    </xf>
    <xf numFmtId="164" fontId="94" fillId="0" borderId="74" xfId="6" applyNumberFormat="1" applyFont="1" applyBorder="1" applyAlignment="1">
      <alignment vertical="top"/>
    </xf>
    <xf numFmtId="164" fontId="94" fillId="0" borderId="0" xfId="6" applyNumberFormat="1" applyFont="1" applyBorder="1" applyAlignment="1">
      <alignment vertical="top"/>
    </xf>
    <xf numFmtId="3" fontId="119" fillId="0" borderId="0" xfId="0" applyNumberFormat="1" applyFont="1" applyAlignment="1">
      <alignment vertical="top" wrapText="1"/>
    </xf>
    <xf numFmtId="3" fontId="119" fillId="0" borderId="0" xfId="0" applyNumberFormat="1" applyFont="1"/>
    <xf numFmtId="164" fontId="94" fillId="0" borderId="0" xfId="6" applyNumberFormat="1" applyFont="1" applyFill="1" applyBorder="1" applyAlignment="1">
      <alignment vertical="top"/>
    </xf>
    <xf numFmtId="3" fontId="109" fillId="0" borderId="0" xfId="0" applyNumberFormat="1" applyFont="1" applyAlignment="1">
      <alignment wrapText="1"/>
    </xf>
    <xf numFmtId="8" fontId="24" fillId="0" borderId="0" xfId="0" applyNumberFormat="1" applyFont="1"/>
    <xf numFmtId="3" fontId="24" fillId="19" borderId="0" xfId="7" applyNumberFormat="1" applyFont="1" applyFill="1"/>
    <xf numFmtId="9" fontId="0" fillId="0" borderId="0" xfId="0" applyNumberFormat="1" applyAlignment="1">
      <alignment horizontal="center"/>
    </xf>
    <xf numFmtId="3" fontId="118" fillId="0" borderId="0" xfId="0" applyNumberFormat="1" applyFont="1" applyAlignment="1">
      <alignment wrapText="1"/>
    </xf>
    <xf numFmtId="38" fontId="109" fillId="0" borderId="0" xfId="5" applyNumberFormat="1" applyFont="1" applyBorder="1"/>
    <xf numFmtId="0" fontId="109" fillId="0" borderId="0" xfId="0" quotePrefix="1" applyFont="1"/>
    <xf numFmtId="6" fontId="109" fillId="0" borderId="0" xfId="0" quotePrefix="1" applyNumberFormat="1" applyFont="1"/>
    <xf numFmtId="3" fontId="119" fillId="0" borderId="0" xfId="0" applyNumberFormat="1" applyFont="1" applyAlignment="1">
      <alignment vertical="center" wrapText="1"/>
    </xf>
    <xf numFmtId="3" fontId="109" fillId="0" borderId="0" xfId="0" applyNumberFormat="1" applyFont="1" applyAlignment="1">
      <alignment horizontal="left"/>
    </xf>
    <xf numFmtId="3" fontId="119" fillId="0" borderId="0" xfId="0" applyNumberFormat="1" applyFont="1" applyAlignment="1">
      <alignment horizontal="left" vertical="center" wrapText="1"/>
    </xf>
    <xf numFmtId="40" fontId="94" fillId="0" borderId="0" xfId="0" applyNumberFormat="1" applyFont="1" applyAlignment="1">
      <alignment vertical="top"/>
    </xf>
    <xf numFmtId="38" fontId="94" fillId="19" borderId="74" xfId="6" applyNumberFormat="1" applyFont="1" applyFill="1" applyBorder="1" applyAlignment="1" applyProtection="1">
      <alignment vertical="top"/>
      <protection locked="0"/>
    </xf>
    <xf numFmtId="3" fontId="118" fillId="0" borderId="0" xfId="0" applyNumberFormat="1" applyFont="1" applyAlignment="1">
      <alignment vertical="top" wrapText="1"/>
    </xf>
    <xf numFmtId="164" fontId="100" fillId="0" borderId="0" xfId="6" applyNumberFormat="1" applyFont="1" applyFill="1" applyBorder="1" applyAlignment="1" applyProtection="1">
      <alignment vertical="top"/>
    </xf>
    <xf numFmtId="164" fontId="118" fillId="0" borderId="0" xfId="6" applyNumberFormat="1" applyFont="1" applyBorder="1" applyAlignment="1" applyProtection="1">
      <alignment vertical="top" wrapText="1"/>
    </xf>
    <xf numFmtId="164" fontId="118" fillId="0" borderId="0" xfId="6" applyNumberFormat="1" applyFont="1" applyFill="1" applyBorder="1" applyAlignment="1" applyProtection="1">
      <alignment vertical="top" wrapText="1"/>
    </xf>
    <xf numFmtId="164" fontId="100" fillId="0" borderId="0" xfId="6" applyNumberFormat="1" applyFont="1" applyBorder="1" applyProtection="1"/>
    <xf numFmtId="9" fontId="120" fillId="0" borderId="0" xfId="0" applyNumberFormat="1" applyFont="1" applyAlignment="1">
      <alignment horizontal="center"/>
    </xf>
    <xf numFmtId="0" fontId="120" fillId="0" borderId="0" xfId="0" applyFont="1"/>
    <xf numFmtId="3" fontId="115" fillId="0" borderId="0" xfId="0" applyNumberFormat="1" applyFont="1"/>
    <xf numFmtId="3" fontId="120" fillId="0" borderId="0" xfId="0" applyNumberFormat="1" applyFont="1"/>
    <xf numFmtId="38" fontId="94" fillId="0" borderId="74" xfId="6" applyNumberFormat="1" applyFont="1" applyFill="1" applyBorder="1" applyAlignment="1">
      <alignment vertical="top"/>
    </xf>
    <xf numFmtId="38" fontId="94" fillId="0" borderId="0" xfId="6" applyNumberFormat="1" applyFont="1" applyFill="1" applyBorder="1" applyAlignment="1">
      <alignment vertical="top"/>
    </xf>
    <xf numFmtId="0" fontId="95" fillId="0" borderId="0" xfId="0" applyFont="1" applyAlignment="1">
      <alignment vertical="top"/>
    </xf>
    <xf numFmtId="38" fontId="94" fillId="0" borderId="74" xfId="0" applyNumberFormat="1" applyFont="1" applyBorder="1" applyAlignment="1">
      <alignment vertical="top"/>
    </xf>
    <xf numFmtId="38" fontId="94" fillId="0" borderId="0" xfId="0" applyNumberFormat="1" applyFont="1" applyAlignment="1">
      <alignment vertical="top"/>
    </xf>
    <xf numFmtId="40" fontId="24" fillId="0" borderId="0" xfId="0" applyNumberFormat="1" applyFont="1" applyAlignment="1">
      <alignment vertical="top"/>
    </xf>
    <xf numFmtId="38" fontId="105" fillId="0" borderId="0" xfId="0" applyNumberFormat="1" applyFont="1" applyAlignment="1">
      <alignment vertical="top"/>
    </xf>
    <xf numFmtId="3" fontId="109" fillId="0" borderId="0" xfId="0" applyNumberFormat="1" applyFont="1" applyAlignment="1">
      <alignment vertical="top" wrapText="1"/>
    </xf>
    <xf numFmtId="3" fontId="108" fillId="0" borderId="0" xfId="0" applyNumberFormat="1" applyFont="1" applyAlignment="1">
      <alignment vertical="top" wrapText="1"/>
    </xf>
    <xf numFmtId="38" fontId="105" fillId="18" borderId="0" xfId="0" applyNumberFormat="1" applyFont="1" applyFill="1" applyAlignment="1">
      <alignment vertical="top"/>
    </xf>
    <xf numFmtId="10" fontId="24" fillId="22" borderId="0" xfId="5" applyNumberFormat="1" applyFont="1" applyFill="1" applyBorder="1" applyAlignment="1" applyProtection="1">
      <alignment vertical="top"/>
    </xf>
    <xf numFmtId="38" fontId="105" fillId="0" borderId="0" xfId="5" applyNumberFormat="1" applyFont="1" applyFill="1" applyBorder="1" applyAlignment="1" applyProtection="1">
      <alignment vertical="top"/>
    </xf>
    <xf numFmtId="0" fontId="0" fillId="0" borderId="0" xfId="0" applyAlignment="1">
      <alignment vertical="top"/>
    </xf>
    <xf numFmtId="10" fontId="24" fillId="0" borderId="0" xfId="5" applyNumberFormat="1" applyFont="1" applyBorder="1"/>
    <xf numFmtId="10" fontId="24" fillId="0" borderId="0" xfId="5" applyNumberFormat="1" applyFont="1" applyFill="1" applyBorder="1"/>
    <xf numFmtId="0" fontId="102" fillId="0" borderId="0" xfId="0" applyFont="1" applyAlignment="1">
      <alignment vertical="top"/>
    </xf>
    <xf numFmtId="38" fontId="121" fillId="0" borderId="0" xfId="0" applyNumberFormat="1" applyFont="1" applyAlignment="1">
      <alignment vertical="top"/>
    </xf>
    <xf numFmtId="164" fontId="116" fillId="0" borderId="0" xfId="6" applyNumberFormat="1" applyFont="1" applyBorder="1" applyAlignment="1">
      <alignment vertical="top" wrapText="1"/>
    </xf>
    <xf numFmtId="169" fontId="94" fillId="18" borderId="0" xfId="0" applyNumberFormat="1" applyFont="1" applyFill="1" applyAlignment="1">
      <alignment horizontal="right" vertical="top"/>
    </xf>
    <xf numFmtId="0" fontId="122" fillId="0" borderId="0" xfId="0" applyFont="1"/>
    <xf numFmtId="38" fontId="24" fillId="0" borderId="74" xfId="0" applyNumberFormat="1" applyFont="1" applyBorder="1"/>
    <xf numFmtId="0" fontId="123" fillId="0" borderId="0" xfId="0" applyFont="1"/>
    <xf numFmtId="0" fontId="124" fillId="0" borderId="0" xfId="0" applyFont="1"/>
    <xf numFmtId="3" fontId="119" fillId="0" borderId="0" xfId="0" applyNumberFormat="1" applyFont="1" applyAlignment="1">
      <alignment horizontal="right" vertical="center"/>
    </xf>
    <xf numFmtId="38" fontId="109" fillId="0" borderId="0" xfId="0" applyNumberFormat="1" applyFont="1" applyAlignment="1">
      <alignment horizontal="left" vertical="center"/>
    </xf>
    <xf numFmtId="6" fontId="106" fillId="18" borderId="0" xfId="0" applyNumberFormat="1" applyFont="1" applyFill="1" applyAlignment="1">
      <alignment vertical="top"/>
    </xf>
    <xf numFmtId="38" fontId="101" fillId="0" borderId="0" xfId="0" applyNumberFormat="1" applyFont="1" applyAlignment="1">
      <alignment vertical="top"/>
    </xf>
    <xf numFmtId="38" fontId="109" fillId="0" borderId="0" xfId="0" applyNumberFormat="1" applyFont="1" applyAlignment="1">
      <alignment horizontal="right" vertical="center"/>
    </xf>
    <xf numFmtId="0" fontId="109" fillId="0" borderId="0" xfId="0" applyFont="1" applyAlignment="1">
      <alignment horizontal="left" vertical="center"/>
    </xf>
    <xf numFmtId="3" fontId="125" fillId="0" borderId="0" xfId="0" applyNumberFormat="1" applyFont="1" applyAlignment="1">
      <alignment wrapText="1"/>
    </xf>
    <xf numFmtId="6" fontId="106" fillId="0" borderId="0" xfId="0" applyNumberFormat="1" applyFont="1" applyAlignment="1">
      <alignment vertical="top"/>
    </xf>
    <xf numFmtId="172" fontId="24" fillId="0" borderId="0" xfId="0" applyNumberFormat="1" applyFont="1"/>
    <xf numFmtId="3" fontId="119" fillId="0" borderId="0" xfId="0" applyNumberFormat="1" applyFont="1" applyAlignment="1">
      <alignment vertical="top"/>
    </xf>
    <xf numFmtId="164" fontId="105" fillId="0" borderId="74" xfId="6" applyNumberFormat="1" applyFont="1" applyFill="1" applyBorder="1" applyAlignment="1">
      <alignment vertical="top"/>
    </xf>
    <xf numFmtId="164" fontId="105" fillId="0" borderId="0" xfId="6" applyNumberFormat="1" applyFont="1" applyFill="1" applyBorder="1" applyAlignment="1">
      <alignment vertical="top"/>
    </xf>
    <xf numFmtId="3" fontId="119" fillId="0" borderId="0" xfId="0" applyNumberFormat="1" applyFont="1" applyAlignment="1">
      <alignment wrapText="1"/>
    </xf>
    <xf numFmtId="164" fontId="126" fillId="0" borderId="0" xfId="0" applyNumberFormat="1" applyFont="1"/>
    <xf numFmtId="164" fontId="127" fillId="0" borderId="0" xfId="0" applyNumberFormat="1" applyFont="1"/>
    <xf numFmtId="38" fontId="128" fillId="0" borderId="0" xfId="0" applyNumberFormat="1" applyFont="1" applyAlignment="1">
      <alignment vertical="top"/>
    </xf>
    <xf numFmtId="38" fontId="94" fillId="0" borderId="74" xfId="6" applyNumberFormat="1" applyFont="1" applyFill="1" applyBorder="1" applyAlignment="1" applyProtection="1">
      <alignment vertical="top"/>
    </xf>
    <xf numFmtId="38" fontId="94" fillId="0" borderId="0" xfId="6" applyNumberFormat="1" applyFont="1" applyFill="1" applyBorder="1" applyAlignment="1" applyProtection="1">
      <alignment vertical="top"/>
    </xf>
    <xf numFmtId="164" fontId="94" fillId="0" borderId="0" xfId="6" applyNumberFormat="1" applyFont="1" applyFill="1" applyBorder="1" applyAlignment="1" applyProtection="1">
      <alignment vertical="top"/>
    </xf>
    <xf numFmtId="164" fontId="109" fillId="0" borderId="0" xfId="6" applyNumberFormat="1" applyFont="1" applyFill="1" applyBorder="1" applyAlignment="1">
      <alignment vertical="top" wrapText="1"/>
    </xf>
    <xf numFmtId="164" fontId="24" fillId="0" borderId="0" xfId="6" applyNumberFormat="1" applyFont="1" applyBorder="1"/>
    <xf numFmtId="165" fontId="24" fillId="22" borderId="0" xfId="5" applyNumberFormat="1" applyFont="1" applyFill="1" applyBorder="1" applyAlignment="1">
      <alignment vertical="top"/>
    </xf>
    <xf numFmtId="164" fontId="116" fillId="0" borderId="0" xfId="6" applyNumberFormat="1" applyFont="1" applyBorder="1"/>
    <xf numFmtId="3" fontId="116" fillId="0" borderId="0" xfId="0" quotePrefix="1" applyNumberFormat="1" applyFont="1"/>
    <xf numFmtId="181" fontId="24" fillId="22" borderId="0" xfId="5" applyNumberFormat="1" applyFont="1" applyFill="1" applyBorder="1" applyAlignment="1">
      <alignment vertical="top"/>
    </xf>
    <xf numFmtId="182" fontId="24" fillId="18" borderId="0" xfId="5" applyNumberFormat="1" applyFont="1" applyFill="1" applyBorder="1" applyAlignment="1">
      <alignment vertical="top"/>
    </xf>
    <xf numFmtId="10" fontId="24" fillId="0" borderId="0" xfId="5" applyNumberFormat="1" applyFont="1" applyFill="1" applyBorder="1" applyAlignment="1">
      <alignment vertical="top"/>
    </xf>
    <xf numFmtId="38" fontId="105" fillId="0" borderId="0" xfId="5" applyNumberFormat="1" applyFont="1" applyFill="1" applyBorder="1" applyAlignment="1">
      <alignment vertical="top"/>
    </xf>
    <xf numFmtId="43" fontId="24" fillId="0" borderId="0" xfId="6" applyFont="1"/>
    <xf numFmtId="0" fontId="96" fillId="0" borderId="0" xfId="0" applyFont="1" applyAlignment="1">
      <alignment horizontal="left" vertical="top"/>
    </xf>
    <xf numFmtId="38" fontId="105" fillId="20" borderId="0" xfId="0" applyNumberFormat="1" applyFont="1" applyFill="1" applyAlignment="1">
      <alignment vertical="top"/>
    </xf>
    <xf numFmtId="38" fontId="24" fillId="0" borderId="74" xfId="6" applyNumberFormat="1" applyFont="1" applyFill="1" applyBorder="1" applyAlignment="1" applyProtection="1">
      <alignment vertical="top"/>
      <protection locked="0"/>
    </xf>
    <xf numFmtId="38" fontId="24" fillId="0" borderId="0" xfId="6" applyNumberFormat="1" applyFont="1" applyFill="1" applyBorder="1" applyAlignment="1" applyProtection="1">
      <alignment vertical="top"/>
      <protection locked="0"/>
    </xf>
    <xf numFmtId="164" fontId="24" fillId="0" borderId="0" xfId="6" applyNumberFormat="1" applyFont="1" applyFill="1" applyBorder="1" applyAlignment="1">
      <alignment vertical="top"/>
    </xf>
    <xf numFmtId="43" fontId="24" fillId="0" borderId="0" xfId="0" applyNumberFormat="1" applyFont="1"/>
    <xf numFmtId="38" fontId="105" fillId="18" borderId="0" xfId="5" applyNumberFormat="1" applyFont="1" applyFill="1" applyBorder="1" applyAlignment="1">
      <alignment vertical="top"/>
    </xf>
    <xf numFmtId="38" fontId="105" fillId="20" borderId="0" xfId="5" applyNumberFormat="1" applyFont="1" applyFill="1" applyBorder="1" applyAlignment="1">
      <alignment vertical="top"/>
    </xf>
    <xf numFmtId="10" fontId="92" fillId="0" borderId="0" xfId="5" applyNumberFormat="1" applyFont="1" applyFill="1" applyBorder="1" applyAlignment="1">
      <alignment vertical="top"/>
    </xf>
    <xf numFmtId="38" fontId="110" fillId="0" borderId="0" xfId="5" applyNumberFormat="1" applyFont="1" applyFill="1" applyBorder="1" applyAlignment="1">
      <alignment vertical="top"/>
    </xf>
    <xf numFmtId="38" fontId="100" fillId="0" borderId="74" xfId="6" applyNumberFormat="1" applyFont="1" applyFill="1" applyBorder="1" applyAlignment="1">
      <alignment vertical="top"/>
    </xf>
    <xf numFmtId="38" fontId="100" fillId="0" borderId="0" xfId="6" applyNumberFormat="1" applyFont="1" applyFill="1" applyBorder="1" applyAlignment="1">
      <alignment vertical="top"/>
    </xf>
    <xf numFmtId="164" fontId="100" fillId="0" borderId="0" xfId="6" applyNumberFormat="1" applyFont="1" applyFill="1" applyBorder="1" applyAlignment="1">
      <alignment vertical="top"/>
    </xf>
    <xf numFmtId="3" fontId="118" fillId="21" borderId="0" xfId="0" applyNumberFormat="1" applyFont="1" applyFill="1" applyAlignment="1">
      <alignment vertical="top" wrapText="1"/>
    </xf>
    <xf numFmtId="3" fontId="118" fillId="0" borderId="0" xfId="0" applyNumberFormat="1" applyFont="1"/>
    <xf numFmtId="38" fontId="129" fillId="0" borderId="0" xfId="0" applyNumberFormat="1" applyFont="1" applyAlignment="1">
      <alignment vertical="top"/>
    </xf>
    <xf numFmtId="164" fontId="129" fillId="0" borderId="0" xfId="6" applyNumberFormat="1" applyFont="1" applyFill="1" applyBorder="1" applyAlignment="1">
      <alignment vertical="top"/>
    </xf>
    <xf numFmtId="0" fontId="129" fillId="0" borderId="0" xfId="0" applyFont="1" applyAlignment="1">
      <alignment vertical="top"/>
    </xf>
    <xf numFmtId="0" fontId="123" fillId="21" borderId="0" xfId="0" applyFont="1" applyFill="1"/>
    <xf numFmtId="164" fontId="105" fillId="20" borderId="0" xfId="6" applyNumberFormat="1" applyFont="1" applyFill="1" applyBorder="1" applyAlignment="1">
      <alignment vertical="top"/>
    </xf>
    <xf numFmtId="38" fontId="24" fillId="0" borderId="74" xfId="6" applyNumberFormat="1" applyFont="1" applyFill="1" applyBorder="1" applyAlignment="1">
      <alignment vertical="top"/>
    </xf>
    <xf numFmtId="38" fontId="24" fillId="0" borderId="0" xfId="6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wrapText="1"/>
    </xf>
    <xf numFmtId="3" fontId="108" fillId="0" borderId="0" xfId="0" applyNumberFormat="1" applyFont="1" applyAlignment="1">
      <alignment wrapText="1"/>
    </xf>
    <xf numFmtId="165" fontId="94" fillId="22" borderId="0" xfId="0" applyNumberFormat="1" applyFont="1" applyFill="1" applyAlignment="1">
      <alignment vertical="top"/>
    </xf>
    <xf numFmtId="38" fontId="24" fillId="0" borderId="74" xfId="0" applyNumberFormat="1" applyFont="1" applyBorder="1" applyAlignment="1">
      <alignment vertical="top"/>
    </xf>
    <xf numFmtId="38" fontId="24" fillId="0" borderId="0" xfId="0" applyNumberFormat="1" applyFont="1" applyAlignment="1">
      <alignment vertical="top"/>
    </xf>
    <xf numFmtId="3" fontId="116" fillId="21" borderId="0" xfId="0" applyNumberFormat="1" applyFont="1" applyFill="1" applyAlignment="1">
      <alignment vertical="top" wrapText="1"/>
    </xf>
    <xf numFmtId="3" fontId="125" fillId="0" borderId="0" xfId="0" applyNumberFormat="1" applyFont="1" applyAlignment="1">
      <alignment vertical="top" wrapText="1"/>
    </xf>
    <xf numFmtId="169" fontId="119" fillId="0" borderId="0" xfId="0" applyNumberFormat="1" applyFont="1"/>
    <xf numFmtId="9" fontId="0" fillId="18" borderId="0" xfId="0" applyNumberFormat="1" applyFill="1" applyAlignment="1">
      <alignment horizontal="center"/>
    </xf>
    <xf numFmtId="10" fontId="94" fillId="22" borderId="0" xfId="0" applyNumberFormat="1" applyFont="1" applyFill="1" applyAlignment="1">
      <alignment vertical="top"/>
    </xf>
    <xf numFmtId="38" fontId="24" fillId="19" borderId="74" xfId="0" applyNumberFormat="1" applyFont="1" applyFill="1" applyBorder="1" applyAlignment="1">
      <alignment vertical="top"/>
    </xf>
    <xf numFmtId="38" fontId="24" fillId="19" borderId="0" xfId="0" applyNumberFormat="1" applyFont="1" applyFill="1" applyAlignment="1">
      <alignment vertical="top"/>
    </xf>
    <xf numFmtId="3" fontId="109" fillId="21" borderId="0" xfId="0" applyNumberFormat="1" applyFont="1" applyFill="1" applyAlignment="1">
      <alignment vertical="top" wrapText="1"/>
    </xf>
    <xf numFmtId="38" fontId="110" fillId="0" borderId="0" xfId="0" applyNumberFormat="1" applyFont="1" applyAlignment="1">
      <alignment vertical="top"/>
    </xf>
    <xf numFmtId="38" fontId="92" fillId="0" borderId="74" xfId="6" applyNumberFormat="1" applyFont="1" applyFill="1" applyBorder="1" applyAlignment="1">
      <alignment vertical="top"/>
    </xf>
    <xf numFmtId="38" fontId="92" fillId="0" borderId="0" xfId="6" applyNumberFormat="1" applyFont="1" applyFill="1" applyBorder="1" applyAlignment="1">
      <alignment vertical="top"/>
    </xf>
    <xf numFmtId="164" fontId="118" fillId="21" borderId="0" xfId="6" applyNumberFormat="1" applyFont="1" applyFill="1" applyBorder="1" applyAlignment="1">
      <alignment vertical="top" wrapText="1"/>
    </xf>
    <xf numFmtId="164" fontId="118" fillId="0" borderId="0" xfId="6" applyNumberFormat="1" applyFont="1" applyFill="1" applyBorder="1" applyAlignment="1">
      <alignment vertical="top" wrapText="1"/>
    </xf>
    <xf numFmtId="164" fontId="100" fillId="0" borderId="0" xfId="6" applyNumberFormat="1" applyFont="1" applyBorder="1"/>
    <xf numFmtId="10" fontId="24" fillId="22" borderId="0" xfId="5" applyNumberFormat="1" applyFont="1" applyFill="1" applyBorder="1" applyAlignment="1">
      <alignment vertical="top"/>
    </xf>
    <xf numFmtId="10" fontId="24" fillId="18" borderId="0" xfId="5" applyNumberFormat="1" applyFont="1" applyFill="1" applyBorder="1" applyAlignment="1">
      <alignment vertical="top"/>
    </xf>
    <xf numFmtId="164" fontId="94" fillId="0" borderId="0" xfId="6" applyNumberFormat="1" applyFont="1" applyFill="1" applyBorder="1"/>
    <xf numFmtId="3" fontId="109" fillId="21" borderId="0" xfId="0" applyNumberFormat="1" applyFont="1" applyFill="1" applyAlignment="1">
      <alignment wrapText="1"/>
    </xf>
    <xf numFmtId="8" fontId="24" fillId="22" borderId="0" xfId="0" applyNumberFormat="1" applyFont="1" applyFill="1" applyAlignment="1">
      <alignment vertical="top"/>
    </xf>
    <xf numFmtId="38" fontId="94" fillId="19" borderId="74" xfId="0" applyNumberFormat="1" applyFont="1" applyFill="1" applyBorder="1" applyAlignment="1">
      <alignment vertical="top"/>
    </xf>
    <xf numFmtId="38" fontId="94" fillId="19" borderId="0" xfId="0" applyNumberFormat="1" applyFont="1" applyFill="1" applyAlignment="1">
      <alignment vertical="top"/>
    </xf>
    <xf numFmtId="8" fontId="24" fillId="0" borderId="0" xfId="0" applyNumberFormat="1" applyFont="1" applyAlignment="1">
      <alignment vertical="top"/>
    </xf>
    <xf numFmtId="38" fontId="94" fillId="20" borderId="0" xfId="0" applyNumberFormat="1" applyFont="1" applyFill="1" applyAlignment="1">
      <alignment vertical="top"/>
    </xf>
    <xf numFmtId="0" fontId="0" fillId="0" borderId="74" xfId="0" applyBorder="1"/>
    <xf numFmtId="3" fontId="130" fillId="21" borderId="0" xfId="0" applyNumberFormat="1" applyFont="1" applyFill="1" applyAlignment="1">
      <alignment vertical="top" wrapText="1"/>
    </xf>
    <xf numFmtId="3" fontId="108" fillId="21" borderId="0" xfId="0" applyNumberFormat="1" applyFont="1" applyFill="1" applyAlignment="1">
      <alignment vertical="top" wrapText="1"/>
    </xf>
    <xf numFmtId="8" fontId="24" fillId="0" borderId="0" xfId="5" applyNumberFormat="1" applyFont="1" applyFill="1" applyBorder="1" applyAlignment="1">
      <alignment vertical="top"/>
    </xf>
    <xf numFmtId="3" fontId="116" fillId="21" borderId="0" xfId="0" applyNumberFormat="1" applyFont="1" applyFill="1" applyAlignment="1">
      <alignment wrapText="1"/>
    </xf>
    <xf numFmtId="38" fontId="94" fillId="19" borderId="0" xfId="6" applyNumberFormat="1" applyFont="1" applyFill="1" applyBorder="1" applyAlignment="1" applyProtection="1">
      <alignment vertical="top"/>
      <protection locked="0"/>
    </xf>
    <xf numFmtId="3" fontId="125" fillId="21" borderId="0" xfId="0" applyNumberFormat="1" applyFont="1" applyFill="1" applyAlignment="1">
      <alignment wrapText="1"/>
    </xf>
    <xf numFmtId="164" fontId="119" fillId="21" borderId="0" xfId="6" applyNumberFormat="1" applyFont="1" applyFill="1" applyBorder="1" applyAlignment="1">
      <alignment vertical="top" wrapText="1"/>
    </xf>
    <xf numFmtId="164" fontId="119" fillId="0" borderId="0" xfId="6" applyNumberFormat="1" applyFont="1" applyFill="1" applyBorder="1" applyAlignment="1">
      <alignment vertical="top" wrapText="1"/>
    </xf>
    <xf numFmtId="183" fontId="24" fillId="22" borderId="0" xfId="7" applyNumberFormat="1" applyFont="1" applyFill="1" applyBorder="1" applyAlignment="1">
      <alignment vertical="top"/>
    </xf>
    <xf numFmtId="3" fontId="24" fillId="21" borderId="0" xfId="0" applyNumberFormat="1" applyFont="1" applyFill="1" applyAlignment="1">
      <alignment vertical="center" wrapText="1"/>
    </xf>
    <xf numFmtId="3" fontId="109" fillId="0" borderId="0" xfId="0" applyNumberFormat="1" applyFont="1" applyAlignment="1">
      <alignment vertical="center" wrapText="1"/>
    </xf>
    <xf numFmtId="170" fontId="24" fillId="22" borderId="0" xfId="7" applyNumberFormat="1" applyFont="1" applyFill="1" applyBorder="1" applyAlignment="1">
      <alignment vertical="top"/>
    </xf>
    <xf numFmtId="3" fontId="119" fillId="21" borderId="0" xfId="0" applyNumberFormat="1" applyFont="1" applyFill="1" applyAlignment="1">
      <alignment vertical="center" wrapText="1"/>
    </xf>
    <xf numFmtId="170" fontId="24" fillId="18" borderId="0" xfId="0" applyNumberFormat="1" applyFont="1" applyFill="1" applyAlignment="1">
      <alignment vertical="top"/>
    </xf>
    <xf numFmtId="3" fontId="105" fillId="19" borderId="0" xfId="0" applyNumberFormat="1" applyFont="1" applyFill="1"/>
    <xf numFmtId="0" fontId="111" fillId="0" borderId="0" xfId="9"/>
    <xf numFmtId="3" fontId="105" fillId="20" borderId="0" xfId="5" applyNumberFormat="1" applyFont="1" applyFill="1" applyBorder="1" applyAlignment="1">
      <alignment vertical="top"/>
    </xf>
    <xf numFmtId="42" fontId="24" fillId="18" borderId="0" xfId="0" applyNumberFormat="1" applyFont="1" applyFill="1" applyAlignment="1">
      <alignment vertical="top"/>
    </xf>
    <xf numFmtId="3" fontId="105" fillId="0" borderId="0" xfId="0" applyNumberFormat="1" applyFont="1" applyAlignment="1">
      <alignment vertical="top"/>
    </xf>
    <xf numFmtId="0" fontId="94" fillId="17" borderId="0" xfId="0" applyFont="1" applyFill="1" applyAlignment="1">
      <alignment horizontal="left" vertical="top"/>
    </xf>
    <xf numFmtId="0" fontId="131" fillId="0" borderId="0" xfId="9" applyFont="1"/>
    <xf numFmtId="3" fontId="105" fillId="20" borderId="0" xfId="0" applyNumberFormat="1" applyFont="1" applyFill="1" applyAlignment="1">
      <alignment vertical="top"/>
    </xf>
    <xf numFmtId="3" fontId="109" fillId="21" borderId="0" xfId="0" quotePrefix="1" applyNumberFormat="1" applyFont="1" applyFill="1" applyAlignment="1">
      <alignment horizontal="left" vertical="top" wrapText="1"/>
    </xf>
    <xf numFmtId="3" fontId="108" fillId="0" borderId="0" xfId="0" quotePrefix="1" applyNumberFormat="1" applyFont="1" applyAlignment="1">
      <alignment vertical="top" wrapText="1"/>
    </xf>
    <xf numFmtId="9" fontId="116" fillId="21" borderId="0" xfId="5" applyFont="1" applyFill="1" applyBorder="1" applyAlignment="1">
      <alignment horizontal="left" vertical="top" wrapText="1"/>
    </xf>
    <xf numFmtId="0" fontId="132" fillId="0" borderId="0" xfId="9" applyFont="1"/>
    <xf numFmtId="3" fontId="133" fillId="0" borderId="0" xfId="0" applyNumberFormat="1" applyFont="1"/>
    <xf numFmtId="0" fontId="134" fillId="0" borderId="0" xfId="0" applyFont="1"/>
    <xf numFmtId="38" fontId="105" fillId="28" borderId="0" xfId="0" applyNumberFormat="1" applyFont="1" applyFill="1" applyAlignment="1">
      <alignment vertical="top"/>
    </xf>
    <xf numFmtId="170" fontId="135" fillId="28" borderId="0" xfId="7" applyNumberFormat="1" applyFont="1" applyFill="1" applyBorder="1"/>
    <xf numFmtId="170" fontId="104" fillId="20" borderId="0" xfId="7" applyNumberFormat="1" applyFont="1" applyFill="1"/>
    <xf numFmtId="170" fontId="104" fillId="0" borderId="0" xfId="7" applyNumberFormat="1" applyFont="1" applyFill="1"/>
    <xf numFmtId="0" fontId="129" fillId="0" borderId="0" xfId="0" applyFont="1"/>
    <xf numFmtId="38" fontId="105" fillId="0" borderId="0" xfId="0" applyNumberFormat="1" applyFont="1"/>
    <xf numFmtId="164" fontId="24" fillId="0" borderId="74" xfId="6" applyNumberFormat="1" applyFont="1" applyFill="1" applyBorder="1" applyAlignment="1"/>
    <xf numFmtId="164" fontId="24" fillId="0" borderId="0" xfId="6" applyNumberFormat="1" applyFont="1" applyFill="1" applyBorder="1" applyAlignment="1"/>
    <xf numFmtId="164" fontId="94" fillId="0" borderId="0" xfId="6" applyNumberFormat="1" applyFont="1" applyFill="1" applyBorder="1" applyAlignment="1"/>
    <xf numFmtId="3" fontId="119" fillId="21" borderId="0" xfId="0" applyNumberFormat="1" applyFont="1" applyFill="1" applyAlignment="1">
      <alignment wrapText="1"/>
    </xf>
    <xf numFmtId="170" fontId="104" fillId="28" borderId="0" xfId="7" quotePrefix="1" applyNumberFormat="1" applyFont="1" applyFill="1" applyBorder="1" applyAlignment="1"/>
    <xf numFmtId="170" fontId="136" fillId="20" borderId="0" xfId="7" applyNumberFormat="1" applyFont="1" applyFill="1" applyAlignment="1"/>
    <xf numFmtId="170" fontId="136" fillId="0" borderId="0" xfId="7" applyNumberFormat="1" applyFont="1" applyFill="1" applyAlignment="1"/>
    <xf numFmtId="164" fontId="24" fillId="0" borderId="74" xfId="6" applyNumberFormat="1" applyFont="1" applyFill="1" applyBorder="1" applyAlignment="1">
      <alignment vertical="top"/>
    </xf>
    <xf numFmtId="3" fontId="119" fillId="21" borderId="0" xfId="0" quotePrefix="1" applyNumberFormat="1" applyFont="1" applyFill="1" applyAlignment="1">
      <alignment vertical="top" wrapText="1"/>
    </xf>
    <xf numFmtId="3" fontId="119" fillId="0" borderId="0" xfId="0" quotePrefix="1" applyNumberFormat="1" applyFont="1" applyAlignment="1">
      <alignment vertical="top" wrapText="1"/>
    </xf>
    <xf numFmtId="170" fontId="135" fillId="28" borderId="0" xfId="7" quotePrefix="1" applyNumberFormat="1" applyFont="1" applyFill="1" applyBorder="1"/>
    <xf numFmtId="0" fontId="104" fillId="0" borderId="0" xfId="0" applyFont="1" applyAlignment="1">
      <alignment horizontal="right"/>
    </xf>
    <xf numFmtId="42" fontId="104" fillId="18" borderId="0" xfId="0" applyNumberFormat="1" applyFont="1" applyFill="1"/>
    <xf numFmtId="170" fontId="135" fillId="0" borderId="0" xfId="7" quotePrefix="1" applyNumberFormat="1" applyFont="1" applyFill="1" applyBorder="1"/>
    <xf numFmtId="10" fontId="105" fillId="22" borderId="0" xfId="5" applyNumberFormat="1" applyFont="1" applyFill="1" applyBorder="1" applyAlignment="1">
      <alignment vertical="top"/>
    </xf>
    <xf numFmtId="170" fontId="135" fillId="0" borderId="0" xfId="7" applyNumberFormat="1" applyFont="1" applyBorder="1"/>
    <xf numFmtId="170" fontId="104" fillId="0" borderId="0" xfId="7" applyNumberFormat="1" applyFont="1"/>
    <xf numFmtId="184" fontId="24" fillId="0" borderId="0" xfId="0" applyNumberFormat="1" applyFont="1" applyAlignment="1">
      <alignment vertical="top"/>
    </xf>
    <xf numFmtId="38" fontId="105" fillId="0" borderId="0" xfId="6" applyNumberFormat="1" applyFont="1" applyFill="1" applyBorder="1" applyAlignment="1">
      <alignment vertical="top"/>
    </xf>
    <xf numFmtId="3" fontId="109" fillId="21" borderId="0" xfId="0" applyNumberFormat="1" applyFont="1" applyFill="1" applyAlignment="1">
      <alignment vertical="center" wrapText="1"/>
    </xf>
    <xf numFmtId="184" fontId="24" fillId="22" borderId="0" xfId="0" applyNumberFormat="1" applyFont="1" applyFill="1" applyAlignment="1">
      <alignment vertical="top"/>
    </xf>
    <xf numFmtId="0" fontId="109" fillId="21" borderId="0" xfId="0" applyFont="1" applyFill="1" applyAlignment="1">
      <alignment vertical="top"/>
    </xf>
    <xf numFmtId="0" fontId="109" fillId="0" borderId="0" xfId="0" applyFont="1" applyAlignment="1">
      <alignment vertical="top"/>
    </xf>
    <xf numFmtId="0" fontId="24" fillId="22" borderId="0" xfId="0" applyFont="1" applyFill="1" applyAlignment="1">
      <alignment vertical="top"/>
    </xf>
    <xf numFmtId="0" fontId="134" fillId="0" borderId="0" xfId="0" applyFont="1" applyAlignment="1">
      <alignment horizontal="right"/>
    </xf>
    <xf numFmtId="38" fontId="137" fillId="18" borderId="0" xfId="0" applyNumberFormat="1" applyFont="1" applyFill="1"/>
    <xf numFmtId="38" fontId="24" fillId="0" borderId="74" xfId="6" applyNumberFormat="1" applyFont="1" applyFill="1" applyBorder="1" applyAlignment="1"/>
    <xf numFmtId="38" fontId="24" fillId="0" borderId="0" xfId="6" applyNumberFormat="1" applyFont="1" applyFill="1" applyBorder="1" applyAlignment="1"/>
    <xf numFmtId="185" fontId="116" fillId="21" borderId="0" xfId="0" applyNumberFormat="1" applyFont="1" applyFill="1" applyAlignment="1">
      <alignment wrapText="1"/>
    </xf>
    <xf numFmtId="185" fontId="116" fillId="0" borderId="0" xfId="0" applyNumberFormat="1" applyFont="1" applyAlignment="1">
      <alignment wrapText="1"/>
    </xf>
    <xf numFmtId="0" fontId="134" fillId="0" borderId="7" xfId="0" applyFont="1" applyBorder="1"/>
    <xf numFmtId="10" fontId="24" fillId="18" borderId="0" xfId="0" applyNumberFormat="1" applyFont="1" applyFill="1"/>
    <xf numFmtId="3" fontId="105" fillId="0" borderId="0" xfId="6" applyNumberFormat="1" applyFont="1" applyFill="1" applyBorder="1" applyAlignment="1">
      <alignment vertical="top"/>
    </xf>
    <xf numFmtId="0" fontId="24" fillId="0" borderId="74" xfId="0" applyFont="1" applyBorder="1"/>
    <xf numFmtId="0" fontId="109" fillId="21" borderId="0" xfId="0" applyFont="1" applyFill="1" applyAlignment="1">
      <alignment wrapText="1"/>
    </xf>
    <xf numFmtId="0" fontId="109" fillId="0" borderId="0" xfId="0" applyFont="1" applyAlignment="1">
      <alignment wrapText="1"/>
    </xf>
    <xf numFmtId="170" fontId="136" fillId="0" borderId="0" xfId="7" quotePrefix="1" applyNumberFormat="1" applyFont="1" applyFill="1" applyBorder="1" applyAlignment="1"/>
    <xf numFmtId="42" fontId="136" fillId="20" borderId="0" xfId="7" applyNumberFormat="1" applyFont="1" applyFill="1" applyAlignment="1"/>
    <xf numFmtId="170" fontId="104" fillId="29" borderId="0" xfId="0" applyNumberFormat="1" applyFont="1" applyFill="1"/>
    <xf numFmtId="170" fontId="104" fillId="29" borderId="7" xfId="0" applyNumberFormat="1" applyFont="1" applyFill="1" applyBorder="1"/>
    <xf numFmtId="10" fontId="24" fillId="0" borderId="0" xfId="0" applyNumberFormat="1" applyFont="1" applyAlignment="1">
      <alignment vertical="top"/>
    </xf>
    <xf numFmtId="0" fontId="24" fillId="0" borderId="74" xfId="0" applyFont="1" applyBorder="1" applyAlignment="1">
      <alignment vertical="top"/>
    </xf>
    <xf numFmtId="0" fontId="109" fillId="21" borderId="0" xfId="0" applyFont="1" applyFill="1" applyAlignment="1">
      <alignment vertical="center" wrapText="1"/>
    </xf>
    <xf numFmtId="0" fontId="109" fillId="0" borderId="0" xfId="0" applyFont="1" applyAlignment="1">
      <alignment vertical="center" wrapText="1"/>
    </xf>
    <xf numFmtId="170" fontId="136" fillId="0" borderId="0" xfId="7" applyNumberFormat="1" applyFont="1" applyBorder="1"/>
    <xf numFmtId="42" fontId="104" fillId="19" borderId="0" xfId="0" applyNumberFormat="1" applyFont="1" applyFill="1"/>
    <xf numFmtId="42" fontId="104" fillId="0" borderId="0" xfId="0" applyNumberFormat="1" applyFont="1"/>
    <xf numFmtId="42" fontId="24" fillId="18" borderId="0" xfId="0" applyNumberFormat="1" applyFont="1" applyFill="1"/>
    <xf numFmtId="42" fontId="104" fillId="18" borderId="7" xfId="0" applyNumberFormat="1" applyFont="1" applyFill="1" applyBorder="1"/>
    <xf numFmtId="10" fontId="24" fillId="18" borderId="0" xfId="0" applyNumberFormat="1" applyFont="1" applyFill="1" applyAlignment="1">
      <alignment vertical="top"/>
    </xf>
    <xf numFmtId="3" fontId="105" fillId="19" borderId="0" xfId="6" applyNumberFormat="1" applyFont="1" applyFill="1" applyBorder="1" applyAlignment="1">
      <alignment vertical="top"/>
    </xf>
    <xf numFmtId="170" fontId="136" fillId="0" borderId="0" xfId="7" quotePrefix="1" applyNumberFormat="1" applyFont="1" applyFill="1" applyBorder="1"/>
    <xf numFmtId="42" fontId="136" fillId="0" borderId="0" xfId="7" applyNumberFormat="1" applyFont="1" applyFill="1"/>
    <xf numFmtId="170" fontId="136" fillId="0" borderId="0" xfId="7" applyNumberFormat="1" applyFont="1" applyFill="1"/>
    <xf numFmtId="42" fontId="104" fillId="0" borderId="7" xfId="0" applyNumberFormat="1" applyFont="1" applyBorder="1"/>
    <xf numFmtId="0" fontId="136" fillId="0" borderId="0" xfId="0" applyFont="1"/>
    <xf numFmtId="42" fontId="136" fillId="19" borderId="0" xfId="0" applyNumberFormat="1" applyFont="1" applyFill="1"/>
    <xf numFmtId="3" fontId="105" fillId="20" borderId="0" xfId="6" applyNumberFormat="1" applyFont="1" applyFill="1" applyBorder="1" applyAlignment="1">
      <alignment vertical="top"/>
    </xf>
    <xf numFmtId="42" fontId="136" fillId="0" borderId="0" xfId="0" applyNumberFormat="1" applyFont="1"/>
    <xf numFmtId="42" fontId="24" fillId="0" borderId="0" xfId="0" applyNumberFormat="1" applyFont="1"/>
    <xf numFmtId="0" fontId="138" fillId="0" borderId="0" xfId="0" applyFont="1"/>
    <xf numFmtId="170" fontId="0" fillId="0" borderId="0" xfId="7" applyNumberFormat="1" applyFont="1" applyFill="1" applyBorder="1"/>
    <xf numFmtId="42" fontId="0" fillId="20" borderId="0" xfId="0" applyNumberFormat="1" applyFill="1"/>
    <xf numFmtId="42" fontId="0" fillId="0" borderId="0" xfId="0" applyNumberFormat="1"/>
    <xf numFmtId="42" fontId="104" fillId="29" borderId="0" xfId="0" applyNumberFormat="1" applyFont="1" applyFill="1"/>
    <xf numFmtId="42" fontId="104" fillId="29" borderId="7" xfId="0" applyNumberFormat="1" applyFont="1" applyFill="1" applyBorder="1"/>
    <xf numFmtId="164" fontId="92" fillId="0" borderId="0" xfId="6" applyNumberFormat="1" applyFont="1" applyFill="1" applyBorder="1" applyAlignment="1">
      <alignment vertical="top"/>
    </xf>
    <xf numFmtId="42" fontId="134" fillId="0" borderId="7" xfId="0" applyNumberFormat="1" applyFont="1" applyBorder="1"/>
    <xf numFmtId="3" fontId="109" fillId="21" borderId="0" xfId="0" quotePrefix="1" applyNumberFormat="1" applyFont="1" applyFill="1" applyAlignment="1">
      <alignment vertical="top" wrapText="1"/>
    </xf>
    <xf numFmtId="3" fontId="109" fillId="0" borderId="0" xfId="0" quotePrefix="1" applyNumberFormat="1" applyFont="1" applyAlignment="1">
      <alignment vertical="top" wrapText="1"/>
    </xf>
    <xf numFmtId="3" fontId="24" fillId="0" borderId="0" xfId="7" applyNumberFormat="1" applyFont="1" applyFill="1" applyBorder="1" applyAlignment="1">
      <alignment vertical="top"/>
    </xf>
    <xf numFmtId="3" fontId="105" fillId="22" borderId="0" xfId="0" applyNumberFormat="1" applyFont="1" applyFill="1" applyAlignment="1">
      <alignment vertical="top"/>
    </xf>
    <xf numFmtId="3" fontId="24" fillId="0" borderId="0" xfId="0" applyNumberFormat="1" applyFont="1" applyAlignment="1">
      <alignment vertical="top"/>
    </xf>
    <xf numFmtId="3" fontId="105" fillId="18" borderId="0" xfId="0" applyNumberFormat="1" applyFont="1" applyFill="1" applyAlignment="1">
      <alignment vertical="top"/>
    </xf>
    <xf numFmtId="38" fontId="105" fillId="20" borderId="0" xfId="6" applyNumberFormat="1" applyFont="1" applyFill="1" applyBorder="1" applyAlignment="1">
      <alignment vertical="top"/>
    </xf>
    <xf numFmtId="0" fontId="0" fillId="0" borderId="74" xfId="0" applyBorder="1" applyAlignment="1">
      <alignment vertical="top"/>
    </xf>
    <xf numFmtId="3" fontId="125" fillId="21" borderId="0" xfId="0" applyNumberFormat="1" applyFont="1" applyFill="1" applyAlignment="1">
      <alignment vertical="top" wrapText="1"/>
    </xf>
    <xf numFmtId="0" fontId="94" fillId="18" borderId="0" xfId="0" applyFont="1" applyFill="1" applyAlignment="1">
      <alignment vertical="top"/>
    </xf>
    <xf numFmtId="38" fontId="24" fillId="19" borderId="0" xfId="0" applyNumberFormat="1" applyFont="1" applyFill="1" applyAlignment="1">
      <alignment horizontal="center"/>
    </xf>
    <xf numFmtId="38" fontId="24" fillId="18" borderId="74" xfId="6" applyNumberFormat="1" applyFont="1" applyFill="1" applyBorder="1" applyAlignment="1"/>
    <xf numFmtId="38" fontId="24" fillId="19" borderId="74" xfId="6" applyNumberFormat="1" applyFont="1" applyFill="1" applyBorder="1" applyAlignment="1">
      <alignment vertical="top"/>
    </xf>
    <xf numFmtId="38" fontId="24" fillId="19" borderId="0" xfId="6" applyNumberFormat="1" applyFont="1" applyFill="1" applyBorder="1" applyAlignment="1">
      <alignment vertical="top"/>
    </xf>
    <xf numFmtId="38" fontId="24" fillId="20" borderId="74" xfId="6" applyNumberFormat="1" applyFont="1" applyFill="1" applyBorder="1" applyAlignment="1">
      <alignment vertical="top"/>
    </xf>
    <xf numFmtId="38" fontId="24" fillId="20" borderId="0" xfId="6" applyNumberFormat="1" applyFont="1" applyFill="1" applyBorder="1" applyAlignment="1">
      <alignment vertical="top"/>
    </xf>
    <xf numFmtId="3" fontId="116" fillId="0" borderId="0" xfId="0" applyNumberFormat="1" applyFont="1" applyAlignment="1">
      <alignment vertical="top" wrapText="1"/>
    </xf>
    <xf numFmtId="164" fontId="119" fillId="21" borderId="0" xfId="6" quotePrefix="1" applyNumberFormat="1" applyFont="1" applyFill="1" applyBorder="1" applyAlignment="1" applyProtection="1">
      <alignment vertical="top" wrapText="1"/>
      <protection locked="0"/>
    </xf>
    <xf numFmtId="164" fontId="119" fillId="0" borderId="0" xfId="6" quotePrefix="1" applyNumberFormat="1" applyFont="1" applyFill="1" applyBorder="1" applyAlignment="1" applyProtection="1">
      <alignment vertical="top" wrapText="1"/>
      <protection locked="0"/>
    </xf>
    <xf numFmtId="0" fontId="94" fillId="0" borderId="0" xfId="0" applyFont="1" applyAlignment="1" applyProtection="1">
      <alignment horizontal="left" vertical="top"/>
      <protection locked="0"/>
    </xf>
    <xf numFmtId="164" fontId="119" fillId="21" borderId="0" xfId="6" applyNumberFormat="1" applyFont="1" applyFill="1" applyBorder="1" applyAlignment="1" applyProtection="1">
      <alignment vertical="top" wrapText="1"/>
      <protection locked="0"/>
    </xf>
    <xf numFmtId="164" fontId="119" fillId="0" borderId="0" xfId="6" applyNumberFormat="1" applyFont="1" applyFill="1" applyBorder="1" applyAlignment="1" applyProtection="1">
      <alignment vertical="top" wrapText="1"/>
      <protection locked="0"/>
    </xf>
    <xf numFmtId="164" fontId="108" fillId="21" borderId="0" xfId="6" applyNumberFormat="1" applyFont="1" applyFill="1" applyBorder="1" applyAlignment="1" applyProtection="1">
      <alignment vertical="top" wrapText="1"/>
      <protection locked="0"/>
    </xf>
    <xf numFmtId="164" fontId="108" fillId="0" borderId="0" xfId="6" applyNumberFormat="1" applyFont="1" applyFill="1" applyBorder="1" applyAlignment="1" applyProtection="1">
      <alignment vertical="top" wrapText="1"/>
      <protection locked="0"/>
    </xf>
    <xf numFmtId="164" fontId="139" fillId="21" borderId="0" xfId="6" applyNumberFormat="1" applyFont="1" applyFill="1" applyBorder="1" applyAlignment="1" applyProtection="1">
      <alignment vertical="top" wrapText="1"/>
      <protection locked="0"/>
    </xf>
    <xf numFmtId="164" fontId="139" fillId="0" borderId="0" xfId="6" applyNumberFormat="1" applyFont="1" applyFill="1" applyBorder="1" applyAlignment="1" applyProtection="1">
      <alignment vertical="top" wrapText="1"/>
      <protection locked="0"/>
    </xf>
    <xf numFmtId="6" fontId="24" fillId="18" borderId="0" xfId="0" applyNumberFormat="1" applyFont="1" applyFill="1" applyAlignment="1">
      <alignment vertical="top"/>
    </xf>
    <xf numFmtId="40" fontId="24" fillId="0" borderId="74" xfId="6" applyNumberFormat="1" applyFont="1" applyFill="1" applyBorder="1" applyAlignment="1" applyProtection="1">
      <alignment vertical="top"/>
      <protection locked="0"/>
    </xf>
    <xf numFmtId="40" fontId="24" fillId="0" borderId="0" xfId="6" applyNumberFormat="1" applyFont="1" applyFill="1" applyBorder="1" applyAlignment="1" applyProtection="1">
      <alignment vertical="top"/>
      <protection locked="0"/>
    </xf>
    <xf numFmtId="6" fontId="24" fillId="22" borderId="0" xfId="0" applyNumberFormat="1" applyFont="1" applyFill="1" applyAlignment="1">
      <alignment vertical="top"/>
    </xf>
    <xf numFmtId="38" fontId="0" fillId="0" borderId="0" xfId="0" applyNumberFormat="1"/>
    <xf numFmtId="38" fontId="24" fillId="19" borderId="74" xfId="6" applyNumberFormat="1" applyFont="1" applyFill="1" applyBorder="1" applyAlignment="1" applyProtection="1">
      <alignment vertical="top"/>
      <protection locked="0"/>
    </xf>
    <xf numFmtId="38" fontId="24" fillId="19" borderId="0" xfId="6" applyNumberFormat="1" applyFont="1" applyFill="1" applyBorder="1" applyAlignment="1" applyProtection="1">
      <alignment vertical="top"/>
      <protection locked="0"/>
    </xf>
    <xf numFmtId="165" fontId="94" fillId="22" borderId="0" xfId="5" applyNumberFormat="1" applyFont="1" applyFill="1" applyBorder="1" applyAlignment="1">
      <alignment vertical="top"/>
    </xf>
    <xf numFmtId="37" fontId="119" fillId="21" borderId="0" xfId="0" applyNumberFormat="1" applyFont="1" applyFill="1" applyAlignment="1" applyProtection="1">
      <alignment vertical="top" wrapText="1"/>
      <protection locked="0"/>
    </xf>
    <xf numFmtId="37" fontId="119" fillId="0" borderId="0" xfId="0" applyNumberFormat="1" applyFont="1" applyAlignment="1" applyProtection="1">
      <alignment vertical="top" wrapText="1"/>
      <protection locked="0"/>
    </xf>
    <xf numFmtId="0" fontId="100" fillId="0" borderId="0" xfId="0" applyFont="1" applyAlignment="1">
      <alignment vertical="top"/>
    </xf>
    <xf numFmtId="38" fontId="92" fillId="0" borderId="74" xfId="6" applyNumberFormat="1" applyFont="1" applyFill="1" applyBorder="1" applyAlignment="1" applyProtection="1">
      <alignment vertical="top"/>
      <protection locked="0"/>
    </xf>
    <xf numFmtId="38" fontId="92" fillId="0" borderId="0" xfId="6" applyNumberFormat="1" applyFont="1" applyFill="1" applyBorder="1" applyAlignment="1" applyProtection="1">
      <alignment vertical="top"/>
      <protection locked="0"/>
    </xf>
    <xf numFmtId="164" fontId="92" fillId="0" borderId="0" xfId="6" applyNumberFormat="1" applyFont="1" applyFill="1" applyBorder="1" applyAlignment="1" applyProtection="1">
      <alignment vertical="top"/>
      <protection locked="0"/>
    </xf>
    <xf numFmtId="169" fontId="94" fillId="22" borderId="0" xfId="0" applyNumberFormat="1" applyFont="1" applyFill="1" applyAlignment="1">
      <alignment vertical="top"/>
    </xf>
    <xf numFmtId="7" fontId="100" fillId="0" borderId="0" xfId="0" applyNumberFormat="1" applyFont="1" applyAlignment="1">
      <alignment vertical="top"/>
    </xf>
    <xf numFmtId="37" fontId="118" fillId="21" borderId="0" xfId="0" applyNumberFormat="1" applyFont="1" applyFill="1" applyAlignment="1" applyProtection="1">
      <alignment vertical="top" wrapText="1"/>
      <protection locked="0"/>
    </xf>
    <xf numFmtId="37" fontId="118" fillId="0" borderId="0" xfId="0" applyNumberFormat="1" applyFont="1" applyAlignment="1" applyProtection="1">
      <alignment vertical="top" wrapText="1"/>
      <protection locked="0"/>
    </xf>
    <xf numFmtId="10" fontId="94" fillId="0" borderId="0" xfId="5" applyNumberFormat="1" applyFont="1" applyFill="1" applyBorder="1" applyAlignment="1">
      <alignment vertical="top"/>
    </xf>
    <xf numFmtId="43" fontId="94" fillId="0" borderId="0" xfId="6" applyFont="1" applyFill="1" applyBorder="1" applyAlignment="1">
      <alignment vertical="top"/>
    </xf>
    <xf numFmtId="42" fontId="94" fillId="18" borderId="0" xfId="6" applyNumberFormat="1" applyFont="1" applyFill="1" applyBorder="1" applyAlignment="1">
      <alignment vertical="top"/>
    </xf>
    <xf numFmtId="37" fontId="108" fillId="21" borderId="0" xfId="0" applyNumberFormat="1" applyFont="1" applyFill="1" applyAlignment="1" applyProtection="1">
      <alignment vertical="top" wrapText="1"/>
      <protection locked="0"/>
    </xf>
    <xf numFmtId="37" fontId="108" fillId="0" borderId="0" xfId="0" applyNumberFormat="1" applyFont="1" applyAlignment="1" applyProtection="1">
      <alignment vertical="top" wrapText="1"/>
      <protection locked="0"/>
    </xf>
    <xf numFmtId="0" fontId="140" fillId="3" borderId="0" xfId="0" applyFont="1" applyFill="1" applyAlignment="1">
      <alignment vertical="center"/>
    </xf>
    <xf numFmtId="0" fontId="141" fillId="3" borderId="0" xfId="0" applyFont="1" applyFill="1" applyAlignment="1">
      <alignment horizontal="left" vertical="center"/>
    </xf>
    <xf numFmtId="0" fontId="141" fillId="3" borderId="0" xfId="0" applyFont="1" applyFill="1" applyAlignment="1">
      <alignment vertical="center"/>
    </xf>
    <xf numFmtId="38" fontId="142" fillId="27" borderId="0" xfId="0" applyNumberFormat="1" applyFont="1" applyFill="1" applyAlignment="1">
      <alignment vertical="center"/>
    </xf>
    <xf numFmtId="38" fontId="140" fillId="3" borderId="74" xfId="6" applyNumberFormat="1" applyFont="1" applyFill="1" applyBorder="1" applyAlignment="1" applyProtection="1">
      <alignment vertical="center"/>
    </xf>
    <xf numFmtId="38" fontId="140" fillId="0" borderId="0" xfId="6" applyNumberFormat="1" applyFont="1" applyFill="1" applyBorder="1" applyAlignment="1" applyProtection="1">
      <alignment vertical="center"/>
    </xf>
    <xf numFmtId="38" fontId="140" fillId="4" borderId="0" xfId="6" applyNumberFormat="1" applyFont="1" applyFill="1" applyBorder="1" applyAlignment="1" applyProtection="1">
      <alignment vertical="center"/>
      <protection locked="0"/>
    </xf>
    <xf numFmtId="164" fontId="140" fillId="0" borderId="0" xfId="6" applyNumberFormat="1" applyFont="1" applyFill="1" applyBorder="1" applyAlignment="1" applyProtection="1">
      <alignment vertical="center"/>
    </xf>
    <xf numFmtId="3" fontId="141" fillId="3" borderId="0" xfId="0" applyNumberFormat="1" applyFont="1" applyFill="1" applyAlignment="1">
      <alignment vertical="center" wrapText="1"/>
    </xf>
    <xf numFmtId="3" fontId="141" fillId="27" borderId="0" xfId="0" applyNumberFormat="1" applyFont="1" applyFill="1" applyAlignment="1">
      <alignment vertical="center"/>
    </xf>
    <xf numFmtId="0" fontId="140" fillId="27" borderId="0" xfId="0" applyFont="1" applyFill="1" applyAlignment="1">
      <alignment vertical="center"/>
    </xf>
    <xf numFmtId="0" fontId="140" fillId="0" borderId="0" xfId="0" applyFont="1" applyAlignment="1">
      <alignment vertical="center"/>
    </xf>
    <xf numFmtId="3" fontId="140" fillId="27" borderId="0" xfId="0" applyNumberFormat="1" applyFont="1" applyFill="1" applyAlignment="1">
      <alignment vertical="center"/>
    </xf>
    <xf numFmtId="3" fontId="140" fillId="0" borderId="0" xfId="0" applyNumberFormat="1" applyFont="1" applyAlignment="1">
      <alignment vertical="center"/>
    </xf>
    <xf numFmtId="44" fontId="0" fillId="0" borderId="0" xfId="2" applyFont="1"/>
    <xf numFmtId="44" fontId="94" fillId="20" borderId="74" xfId="2" applyFont="1" applyFill="1" applyBorder="1" applyProtection="1">
      <protection locked="0"/>
    </xf>
    <xf numFmtId="44" fontId="0" fillId="0" borderId="0" xfId="0" applyNumberFormat="1"/>
    <xf numFmtId="44" fontId="0" fillId="0" borderId="0" xfId="7" applyFont="1"/>
    <xf numFmtId="0" fontId="115" fillId="0" borderId="0" xfId="0" applyFont="1"/>
    <xf numFmtId="6" fontId="115" fillId="0" borderId="0" xfId="0" applyNumberFormat="1" applyFont="1"/>
    <xf numFmtId="44" fontId="115" fillId="0" borderId="0" xfId="7" applyFont="1"/>
    <xf numFmtId="4" fontId="0" fillId="0" borderId="0" xfId="0" applyNumberFormat="1"/>
    <xf numFmtId="0" fontId="0" fillId="0" borderId="0" xfId="0" applyAlignment="1">
      <alignment wrapText="1"/>
    </xf>
    <xf numFmtId="164" fontId="109" fillId="0" borderId="0" xfId="0" applyNumberFormat="1" applyFont="1"/>
    <xf numFmtId="0" fontId="25" fillId="0" borderId="19" xfId="0" applyFont="1" applyBorder="1"/>
    <xf numFmtId="0" fontId="24" fillId="0" borderId="19" xfId="0" applyFont="1" applyBorder="1"/>
    <xf numFmtId="0" fontId="112" fillId="0" borderId="19" xfId="0" applyFont="1" applyBorder="1" applyAlignment="1">
      <alignment horizontal="left" vertical="top"/>
    </xf>
    <xf numFmtId="0" fontId="94" fillId="0" borderId="19" xfId="0" applyFont="1" applyBorder="1" applyAlignment="1">
      <alignment horizontal="left" vertical="top"/>
    </xf>
    <xf numFmtId="0" fontId="0" fillId="0" borderId="19" xfId="0" applyBorder="1"/>
    <xf numFmtId="38" fontId="128" fillId="0" borderId="19" xfId="0" applyNumberFormat="1" applyFont="1" applyBorder="1" applyAlignment="1">
      <alignment vertical="top"/>
    </xf>
    <xf numFmtId="38" fontId="94" fillId="0" borderId="71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</xf>
    <xf numFmtId="38" fontId="94" fillId="0" borderId="19" xfId="6" applyNumberFormat="1" applyFont="1" applyFill="1" applyBorder="1" applyAlignment="1" applyProtection="1">
      <alignment vertical="top"/>
      <protection locked="0"/>
    </xf>
    <xf numFmtId="0" fontId="15" fillId="0" borderId="19" xfId="0" applyFont="1" applyBorder="1"/>
    <xf numFmtId="0" fontId="117" fillId="0" borderId="19" xfId="0" applyFont="1" applyBorder="1" applyProtection="1">
      <protection locked="0"/>
    </xf>
    <xf numFmtId="0" fontId="112" fillId="0" borderId="19" xfId="0" applyFont="1" applyBorder="1" applyAlignment="1" applyProtection="1">
      <alignment horizontal="left" vertical="top"/>
      <protection locked="0"/>
    </xf>
    <xf numFmtId="0" fontId="100" fillId="0" borderId="19" xfId="0" applyFont="1" applyBorder="1" applyAlignment="1" applyProtection="1">
      <alignment horizontal="left" vertical="top"/>
      <protection locked="0"/>
    </xf>
    <xf numFmtId="40" fontId="100" fillId="0" borderId="19" xfId="0" applyNumberFormat="1" applyFont="1" applyBorder="1" applyAlignment="1">
      <alignment vertical="top"/>
    </xf>
    <xf numFmtId="38" fontId="112" fillId="0" borderId="19" xfId="0" applyNumberFormat="1" applyFont="1" applyBorder="1" applyAlignment="1">
      <alignment vertical="top"/>
    </xf>
    <xf numFmtId="38" fontId="100" fillId="0" borderId="71" xfId="6" applyNumberFormat="1" applyFont="1" applyFill="1" applyBorder="1" applyAlignment="1" applyProtection="1">
      <alignment vertical="top"/>
    </xf>
    <xf numFmtId="38" fontId="100" fillId="0" borderId="19" xfId="6" applyNumberFormat="1" applyFont="1" applyFill="1" applyBorder="1" applyAlignment="1" applyProtection="1">
      <alignment vertical="top"/>
    </xf>
    <xf numFmtId="0" fontId="92" fillId="0" borderId="19" xfId="0" applyFont="1" applyBorder="1"/>
    <xf numFmtId="0" fontId="100" fillId="0" borderId="19" xfId="0" applyFont="1" applyBorder="1" applyAlignment="1">
      <alignment horizontal="left" vertical="top"/>
    </xf>
    <xf numFmtId="180" fontId="102" fillId="0" borderId="19" xfId="0" applyNumberFormat="1" applyFont="1" applyBorder="1" applyAlignment="1">
      <alignment vertical="top"/>
    </xf>
    <xf numFmtId="38" fontId="121" fillId="0" borderId="19" xfId="0" applyNumberFormat="1" applyFont="1" applyBorder="1" applyAlignment="1">
      <alignment vertical="top"/>
    </xf>
    <xf numFmtId="5" fontId="28" fillId="11" borderId="0" xfId="0" applyNumberFormat="1" applyFont="1" applyFill="1"/>
    <xf numFmtId="164" fontId="26" fillId="0" borderId="78" xfId="0" applyNumberFormat="1" applyFont="1" applyBorder="1" applyAlignment="1">
      <alignment horizontal="left"/>
    </xf>
    <xf numFmtId="164" fontId="26" fillId="0" borderId="80" xfId="0" applyNumberFormat="1" applyFont="1" applyBorder="1" applyAlignment="1">
      <alignment horizontal="left"/>
    </xf>
    <xf numFmtId="0" fontId="13" fillId="0" borderId="106" xfId="0" applyFont="1" applyBorder="1"/>
    <xf numFmtId="9" fontId="15" fillId="0" borderId="107" xfId="3" applyFont="1" applyFill="1" applyBorder="1"/>
    <xf numFmtId="3" fontId="119" fillId="30" borderId="0" xfId="0" applyNumberFormat="1" applyFont="1" applyFill="1"/>
    <xf numFmtId="44" fontId="24" fillId="19" borderId="0" xfId="2" applyFont="1" applyFill="1"/>
    <xf numFmtId="44" fontId="119" fillId="19" borderId="0" xfId="2" applyFont="1" applyFill="1"/>
    <xf numFmtId="9" fontId="15" fillId="0" borderId="79" xfId="3" applyFont="1" applyBorder="1"/>
    <xf numFmtId="0" fontId="15" fillId="0" borderId="75" xfId="0" applyFont="1" applyBorder="1" applyAlignment="1">
      <alignment horizontal="right" indent="1"/>
    </xf>
    <xf numFmtId="38" fontId="15" fillId="0" borderId="76" xfId="0" applyNumberFormat="1" applyFont="1" applyBorder="1"/>
    <xf numFmtId="0" fontId="15" fillId="0" borderId="78" xfId="0" applyFont="1" applyBorder="1" applyAlignment="1">
      <alignment horizontal="right" indent="1"/>
    </xf>
    <xf numFmtId="0" fontId="15" fillId="0" borderId="78" xfId="0" applyFont="1" applyBorder="1" applyAlignment="1">
      <alignment horizontal="right"/>
    </xf>
    <xf numFmtId="164" fontId="0" fillId="0" borderId="79" xfId="0" applyNumberFormat="1" applyBorder="1"/>
    <xf numFmtId="164" fontId="15" fillId="0" borderId="1" xfId="1" applyNumberFormat="1" applyFont="1" applyFill="1" applyBorder="1"/>
    <xf numFmtId="0" fontId="0" fillId="0" borderId="81" xfId="0" applyBorder="1"/>
    <xf numFmtId="165" fontId="0" fillId="0" borderId="0" xfId="3" applyNumberFormat="1" applyFont="1" applyBorder="1"/>
    <xf numFmtId="164" fontId="0" fillId="11" borderId="0" xfId="1" applyNumberFormat="1" applyFont="1" applyFill="1" applyBorder="1"/>
    <xf numFmtId="0" fontId="37" fillId="0" borderId="108" xfId="0" applyFont="1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10" fontId="0" fillId="0" borderId="0" xfId="3" applyNumberFormat="1" applyFont="1" applyBorder="1"/>
    <xf numFmtId="0" fontId="0" fillId="0" borderId="113" xfId="0" applyBorder="1"/>
    <xf numFmtId="0" fontId="0" fillId="0" borderId="114" xfId="0" applyBorder="1"/>
    <xf numFmtId="164" fontId="0" fillId="0" borderId="114" xfId="0" applyNumberFormat="1" applyBorder="1"/>
    <xf numFmtId="6" fontId="0" fillId="0" borderId="114" xfId="0" applyNumberFormat="1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37" fillId="0" borderId="113" xfId="0" applyFont="1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9" fontId="0" fillId="0" borderId="123" xfId="0" applyNumberFormat="1" applyBorder="1"/>
    <xf numFmtId="164" fontId="0" fillId="30" borderId="112" xfId="1" applyNumberFormat="1" applyFont="1" applyFill="1" applyBorder="1"/>
    <xf numFmtId="6" fontId="0" fillId="30" borderId="0" xfId="0" applyNumberFormat="1" applyFill="1"/>
    <xf numFmtId="10" fontId="0" fillId="0" borderId="124" xfId="0" applyNumberFormat="1" applyBorder="1"/>
    <xf numFmtId="9" fontId="0" fillId="0" borderId="125" xfId="0" applyNumberFormat="1" applyBorder="1"/>
    <xf numFmtId="165" fontId="0" fillId="0" borderId="124" xfId="3" applyNumberFormat="1" applyFont="1" applyBorder="1"/>
    <xf numFmtId="0" fontId="0" fillId="0" borderId="124" xfId="0" applyBorder="1"/>
    <xf numFmtId="164" fontId="0" fillId="11" borderId="124" xfId="1" applyNumberFormat="1" applyFont="1" applyFill="1" applyBorder="1"/>
    <xf numFmtId="0" fontId="0" fillId="0" borderId="127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9" fontId="0" fillId="0" borderId="134" xfId="3" applyFont="1" applyBorder="1"/>
    <xf numFmtId="0" fontId="0" fillId="0" borderId="135" xfId="0" applyBorder="1"/>
    <xf numFmtId="0" fontId="37" fillId="0" borderId="126" xfId="0" applyFont="1" applyBorder="1"/>
    <xf numFmtId="175" fontId="0" fillId="30" borderId="115" xfId="0" applyNumberFormat="1" applyFill="1" applyBorder="1"/>
    <xf numFmtId="6" fontId="94" fillId="0" borderId="74" xfId="6" applyNumberFormat="1" applyFont="1" applyFill="1" applyBorder="1" applyAlignment="1" applyProtection="1">
      <alignment vertical="top"/>
      <protection locked="0"/>
    </xf>
    <xf numFmtId="0" fontId="92" fillId="0" borderId="2" xfId="0" applyFont="1" applyBorder="1"/>
    <xf numFmtId="0" fontId="24" fillId="0" borderId="3" xfId="0" applyFont="1" applyBorder="1" applyAlignment="1">
      <alignment horizontal="center"/>
    </xf>
    <xf numFmtId="1" fontId="24" fillId="0" borderId="22" xfId="0" applyNumberFormat="1" applyFont="1" applyBorder="1" applyAlignment="1">
      <alignment horizontal="center"/>
    </xf>
    <xf numFmtId="2" fontId="24" fillId="0" borderId="22" xfId="0" applyNumberFormat="1" applyFont="1" applyBorder="1" applyAlignment="1">
      <alignment horizontal="center"/>
    </xf>
    <xf numFmtId="0" fontId="92" fillId="0" borderId="3" xfId="0" applyFont="1" applyBorder="1" applyAlignment="1">
      <alignment horizontal="left"/>
    </xf>
    <xf numFmtId="0" fontId="92" fillId="0" borderId="22" xfId="0" applyFont="1" applyBorder="1" applyAlignment="1">
      <alignment horizontal="left" vertical="center"/>
    </xf>
    <xf numFmtId="38" fontId="24" fillId="0" borderId="3" xfId="0" applyNumberFormat="1" applyFont="1" applyBorder="1" applyAlignment="1">
      <alignment horizontal="center"/>
    </xf>
    <xf numFmtId="0" fontId="24" fillId="19" borderId="22" xfId="0" applyFont="1" applyFill="1" applyBorder="1" applyAlignment="1">
      <alignment horizontal="center"/>
    </xf>
    <xf numFmtId="0" fontId="20" fillId="0" borderId="20" xfId="0" applyFont="1" applyBorder="1" applyAlignment="1">
      <alignment wrapText="1"/>
    </xf>
    <xf numFmtId="0" fontId="20" fillId="0" borderId="22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2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0" fillId="0" borderId="15" xfId="0" applyBorder="1"/>
    <xf numFmtId="0" fontId="0" fillId="0" borderId="20" xfId="0" applyBorder="1"/>
    <xf numFmtId="0" fontId="0" fillId="0" borderId="7" xfId="0" applyBorder="1"/>
    <xf numFmtId="9" fontId="0" fillId="0" borderId="8" xfId="3" applyFont="1" applyBorder="1"/>
    <xf numFmtId="0" fontId="20" fillId="0" borderId="7" xfId="0" applyFont="1" applyBorder="1"/>
    <xf numFmtId="0" fontId="0" fillId="0" borderId="8" xfId="0" applyBorder="1"/>
    <xf numFmtId="0" fontId="20" fillId="0" borderId="14" xfId="0" applyFont="1" applyBorder="1"/>
    <xf numFmtId="0" fontId="143" fillId="19" borderId="17" xfId="0" applyFont="1" applyFill="1" applyBorder="1" applyAlignment="1">
      <alignment wrapText="1"/>
    </xf>
    <xf numFmtId="0" fontId="143" fillId="19" borderId="15" xfId="0" applyFont="1" applyFill="1" applyBorder="1" applyAlignment="1">
      <alignment wrapText="1"/>
    </xf>
    <xf numFmtId="6" fontId="0" fillId="0" borderId="22" xfId="0" applyNumberFormat="1" applyBorder="1" applyAlignment="1">
      <alignment wrapText="1"/>
    </xf>
    <xf numFmtId="44" fontId="0" fillId="0" borderId="2" xfId="2" applyFont="1" applyBorder="1" applyAlignment="1">
      <alignment wrapText="1"/>
    </xf>
    <xf numFmtId="44" fontId="0" fillId="0" borderId="0" xfId="2" applyFont="1" applyBorder="1"/>
    <xf numFmtId="44" fontId="0" fillId="0" borderId="2" xfId="2" applyFont="1" applyBorder="1"/>
    <xf numFmtId="164" fontId="26" fillId="0" borderId="7" xfId="0" applyNumberFormat="1" applyFont="1" applyBorder="1" applyAlignment="1">
      <alignment horizontal="left"/>
    </xf>
    <xf numFmtId="164" fontId="26" fillId="0" borderId="14" xfId="0" applyNumberFormat="1" applyFont="1" applyBorder="1" applyAlignment="1">
      <alignment horizontal="left"/>
    </xf>
    <xf numFmtId="164" fontId="26" fillId="0" borderId="4" xfId="0" applyNumberFormat="1" applyFont="1" applyBorder="1" applyAlignment="1">
      <alignment horizontal="left"/>
    </xf>
    <xf numFmtId="164" fontId="15" fillId="0" borderId="5" xfId="0" applyNumberFormat="1" applyFont="1" applyBorder="1"/>
    <xf numFmtId="37" fontId="54" fillId="0" borderId="2" xfId="0" applyNumberFormat="1" applyFont="1" applyBorder="1"/>
    <xf numFmtId="9" fontId="54" fillId="0" borderId="2" xfId="3" applyFont="1" applyFill="1" applyBorder="1"/>
    <xf numFmtId="8" fontId="0" fillId="0" borderId="0" xfId="0" applyNumberFormat="1"/>
    <xf numFmtId="164" fontId="11" fillId="0" borderId="0" xfId="1" applyNumberFormat="1" applyFont="1" applyFill="1" applyBorder="1" applyAlignment="1">
      <alignment horizontal="center"/>
    </xf>
    <xf numFmtId="42" fontId="134" fillId="0" borderId="0" xfId="0" applyNumberFormat="1" applyFont="1"/>
    <xf numFmtId="8" fontId="20" fillId="0" borderId="0" xfId="0" applyNumberFormat="1" applyFont="1"/>
    <xf numFmtId="0" fontId="0" fillId="0" borderId="136" xfId="0" applyBorder="1"/>
    <xf numFmtId="0" fontId="37" fillId="0" borderId="119" xfId="0" applyFont="1" applyBorder="1"/>
    <xf numFmtId="3" fontId="109" fillId="31" borderId="0" xfId="0" applyNumberFormat="1" applyFont="1" applyFill="1"/>
    <xf numFmtId="44" fontId="0" fillId="11" borderId="0" xfId="2" applyFont="1" applyFill="1"/>
    <xf numFmtId="0" fontId="26" fillId="0" borderId="137" xfId="0" applyFont="1" applyBorder="1" applyAlignment="1">
      <alignment horizontal="left" indent="2"/>
    </xf>
    <xf numFmtId="164" fontId="26" fillId="0" borderId="138" xfId="1" applyNumberFormat="1" applyFont="1" applyFill="1" applyBorder="1" applyAlignment="1">
      <alignment horizontal="right"/>
    </xf>
    <xf numFmtId="43" fontId="26" fillId="0" borderId="78" xfId="1" applyFont="1" applyFill="1" applyBorder="1" applyAlignment="1">
      <alignment horizontal="right"/>
    </xf>
    <xf numFmtId="43" fontId="26" fillId="0" borderId="80" xfId="1" applyFont="1" applyFill="1" applyBorder="1" applyAlignment="1">
      <alignment horizontal="right"/>
    </xf>
    <xf numFmtId="9" fontId="36" fillId="0" borderId="0" xfId="3" applyFont="1" applyFill="1" applyAlignment="1">
      <alignment horizontal="left"/>
    </xf>
    <xf numFmtId="0" fontId="36" fillId="0" borderId="138" xfId="0" applyFont="1" applyBorder="1"/>
    <xf numFmtId="164" fontId="15" fillId="0" borderId="140" xfId="0" applyNumberFormat="1" applyFont="1" applyBorder="1"/>
    <xf numFmtId="164" fontId="36" fillId="0" borderId="78" xfId="0" applyNumberFormat="1" applyFont="1" applyBorder="1" applyAlignment="1">
      <alignment horizontal="left"/>
    </xf>
    <xf numFmtId="164" fontId="26" fillId="0" borderId="141" xfId="0" applyNumberFormat="1" applyFont="1" applyBorder="1" applyAlignment="1">
      <alignment horizontal="left"/>
    </xf>
    <xf numFmtId="0" fontId="10" fillId="0" borderId="140" xfId="0" applyFont="1" applyBorder="1"/>
    <xf numFmtId="44" fontId="26" fillId="0" borderId="0" xfId="0" applyNumberFormat="1" applyFont="1" applyAlignment="1">
      <alignment horizontal="left" indent="2"/>
    </xf>
    <xf numFmtId="43" fontId="15" fillId="0" borderId="0" xfId="0" applyNumberFormat="1" applyFont="1" applyAlignment="1">
      <alignment horizontal="left" indent="2"/>
    </xf>
    <xf numFmtId="49" fontId="146" fillId="32" borderId="138" xfId="10" applyNumberFormat="1" applyFont="1" applyFill="1" applyBorder="1" applyAlignment="1">
      <alignment horizontal="centerContinuous" vertical="center"/>
    </xf>
    <xf numFmtId="0" fontId="146" fillId="32" borderId="139" xfId="10" applyFont="1" applyFill="1" applyBorder="1" applyAlignment="1">
      <alignment horizontal="centerContinuous"/>
    </xf>
    <xf numFmtId="0" fontId="146" fillId="32" borderId="140" xfId="10" applyFont="1" applyFill="1" applyBorder="1" applyAlignment="1">
      <alignment horizontal="centerContinuous"/>
    </xf>
    <xf numFmtId="49" fontId="147" fillId="33" borderId="138" xfId="10" applyNumberFormat="1" applyFont="1" applyFill="1" applyBorder="1" applyAlignment="1">
      <alignment horizontal="centerContinuous" vertical="center"/>
    </xf>
    <xf numFmtId="0" fontId="147" fillId="33" borderId="139" xfId="10" applyFont="1" applyFill="1" applyBorder="1" applyAlignment="1">
      <alignment horizontal="centerContinuous"/>
    </xf>
    <xf numFmtId="0" fontId="147" fillId="33" borderId="140" xfId="10" applyFont="1" applyFill="1" applyBorder="1" applyAlignment="1">
      <alignment horizontal="centerContinuous"/>
    </xf>
    <xf numFmtId="0" fontId="134" fillId="34" borderId="142" xfId="10" applyFont="1" applyFill="1" applyBorder="1"/>
    <xf numFmtId="0" fontId="134" fillId="34" borderId="76" xfId="10" applyFont="1" applyFill="1" applyBorder="1"/>
    <xf numFmtId="0" fontId="92" fillId="34" borderId="76" xfId="10" applyFont="1" applyFill="1" applyBorder="1"/>
    <xf numFmtId="0" fontId="92" fillId="34" borderId="143" xfId="10" applyFont="1" applyFill="1" applyBorder="1"/>
    <xf numFmtId="0" fontId="92" fillId="34" borderId="7" xfId="10" applyFont="1" applyFill="1" applyBorder="1"/>
    <xf numFmtId="0" fontId="102" fillId="34" borderId="0" xfId="10" applyFont="1" applyFill="1"/>
    <xf numFmtId="0" fontId="92" fillId="34" borderId="0" xfId="10" applyFont="1" applyFill="1"/>
    <xf numFmtId="14" fontId="92" fillId="34" borderId="0" xfId="10" applyNumberFormat="1" applyFont="1" applyFill="1"/>
    <xf numFmtId="0" fontId="92" fillId="34" borderId="8" xfId="10" applyFont="1" applyFill="1" applyBorder="1"/>
    <xf numFmtId="0" fontId="148" fillId="34" borderId="0" xfId="10" applyFont="1" applyFill="1"/>
    <xf numFmtId="0" fontId="92" fillId="34" borderId="14" xfId="10" applyFont="1" applyFill="1" applyBorder="1"/>
    <xf numFmtId="0" fontId="92" fillId="34" borderId="2" xfId="10" applyFont="1" applyFill="1" applyBorder="1"/>
    <xf numFmtId="0" fontId="148" fillId="25" borderId="144" xfId="10" applyFont="1" applyFill="1" applyBorder="1" applyAlignment="1">
      <alignment horizontal="center" vertical="center"/>
    </xf>
    <xf numFmtId="3" fontId="148" fillId="25" borderId="145" xfId="10" applyNumberFormat="1" applyFont="1" applyFill="1" applyBorder="1"/>
    <xf numFmtId="0" fontId="148" fillId="34" borderId="146" xfId="10" applyFont="1" applyFill="1" applyBorder="1"/>
    <xf numFmtId="0" fontId="148" fillId="34" borderId="2" xfId="10" applyFont="1" applyFill="1" applyBorder="1"/>
    <xf numFmtId="0" fontId="148" fillId="34" borderId="15" xfId="10" applyFont="1" applyFill="1" applyBorder="1"/>
    <xf numFmtId="0" fontId="24" fillId="0" borderId="20" xfId="10" applyBorder="1"/>
    <xf numFmtId="0" fontId="24" fillId="0" borderId="22" xfId="10" applyBorder="1"/>
    <xf numFmtId="0" fontId="24" fillId="0" borderId="0" xfId="10"/>
    <xf numFmtId="0" fontId="24" fillId="0" borderId="17" xfId="10" applyBorder="1"/>
    <xf numFmtId="0" fontId="24" fillId="0" borderId="7" xfId="10" applyBorder="1"/>
    <xf numFmtId="44" fontId="24" fillId="0" borderId="0" xfId="10" applyNumberFormat="1"/>
    <xf numFmtId="0" fontId="24" fillId="0" borderId="8" xfId="10" applyBorder="1"/>
    <xf numFmtId="6" fontId="24" fillId="0" borderId="7" xfId="10" applyNumberFormat="1" applyBorder="1" applyAlignment="1">
      <alignment horizontal="left"/>
    </xf>
    <xf numFmtId="4" fontId="24" fillId="0" borderId="7" xfId="10" applyNumberFormat="1" applyBorder="1"/>
    <xf numFmtId="4" fontId="24" fillId="19" borderId="7" xfId="10" applyNumberFormat="1" applyFill="1" applyBorder="1"/>
    <xf numFmtId="44" fontId="24" fillId="0" borderId="144" xfId="10" applyNumberFormat="1" applyBorder="1"/>
    <xf numFmtId="0" fontId="149" fillId="0" borderId="0" xfId="10" applyFont="1"/>
    <xf numFmtId="0" fontId="24" fillId="0" borderId="147" xfId="10" applyBorder="1"/>
    <xf numFmtId="0" fontId="24" fillId="0" borderId="1" xfId="10" applyBorder="1"/>
    <xf numFmtId="44" fontId="24" fillId="0" borderId="1" xfId="10" applyNumberFormat="1" applyBorder="1"/>
    <xf numFmtId="0" fontId="24" fillId="0" borderId="148" xfId="10" applyBorder="1"/>
    <xf numFmtId="49" fontId="147" fillId="35" borderId="138" xfId="10" applyNumberFormat="1" applyFont="1" applyFill="1" applyBorder="1" applyAlignment="1">
      <alignment horizontal="centerContinuous" vertical="center"/>
    </xf>
    <xf numFmtId="0" fontId="147" fillId="35" borderId="139" xfId="10" applyFont="1" applyFill="1" applyBorder="1" applyAlignment="1">
      <alignment horizontal="centerContinuous"/>
    </xf>
    <xf numFmtId="0" fontId="147" fillId="35" borderId="140" xfId="10" applyFont="1" applyFill="1" applyBorder="1" applyAlignment="1">
      <alignment horizontal="centerContinuous"/>
    </xf>
    <xf numFmtId="0" fontId="92" fillId="35" borderId="142" xfId="10" applyFont="1" applyFill="1" applyBorder="1"/>
    <xf numFmtId="0" fontId="92" fillId="35" borderId="76" xfId="10" applyFont="1" applyFill="1" applyBorder="1"/>
    <xf numFmtId="0" fontId="92" fillId="35" borderId="143" xfId="10" applyFont="1" applyFill="1" applyBorder="1"/>
    <xf numFmtId="0" fontId="92" fillId="35" borderId="7" xfId="10" applyFont="1" applyFill="1" applyBorder="1"/>
    <xf numFmtId="0" fontId="92" fillId="35" borderId="0" xfId="10" applyFont="1" applyFill="1"/>
    <xf numFmtId="14" fontId="92" fillId="35" borderId="0" xfId="10" applyNumberFormat="1" applyFont="1" applyFill="1"/>
    <xf numFmtId="0" fontId="92" fillId="35" borderId="8" xfId="10" applyFont="1" applyFill="1" applyBorder="1"/>
    <xf numFmtId="0" fontId="102" fillId="35" borderId="0" xfId="10" applyFont="1" applyFill="1"/>
    <xf numFmtId="0" fontId="148" fillId="35" borderId="0" xfId="10" applyFont="1" applyFill="1"/>
    <xf numFmtId="0" fontId="92" fillId="35" borderId="14" xfId="10" applyFont="1" applyFill="1" applyBorder="1"/>
    <xf numFmtId="0" fontId="92" fillId="35" borderId="2" xfId="10" applyFont="1" applyFill="1" applyBorder="1"/>
    <xf numFmtId="38" fontId="148" fillId="35" borderId="144" xfId="10" applyNumberFormat="1" applyFont="1" applyFill="1" applyBorder="1"/>
    <xf numFmtId="3" fontId="92" fillId="35" borderId="145" xfId="10" applyNumberFormat="1" applyFont="1" applyFill="1" applyBorder="1"/>
    <xf numFmtId="0" fontId="148" fillId="35" borderId="146" xfId="10" applyFont="1" applyFill="1" applyBorder="1"/>
    <xf numFmtId="0" fontId="148" fillId="35" borderId="2" xfId="10" applyFont="1" applyFill="1" applyBorder="1"/>
    <xf numFmtId="0" fontId="148" fillId="35" borderId="15" xfId="10" applyFont="1" applyFill="1" applyBorder="1"/>
    <xf numFmtId="0" fontId="24" fillId="35" borderId="20" xfId="10" applyFill="1" applyBorder="1"/>
    <xf numFmtId="0" fontId="24" fillId="35" borderId="22" xfId="10" applyFill="1" applyBorder="1"/>
    <xf numFmtId="0" fontId="24" fillId="35" borderId="0" xfId="10" applyFill="1"/>
    <xf numFmtId="0" fontId="24" fillId="35" borderId="17" xfId="10" applyFill="1" applyBorder="1"/>
    <xf numFmtId="0" fontId="24" fillId="35" borderId="7" xfId="10" applyFill="1" applyBorder="1"/>
    <xf numFmtId="44" fontId="24" fillId="35" borderId="0" xfId="10" applyNumberFormat="1" applyFill="1"/>
    <xf numFmtId="0" fontId="24" fillId="35" borderId="8" xfId="10" applyFill="1" applyBorder="1"/>
    <xf numFmtId="4" fontId="24" fillId="35" borderId="7" xfId="10" applyNumberFormat="1" applyFill="1" applyBorder="1"/>
    <xf numFmtId="44" fontId="24" fillId="35" borderId="144" xfId="10" applyNumberFormat="1" applyFill="1" applyBorder="1"/>
    <xf numFmtId="0" fontId="24" fillId="35" borderId="14" xfId="10" applyFill="1" applyBorder="1"/>
    <xf numFmtId="0" fontId="24" fillId="35" borderId="2" xfId="10" applyFill="1" applyBorder="1"/>
    <xf numFmtId="0" fontId="24" fillId="35" borderId="15" xfId="10" applyFill="1" applyBorder="1"/>
    <xf numFmtId="10" fontId="26" fillId="0" borderId="0" xfId="3" applyNumberFormat="1" applyFont="1" applyFill="1" applyBorder="1" applyAlignment="1">
      <alignment horizontal="right" wrapText="1"/>
    </xf>
    <xf numFmtId="3" fontId="118" fillId="36" borderId="0" xfId="0" applyNumberFormat="1" applyFont="1" applyFill="1"/>
    <xf numFmtId="44" fontId="0" fillId="37" borderId="0" xfId="2" applyFont="1" applyFill="1"/>
    <xf numFmtId="49" fontId="150" fillId="38" borderId="82" xfId="0" applyNumberFormat="1" applyFont="1" applyFill="1" applyBorder="1" applyAlignment="1">
      <alignment horizontal="left" readingOrder="1"/>
    </xf>
    <xf numFmtId="0" fontId="150" fillId="38" borderId="149" xfId="0" applyFont="1" applyFill="1" applyBorder="1" applyAlignment="1">
      <alignment horizontal="left" readingOrder="1"/>
    </xf>
    <xf numFmtId="49" fontId="151" fillId="39" borderId="150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 applyAlignment="1">
      <alignment horizontal="left" readingOrder="1"/>
    </xf>
    <xf numFmtId="186" fontId="152" fillId="39" borderId="153" xfId="0" applyNumberFormat="1" applyFont="1" applyFill="1" applyBorder="1" applyAlignment="1">
      <alignment horizontal="left" readingOrder="1"/>
    </xf>
    <xf numFmtId="49" fontId="151" fillId="39" borderId="152" xfId="0" applyNumberFormat="1" applyFont="1" applyFill="1" applyBorder="1"/>
    <xf numFmtId="10" fontId="151" fillId="39" borderId="153" xfId="0" applyNumberFormat="1" applyFont="1" applyFill="1" applyBorder="1" applyAlignment="1">
      <alignment horizontal="left" readingOrder="1"/>
    </xf>
    <xf numFmtId="0" fontId="150" fillId="39" borderId="154" xfId="0" applyFont="1" applyFill="1" applyBorder="1" applyAlignment="1">
      <alignment horizontal="left" readingOrder="1"/>
    </xf>
    <xf numFmtId="0" fontId="150" fillId="39" borderId="155" xfId="0" applyFont="1" applyFill="1" applyBorder="1" applyAlignment="1">
      <alignment horizontal="left" readingOrder="1"/>
    </xf>
    <xf numFmtId="164" fontId="9" fillId="0" borderId="0" xfId="1" applyNumberFormat="1" applyFont="1" applyFill="1" applyBorder="1" applyAlignment="1">
      <alignment horizontal="center"/>
    </xf>
    <xf numFmtId="44" fontId="21" fillId="0" borderId="0" xfId="2" applyFont="1" applyFill="1" applyBorder="1" applyAlignment="1">
      <alignment horizontal="center"/>
    </xf>
    <xf numFmtId="9" fontId="38" fillId="0" borderId="0" xfId="3" applyFont="1"/>
    <xf numFmtId="164" fontId="36" fillId="4" borderId="0" xfId="1" applyNumberFormat="1" applyFont="1" applyFill="1" applyBorder="1"/>
    <xf numFmtId="44" fontId="26" fillId="0" borderId="0" xfId="2" applyFont="1" applyFill="1" applyBorder="1"/>
    <xf numFmtId="44" fontId="26" fillId="0" borderId="6" xfId="2" applyFont="1" applyFill="1" applyBorder="1"/>
    <xf numFmtId="44" fontId="36" fillId="0" borderId="0" xfId="2" applyFont="1" applyFill="1" applyBorder="1"/>
    <xf numFmtId="9" fontId="0" fillId="0" borderId="128" xfId="0" applyNumberFormat="1" applyBorder="1"/>
    <xf numFmtId="49" fontId="151" fillId="0" borderId="0" xfId="0" applyNumberFormat="1" applyFont="1" applyAlignment="1">
      <alignment horizontal="left" readingOrder="1"/>
    </xf>
    <xf numFmtId="186" fontId="154" fillId="0" borderId="0" xfId="0" applyNumberFormat="1" applyFont="1" applyAlignment="1">
      <alignment horizontal="left" readingOrder="1"/>
    </xf>
    <xf numFmtId="172" fontId="154" fillId="0" borderId="0" xfId="0" applyNumberFormat="1" applyFont="1" applyAlignment="1">
      <alignment horizontal="left" readingOrder="1"/>
    </xf>
    <xf numFmtId="0" fontId="151" fillId="0" borderId="0" xfId="0" applyFont="1" applyAlignment="1">
      <alignment horizontal="left" readingOrder="1"/>
    </xf>
    <xf numFmtId="186" fontId="152" fillId="0" borderId="0" xfId="0" applyNumberFormat="1" applyFont="1" applyAlignment="1">
      <alignment horizontal="left" readingOrder="1"/>
    </xf>
    <xf numFmtId="49" fontId="151" fillId="0" borderId="0" xfId="0" applyNumberFormat="1" applyFont="1"/>
    <xf numFmtId="9" fontId="154" fillId="0" borderId="0" xfId="0" applyNumberFormat="1" applyFont="1" applyAlignment="1">
      <alignment horizontal="left" readingOrder="1"/>
    </xf>
    <xf numFmtId="9" fontId="151" fillId="0" borderId="0" xfId="0" applyNumberFormat="1" applyFont="1" applyAlignment="1">
      <alignment horizontal="left" readingOrder="1"/>
    </xf>
    <xf numFmtId="0" fontId="150" fillId="38" borderId="156" xfId="0" applyFont="1" applyFill="1" applyBorder="1" applyAlignment="1">
      <alignment horizontal="left" readingOrder="1"/>
    </xf>
    <xf numFmtId="0" fontId="153" fillId="39" borderId="157" xfId="0" applyFont="1" applyFill="1" applyBorder="1" applyAlignment="1">
      <alignment horizontal="left" readingOrder="1"/>
    </xf>
    <xf numFmtId="49" fontId="153" fillId="39" borderId="158" xfId="0" applyNumberFormat="1" applyFont="1" applyFill="1" applyBorder="1" applyAlignment="1">
      <alignment horizontal="left" readingOrder="1"/>
    </xf>
    <xf numFmtId="165" fontId="153" fillId="39" borderId="158" xfId="0" applyNumberFormat="1" applyFont="1" applyFill="1" applyBorder="1" applyAlignment="1">
      <alignment horizontal="left" readingOrder="1"/>
    </xf>
    <xf numFmtId="0" fontId="153" fillId="39" borderId="158" xfId="0" applyFont="1" applyFill="1" applyBorder="1" applyAlignment="1">
      <alignment horizontal="left" readingOrder="1"/>
    </xf>
    <xf numFmtId="0" fontId="151" fillId="39" borderId="158" xfId="0" applyFont="1" applyFill="1" applyBorder="1" applyAlignment="1">
      <alignment horizontal="left" readingOrder="1"/>
    </xf>
    <xf numFmtId="0" fontId="151" fillId="39" borderId="159" xfId="0" applyFont="1" applyFill="1" applyBorder="1" applyAlignment="1">
      <alignment horizontal="left" readingOrder="1"/>
    </xf>
    <xf numFmtId="0" fontId="92" fillId="0" borderId="0" xfId="0" applyFont="1" applyAlignment="1">
      <alignment horizontal="left"/>
    </xf>
    <xf numFmtId="2" fontId="24" fillId="0" borderId="0" xfId="0" applyNumberFormat="1" applyFont="1" applyAlignment="1">
      <alignment horizontal="left"/>
    </xf>
    <xf numFmtId="1" fontId="24" fillId="0" borderId="0" xfId="0" applyNumberFormat="1" applyFont="1"/>
    <xf numFmtId="10" fontId="24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3" fontId="24" fillId="0" borderId="0" xfId="6" applyNumberFormat="1" applyFont="1" applyFill="1" applyBorder="1" applyAlignment="1">
      <alignment horizontal="left"/>
    </xf>
    <xf numFmtId="6" fontId="0" fillId="0" borderId="0" xfId="0" applyNumberFormat="1" applyAlignment="1">
      <alignment wrapText="1"/>
    </xf>
    <xf numFmtId="0" fontId="8" fillId="0" borderId="0" xfId="0" applyFont="1"/>
    <xf numFmtId="44" fontId="119" fillId="30" borderId="0" xfId="2" applyFont="1" applyFill="1"/>
    <xf numFmtId="7" fontId="28" fillId="0" borderId="0" xfId="0" applyNumberFormat="1" applyFont="1"/>
    <xf numFmtId="44" fontId="156" fillId="0" borderId="0" xfId="2" applyFont="1" applyAlignment="1">
      <alignment vertical="center"/>
    </xf>
    <xf numFmtId="0" fontId="157" fillId="0" borderId="0" xfId="0" applyFont="1"/>
    <xf numFmtId="0" fontId="158" fillId="0" borderId="0" xfId="0" applyFont="1" applyAlignment="1">
      <alignment horizontal="left" readingOrder="1"/>
    </xf>
    <xf numFmtId="37" fontId="157" fillId="0" borderId="0" xfId="0" applyNumberFormat="1" applyFont="1"/>
    <xf numFmtId="0" fontId="28" fillId="11" borderId="0" xfId="0" applyFont="1" applyFill="1"/>
    <xf numFmtId="186" fontId="24" fillId="39" borderId="151" xfId="0" applyNumberFormat="1" applyFont="1" applyFill="1" applyBorder="1" applyAlignment="1">
      <alignment horizontal="left" readingOrder="1"/>
    </xf>
    <xf numFmtId="165" fontId="151" fillId="39" borderId="153" xfId="0" applyNumberFormat="1" applyFont="1" applyFill="1" applyBorder="1" applyAlignment="1">
      <alignment horizontal="left" readingOrder="1"/>
    </xf>
    <xf numFmtId="10" fontId="24" fillId="40" borderId="153" xfId="0" applyNumberFormat="1" applyFont="1" applyFill="1" applyBorder="1" applyAlignment="1">
      <alignment horizontal="left" readingOrder="1"/>
    </xf>
    <xf numFmtId="186" fontId="24" fillId="39" borderId="153" xfId="0" applyNumberFormat="1" applyFont="1" applyFill="1" applyBorder="1" applyAlignment="1">
      <alignment horizontal="left" readingOrder="1"/>
    </xf>
    <xf numFmtId="9" fontId="86" fillId="0" borderId="0" xfId="3" applyFont="1" applyAlignment="1">
      <alignment horizontal="right" wrapText="1"/>
    </xf>
    <xf numFmtId="0" fontId="7" fillId="0" borderId="14" xfId="0" applyFont="1" applyBorder="1"/>
    <xf numFmtId="10" fontId="24" fillId="0" borderId="153" xfId="0" applyNumberFormat="1" applyFont="1" applyBorder="1" applyAlignment="1">
      <alignment horizontal="left" readingOrder="1"/>
    </xf>
    <xf numFmtId="0" fontId="26" fillId="0" borderId="20" xfId="0" applyFont="1" applyBorder="1"/>
    <xf numFmtId="0" fontId="26" fillId="0" borderId="68" xfId="0" applyFont="1" applyBorder="1"/>
    <xf numFmtId="0" fontId="6" fillId="0" borderId="20" xfId="0" applyFont="1" applyBorder="1"/>
    <xf numFmtId="0" fontId="6" fillId="0" borderId="14" xfId="0" applyFont="1" applyBorder="1"/>
    <xf numFmtId="0" fontId="6" fillId="0" borderId="68" xfId="0" applyFont="1" applyBorder="1"/>
    <xf numFmtId="186" fontId="159" fillId="39" borderId="153" xfId="0" applyNumberFormat="1" applyFont="1" applyFill="1" applyBorder="1" applyAlignment="1">
      <alignment horizontal="left" readingOrder="1"/>
    </xf>
    <xf numFmtId="0" fontId="151" fillId="39" borderId="154" xfId="0" applyFont="1" applyFill="1" applyBorder="1" applyAlignment="1">
      <alignment horizontal="left" readingOrder="1"/>
    </xf>
    <xf numFmtId="9" fontId="28" fillId="0" borderId="0" xfId="3" applyFont="1"/>
    <xf numFmtId="44" fontId="156" fillId="0" borderId="0" xfId="2" applyFont="1" applyAlignment="1">
      <alignment horizontal="left" vertical="center"/>
    </xf>
    <xf numFmtId="44" fontId="151" fillId="39" borderId="155" xfId="0" applyNumberFormat="1" applyFont="1" applyFill="1" applyBorder="1" applyAlignment="1">
      <alignment horizontal="left" readingOrder="1"/>
    </xf>
    <xf numFmtId="0" fontId="25" fillId="0" borderId="20" xfId="0" applyFont="1" applyBorder="1"/>
    <xf numFmtId="9" fontId="21" fillId="0" borderId="17" xfId="0" applyNumberFormat="1" applyFont="1" applyBorder="1"/>
    <xf numFmtId="44" fontId="25" fillId="0" borderId="14" xfId="0" applyNumberFormat="1" applyFont="1" applyBorder="1"/>
    <xf numFmtId="43" fontId="25" fillId="0" borderId="20" xfId="0" applyNumberFormat="1" applyFont="1" applyBorder="1"/>
    <xf numFmtId="170" fontId="26" fillId="0" borderId="0" xfId="2" applyNumberFormat="1" applyFont="1" applyFill="1" applyBorder="1"/>
    <xf numFmtId="170" fontId="26" fillId="0" borderId="0" xfId="2" applyNumberFormat="1" applyFont="1"/>
    <xf numFmtId="170" fontId="26" fillId="0" borderId="6" xfId="2" applyNumberFormat="1" applyFont="1" applyFill="1" applyBorder="1"/>
    <xf numFmtId="170" fontId="36" fillId="0" borderId="0" xfId="2" applyNumberFormat="1" applyFont="1" applyFill="1" applyBorder="1"/>
    <xf numFmtId="170" fontId="26" fillId="4" borderId="0" xfId="2" applyNumberFormat="1" applyFont="1" applyFill="1" applyBorder="1"/>
    <xf numFmtId="170" fontId="15" fillId="0" borderId="0" xfId="2" applyNumberFormat="1" applyFont="1"/>
    <xf numFmtId="170" fontId="15" fillId="0" borderId="0" xfId="2" applyNumberFormat="1" applyFont="1" applyFill="1" applyBorder="1"/>
    <xf numFmtId="170" fontId="42" fillId="0" borderId="6" xfId="2" applyNumberFormat="1" applyFont="1" applyFill="1" applyBorder="1"/>
    <xf numFmtId="170" fontId="26" fillId="0" borderId="0" xfId="1" applyNumberFormat="1" applyFont="1" applyFill="1" applyBorder="1"/>
    <xf numFmtId="170" fontId="36" fillId="4" borderId="0" xfId="1" applyNumberFormat="1" applyFont="1" applyFill="1" applyBorder="1"/>
    <xf numFmtId="170" fontId="21" fillId="31" borderId="79" xfId="2" applyNumberFormat="1" applyFont="1" applyFill="1" applyBorder="1"/>
    <xf numFmtId="170" fontId="15" fillId="31" borderId="81" xfId="2" applyNumberFormat="1" applyFont="1" applyFill="1" applyBorder="1"/>
    <xf numFmtId="170" fontId="15" fillId="0" borderId="79" xfId="2" applyNumberFormat="1" applyFont="1" applyBorder="1"/>
    <xf numFmtId="170" fontId="10" fillId="0" borderId="140" xfId="2" applyNumberFormat="1" applyFont="1" applyBorder="1"/>
    <xf numFmtId="170" fontId="26" fillId="0" borderId="22" xfId="2" applyNumberFormat="1" applyFont="1" applyBorder="1" applyAlignment="1">
      <alignment horizontal="left" indent="2"/>
    </xf>
    <xf numFmtId="170" fontId="26" fillId="0" borderId="6" xfId="2" applyNumberFormat="1" applyFont="1" applyFill="1" applyBorder="1" applyAlignment="1">
      <alignment horizontal="left" indent="2"/>
    </xf>
    <xf numFmtId="170" fontId="7" fillId="0" borderId="2" xfId="0" applyNumberFormat="1" applyFont="1" applyBorder="1"/>
    <xf numFmtId="170" fontId="15" fillId="0" borderId="0" xfId="0" applyNumberFormat="1" applyFont="1"/>
    <xf numFmtId="170" fontId="21" fillId="0" borderId="22" xfId="2" applyNumberFormat="1" applyFont="1" applyBorder="1"/>
    <xf numFmtId="170" fontId="21" fillId="0" borderId="6" xfId="0" applyNumberFormat="1" applyFont="1" applyBorder="1"/>
    <xf numFmtId="170" fontId="21" fillId="0" borderId="15" xfId="0" applyNumberFormat="1" applyFont="1" applyBorder="1"/>
    <xf numFmtId="170" fontId="21" fillId="0" borderId="15" xfId="2" applyNumberFormat="1" applyFont="1" applyBorder="1"/>
    <xf numFmtId="170" fontId="15" fillId="0" borderId="8" xfId="2" applyNumberFormat="1" applyFont="1" applyBorder="1"/>
    <xf numFmtId="170" fontId="15" fillId="0" borderId="15" xfId="2" applyNumberFormat="1" applyFont="1" applyBorder="1"/>
    <xf numFmtId="170" fontId="15" fillId="0" borderId="139" xfId="2" applyNumberFormat="1" applyFont="1" applyBorder="1"/>
    <xf numFmtId="170" fontId="15" fillId="0" borderId="6" xfId="2" applyNumberFormat="1" applyFont="1" applyBorder="1"/>
    <xf numFmtId="170" fontId="25" fillId="0" borderId="0" xfId="2" applyNumberFormat="1" applyFont="1"/>
    <xf numFmtId="170" fontId="21" fillId="0" borderId="1" xfId="0" applyNumberFormat="1" applyFont="1" applyBorder="1"/>
    <xf numFmtId="170" fontId="15" fillId="0" borderId="0" xfId="1" applyNumberFormat="1" applyFont="1" applyFill="1" applyBorder="1" applyAlignment="1">
      <alignment wrapText="1"/>
    </xf>
    <xf numFmtId="170" fontId="12" fillId="0" borderId="139" xfId="0" applyNumberFormat="1" applyFont="1" applyBorder="1"/>
    <xf numFmtId="170" fontId="26" fillId="0" borderId="0" xfId="0" applyNumberFormat="1" applyFont="1"/>
    <xf numFmtId="170" fontId="26" fillId="0" borderId="1" xfId="0" applyNumberFormat="1" applyFont="1" applyBorder="1"/>
    <xf numFmtId="9" fontId="21" fillId="0" borderId="17" xfId="3" applyFont="1" applyBorder="1"/>
    <xf numFmtId="0" fontId="68" fillId="0" borderId="0" xfId="0" applyFont="1"/>
    <xf numFmtId="9" fontId="65" fillId="0" borderId="0" xfId="5" quotePrefix="1" applyFont="1" applyFill="1" applyBorder="1"/>
    <xf numFmtId="0" fontId="60" fillId="0" borderId="0" xfId="0" applyFont="1"/>
    <xf numFmtId="37" fontId="55" fillId="0" borderId="0" xfId="0" applyNumberFormat="1" applyFont="1"/>
    <xf numFmtId="0" fontId="55" fillId="0" borderId="0" xfId="0" applyFont="1" applyAlignment="1" applyProtection="1">
      <alignment horizontal="center" wrapText="1"/>
      <protection locked="0"/>
    </xf>
    <xf numFmtId="0" fontId="58" fillId="0" borderId="0" xfId="0" applyFont="1" applyAlignment="1">
      <alignment horizontal="left"/>
    </xf>
    <xf numFmtId="0" fontId="77" fillId="0" borderId="0" xfId="0" applyFont="1"/>
    <xf numFmtId="164" fontId="58" fillId="0" borderId="0" xfId="1" applyNumberFormat="1" applyFont="1" applyFill="1" applyBorder="1"/>
    <xf numFmtId="37" fontId="55" fillId="0" borderId="0" xfId="0" applyNumberFormat="1" applyFont="1" applyAlignment="1" applyProtection="1">
      <alignment horizontal="center"/>
      <protection locked="0"/>
    </xf>
    <xf numFmtId="3" fontId="55" fillId="0" borderId="0" xfId="0" applyNumberFormat="1" applyFont="1" applyAlignment="1" applyProtection="1">
      <alignment horizontal="center" wrapText="1"/>
      <protection locked="0"/>
    </xf>
    <xf numFmtId="0" fontId="60" fillId="0" borderId="0" xfId="0" applyFont="1" applyAlignment="1">
      <alignment horizontal="left"/>
    </xf>
    <xf numFmtId="3" fontId="58" fillId="0" borderId="0" xfId="0" applyNumberFormat="1" applyFont="1"/>
    <xf numFmtId="43" fontId="54" fillId="0" borderId="0" xfId="1" applyFont="1" applyFill="1" applyBorder="1"/>
    <xf numFmtId="9" fontId="54" fillId="0" borderId="0" xfId="5" applyFont="1" applyFill="1" applyBorder="1" applyAlignment="1">
      <alignment horizontal="center"/>
    </xf>
    <xf numFmtId="9" fontId="55" fillId="0" borderId="0" xfId="5" applyFont="1" applyFill="1" applyBorder="1" applyAlignment="1">
      <alignment horizontal="center"/>
    </xf>
    <xf numFmtId="164" fontId="54" fillId="0" borderId="0" xfId="0" applyNumberFormat="1" applyFont="1"/>
    <xf numFmtId="43" fontId="54" fillId="0" borderId="0" xfId="1" applyFont="1" applyFill="1" applyBorder="1" applyAlignment="1">
      <alignment horizontal="center"/>
    </xf>
    <xf numFmtId="43" fontId="54" fillId="0" borderId="0" xfId="0" applyNumberFormat="1" applyFont="1"/>
    <xf numFmtId="9" fontId="28" fillId="0" borderId="0" xfId="0" applyNumberFormat="1" applyFont="1"/>
    <xf numFmtId="49" fontId="150" fillId="0" borderId="0" xfId="0" applyNumberFormat="1" applyFont="1" applyAlignment="1">
      <alignment horizontal="left" readingOrder="1"/>
    </xf>
    <xf numFmtId="0" fontId="150" fillId="0" borderId="0" xfId="0" applyFont="1" applyAlignment="1">
      <alignment horizontal="left" readingOrder="1"/>
    </xf>
    <xf numFmtId="0" fontId="153" fillId="0" borderId="0" xfId="0" applyFont="1" applyAlignment="1">
      <alignment horizontal="left" readingOrder="1"/>
    </xf>
    <xf numFmtId="49" fontId="153" fillId="0" borderId="0" xfId="0" applyNumberFormat="1" applyFont="1" applyAlignment="1">
      <alignment horizontal="left" readingOrder="1"/>
    </xf>
    <xf numFmtId="165" fontId="153" fillId="0" borderId="0" xfId="0" applyNumberFormat="1" applyFont="1" applyAlignment="1">
      <alignment horizontal="left" readingOrder="1"/>
    </xf>
    <xf numFmtId="10" fontId="152" fillId="0" borderId="0" xfId="0" applyNumberFormat="1" applyFont="1" applyAlignment="1">
      <alignment horizontal="left" readingOrder="1"/>
    </xf>
    <xf numFmtId="10" fontId="151" fillId="0" borderId="0" xfId="0" applyNumberFormat="1" applyFont="1" applyAlignment="1">
      <alignment horizontal="left" readingOrder="1"/>
    </xf>
    <xf numFmtId="0" fontId="97" fillId="0" borderId="0" xfId="8" applyFont="1"/>
    <xf numFmtId="0" fontId="95" fillId="0" borderId="0" xfId="8" applyFont="1"/>
    <xf numFmtId="38" fontId="91" fillId="0" borderId="0" xfId="8" applyNumberFormat="1"/>
    <xf numFmtId="9" fontId="91" fillId="0" borderId="0" xfId="8" applyNumberFormat="1"/>
    <xf numFmtId="0" fontId="91" fillId="0" borderId="0" xfId="8" applyAlignment="1">
      <alignment horizontal="right"/>
    </xf>
    <xf numFmtId="3" fontId="98" fillId="0" borderId="0" xfId="8" applyNumberFormat="1" applyFont="1"/>
    <xf numFmtId="0" fontId="99" fillId="0" borderId="0" xfId="8" applyFont="1"/>
    <xf numFmtId="37" fontId="91" fillId="0" borderId="160" xfId="8" applyNumberFormat="1" applyBorder="1"/>
    <xf numFmtId="0" fontId="91" fillId="0" borderId="160" xfId="8" applyBorder="1"/>
    <xf numFmtId="37" fontId="91" fillId="0" borderId="162" xfId="8" applyNumberFormat="1" applyBorder="1"/>
    <xf numFmtId="37" fontId="91" fillId="0" borderId="164" xfId="8" applyNumberFormat="1" applyBorder="1"/>
    <xf numFmtId="37" fontId="115" fillId="0" borderId="166" xfId="8" applyNumberFormat="1" applyFont="1" applyBorder="1"/>
    <xf numFmtId="37" fontId="91" fillId="0" borderId="167" xfId="8" applyNumberFormat="1" applyBorder="1"/>
    <xf numFmtId="37" fontId="115" fillId="17" borderId="138" xfId="8" applyNumberFormat="1" applyFont="1" applyFill="1" applyBorder="1"/>
    <xf numFmtId="37" fontId="91" fillId="17" borderId="140" xfId="8" applyNumberFormat="1" applyFill="1" applyBorder="1"/>
    <xf numFmtId="37" fontId="91" fillId="17" borderId="160" xfId="8" applyNumberFormat="1" applyFill="1" applyBorder="1"/>
    <xf numFmtId="0" fontId="91" fillId="17" borderId="160" xfId="8" applyFill="1" applyBorder="1"/>
    <xf numFmtId="37" fontId="91" fillId="17" borderId="162" xfId="8" applyNumberFormat="1" applyFill="1" applyBorder="1"/>
    <xf numFmtId="37" fontId="91" fillId="17" borderId="164" xfId="8" applyNumberFormat="1" applyFill="1" applyBorder="1"/>
    <xf numFmtId="170" fontId="91" fillId="0" borderId="165" xfId="2" applyNumberFormat="1" applyFont="1" applyBorder="1"/>
    <xf numFmtId="170" fontId="91" fillId="0" borderId="161" xfId="2" applyNumberFormat="1" applyFont="1" applyBorder="1"/>
    <xf numFmtId="170" fontId="91" fillId="0" borderId="163" xfId="2" applyNumberFormat="1" applyFont="1" applyBorder="1"/>
    <xf numFmtId="170" fontId="91" fillId="17" borderId="165" xfId="2" applyNumberFormat="1" applyFont="1" applyFill="1" applyBorder="1"/>
    <xf numFmtId="170" fontId="91" fillId="17" borderId="161" xfId="2" applyNumberFormat="1" applyFont="1" applyFill="1" applyBorder="1"/>
    <xf numFmtId="170" fontId="91" fillId="17" borderId="163" xfId="2" applyNumberFormat="1" applyFont="1" applyFill="1" applyBorder="1"/>
    <xf numFmtId="3" fontId="119" fillId="31" borderId="0" xfId="0" applyNumberFormat="1" applyFont="1" applyFill="1"/>
    <xf numFmtId="9" fontId="24" fillId="41" borderId="0" xfId="3" applyFont="1" applyFill="1" applyAlignment="1">
      <alignment vertical="top"/>
    </xf>
    <xf numFmtId="3" fontId="119" fillId="42" borderId="0" xfId="0" applyNumberFormat="1" applyFont="1" applyFill="1"/>
    <xf numFmtId="170" fontId="24" fillId="0" borderId="0" xfId="2" applyNumberFormat="1" applyFont="1"/>
    <xf numFmtId="170" fontId="24" fillId="13" borderId="0" xfId="0" applyNumberFormat="1" applyFont="1" applyFill="1"/>
    <xf numFmtId="0" fontId="36" fillId="0" borderId="6" xfId="0" applyFont="1" applyBorder="1" applyAlignment="1">
      <alignment horizontal="right"/>
    </xf>
    <xf numFmtId="170" fontId="36" fillId="0" borderId="6" xfId="2" applyNumberFormat="1" applyFont="1" applyFill="1" applyBorder="1"/>
    <xf numFmtId="0" fontId="4" fillId="0" borderId="0" xfId="0" applyFont="1"/>
    <xf numFmtId="0" fontId="15" fillId="0" borderId="22" xfId="0" applyFont="1" applyBorder="1" applyAlignment="1">
      <alignment horizontal="right"/>
    </xf>
    <xf numFmtId="9" fontId="0" fillId="0" borderId="17" xfId="0" applyNumberFormat="1" applyBorder="1"/>
    <xf numFmtId="9" fontId="0" fillId="0" borderId="8" xfId="0" applyNumberFormat="1" applyBorder="1"/>
    <xf numFmtId="0" fontId="25" fillId="0" borderId="7" xfId="0" applyFont="1" applyBorder="1"/>
    <xf numFmtId="164" fontId="15" fillId="0" borderId="8" xfId="1" applyNumberFormat="1" applyFont="1" applyFill="1" applyBorder="1"/>
    <xf numFmtId="0" fontId="160" fillId="0" borderId="14" xfId="0" applyFont="1" applyBorder="1"/>
    <xf numFmtId="44" fontId="160" fillId="0" borderId="15" xfId="2" applyFont="1" applyBorder="1"/>
    <xf numFmtId="0" fontId="0" fillId="0" borderId="22" xfId="0" applyBorder="1"/>
    <xf numFmtId="0" fontId="15" fillId="0" borderId="7" xfId="0" applyFont="1" applyBorder="1" applyAlignment="1">
      <alignment horizontal="right"/>
    </xf>
    <xf numFmtId="0" fontId="15" fillId="0" borderId="2" xfId="0" applyFont="1" applyBorder="1" applyAlignment="1">
      <alignment horizontal="left" indent="1"/>
    </xf>
    <xf numFmtId="0" fontId="15" fillId="0" borderId="2" xfId="0" applyFont="1" applyBorder="1" applyAlignment="1">
      <alignment horizontal="right"/>
    </xf>
    <xf numFmtId="164" fontId="15" fillId="0" borderId="2" xfId="1" applyNumberFormat="1" applyFont="1" applyFill="1" applyBorder="1"/>
    <xf numFmtId="0" fontId="25" fillId="0" borderId="4" xfId="0" applyFont="1" applyBorder="1" applyAlignment="1">
      <alignment horizontal="left" indent="1"/>
    </xf>
    <xf numFmtId="0" fontId="15" fillId="0" borderId="3" xfId="0" applyFont="1" applyBorder="1" applyAlignment="1">
      <alignment horizontal="right"/>
    </xf>
    <xf numFmtId="8" fontId="86" fillId="0" borderId="0" xfId="0" applyNumberFormat="1" applyFont="1" applyAlignment="1">
      <alignment horizontal="right" wrapText="1"/>
    </xf>
    <xf numFmtId="7" fontId="54" fillId="0" borderId="0" xfId="0" applyNumberFormat="1" applyFont="1"/>
    <xf numFmtId="8" fontId="54" fillId="0" borderId="0" xfId="0" applyNumberFormat="1" applyFont="1"/>
    <xf numFmtId="0" fontId="21" fillId="0" borderId="17" xfId="0" applyFont="1" applyBorder="1"/>
    <xf numFmtId="0" fontId="21" fillId="0" borderId="8" xfId="0" applyFont="1" applyBorder="1"/>
    <xf numFmtId="43" fontId="25" fillId="0" borderId="0" xfId="0" applyNumberFormat="1" applyFont="1"/>
    <xf numFmtId="170" fontId="21" fillId="0" borderId="0" xfId="0" applyNumberFormat="1" applyFont="1"/>
    <xf numFmtId="0" fontId="21" fillId="0" borderId="7" xfId="0" applyFont="1" applyBorder="1"/>
    <xf numFmtId="0" fontId="5" fillId="0" borderId="7" xfId="0" applyFont="1" applyBorder="1"/>
    <xf numFmtId="170" fontId="5" fillId="0" borderId="0" xfId="0" applyNumberFormat="1" applyFont="1"/>
    <xf numFmtId="164" fontId="15" fillId="0" borderId="14" xfId="0" applyNumberFormat="1" applyFont="1" applyBorder="1"/>
    <xf numFmtId="0" fontId="21" fillId="0" borderId="2" xfId="0" applyFont="1" applyBorder="1"/>
    <xf numFmtId="0" fontId="21" fillId="0" borderId="15" xfId="0" applyFont="1" applyBorder="1"/>
    <xf numFmtId="164" fontId="25" fillId="43" borderId="20" xfId="0" applyNumberFormat="1" applyFont="1" applyFill="1" applyBorder="1"/>
    <xf numFmtId="0" fontId="21" fillId="43" borderId="22" xfId="0" applyFont="1" applyFill="1" applyBorder="1"/>
    <xf numFmtId="0" fontId="15" fillId="43" borderId="22" xfId="0" applyFont="1" applyFill="1" applyBorder="1"/>
    <xf numFmtId="0" fontId="21" fillId="43" borderId="17" xfId="0" applyFont="1" applyFill="1" applyBorder="1"/>
    <xf numFmtId="170" fontId="15" fillId="43" borderId="22" xfId="2" applyNumberFormat="1" applyFont="1" applyFill="1" applyBorder="1"/>
    <xf numFmtId="0" fontId="5" fillId="0" borderId="14" xfId="0" applyFont="1" applyBorder="1"/>
    <xf numFmtId="170" fontId="5" fillId="0" borderId="2" xfId="0" applyNumberFormat="1" applyFont="1" applyBorder="1"/>
    <xf numFmtId="0" fontId="15" fillId="0" borderId="2" xfId="0" applyFont="1" applyBorder="1"/>
    <xf numFmtId="5" fontId="28" fillId="11" borderId="0" xfId="0" applyNumberFormat="1" applyFont="1" applyFill="1" applyProtection="1">
      <protection locked="0"/>
    </xf>
    <xf numFmtId="0" fontId="3" fillId="0" borderId="0" xfId="0" applyFont="1"/>
    <xf numFmtId="164" fontId="2" fillId="11" borderId="5" xfId="1" applyNumberFormat="1" applyFont="1" applyFill="1" applyBorder="1"/>
    <xf numFmtId="38" fontId="24" fillId="0" borderId="0" xfId="0" applyNumberFormat="1" applyFont="1" applyAlignment="1">
      <alignment horizontal="center"/>
    </xf>
    <xf numFmtId="9" fontId="24" fillId="0" borderId="0" xfId="0" applyNumberFormat="1" applyFont="1" applyAlignment="1">
      <alignment horizontal="center"/>
    </xf>
    <xf numFmtId="17" fontId="24" fillId="0" borderId="0" xfId="0" applyNumberFormat="1" applyFont="1"/>
    <xf numFmtId="17" fontId="110" fillId="0" borderId="0" xfId="0" applyNumberFormat="1" applyFont="1"/>
    <xf numFmtId="38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center"/>
    </xf>
    <xf numFmtId="10" fontId="104" fillId="0" borderId="0" xfId="0" applyNumberFormat="1" applyFont="1" applyAlignment="1">
      <alignment horizontal="center"/>
    </xf>
    <xf numFmtId="0" fontId="109" fillId="0" borderId="0" xfId="0" applyFont="1" applyAlignment="1">
      <alignment horizontal="right"/>
    </xf>
    <xf numFmtId="3" fontId="92" fillId="0" borderId="0" xfId="0" applyNumberFormat="1" applyFont="1" applyAlignment="1">
      <alignment horizontal="center"/>
    </xf>
    <xf numFmtId="0" fontId="101" fillId="0" borderId="0" xfId="0" applyFont="1"/>
    <xf numFmtId="0" fontId="24" fillId="0" borderId="0" xfId="0" applyFont="1" applyAlignment="1">
      <alignment horizontal="left" vertical="center"/>
    </xf>
    <xf numFmtId="1" fontId="24" fillId="0" borderId="0" xfId="0" applyNumberFormat="1" applyFont="1" applyAlignment="1">
      <alignment horizontal="center"/>
    </xf>
    <xf numFmtId="178" fontId="109" fillId="0" borderId="0" xfId="0" applyNumberFormat="1" applyFont="1" applyAlignment="1">
      <alignment horizontal="center"/>
    </xf>
    <xf numFmtId="37" fontId="161" fillId="0" borderId="0" xfId="5" applyNumberFormat="1" applyFont="1" applyFill="1" applyBorder="1"/>
    <xf numFmtId="9" fontId="161" fillId="0" borderId="0" xfId="5" applyFont="1" applyFill="1" applyBorder="1"/>
    <xf numFmtId="9" fontId="161" fillId="0" borderId="0" xfId="5" applyFont="1" applyFill="1" applyBorder="1" applyProtection="1">
      <protection locked="0"/>
    </xf>
    <xf numFmtId="164" fontId="161" fillId="0" borderId="0" xfId="6" applyNumberFormat="1" applyFont="1" applyFill="1" applyBorder="1"/>
    <xf numFmtId="9" fontId="164" fillId="0" borderId="0" xfId="5" applyFont="1" applyFill="1" applyBorder="1"/>
    <xf numFmtId="0" fontId="158" fillId="0" borderId="0" xfId="0" applyFont="1"/>
    <xf numFmtId="0" fontId="161" fillId="0" borderId="0" xfId="0" applyFont="1"/>
    <xf numFmtId="37" fontId="161" fillId="0" borderId="0" xfId="0" applyNumberFormat="1" applyFont="1"/>
    <xf numFmtId="0" fontId="161" fillId="0" borderId="0" xfId="0" applyFont="1" applyAlignment="1">
      <alignment horizontal="left"/>
    </xf>
    <xf numFmtId="37" fontId="161" fillId="0" borderId="0" xfId="0" quotePrefix="1" applyNumberFormat="1" applyFont="1" applyAlignment="1" applyProtection="1">
      <alignment horizontal="right"/>
      <protection locked="0"/>
    </xf>
    <xf numFmtId="0" fontId="161" fillId="0" borderId="0" xfId="0" applyFont="1" applyAlignment="1">
      <alignment horizontal="center"/>
    </xf>
    <xf numFmtId="9" fontId="161" fillId="0" borderId="0" xfId="0" applyNumberFormat="1" applyFont="1"/>
    <xf numFmtId="164" fontId="161" fillId="0" borderId="0" xfId="0" applyNumberFormat="1" applyFont="1"/>
    <xf numFmtId="0" fontId="158" fillId="0" borderId="0" xfId="0" applyFont="1" applyAlignment="1">
      <alignment horizontal="left"/>
    </xf>
    <xf numFmtId="0" fontId="162" fillId="0" borderId="0" xfId="0" applyFont="1"/>
    <xf numFmtId="0" fontId="162" fillId="0" borderId="0" xfId="0" applyFont="1" applyAlignment="1">
      <alignment horizontal="left" indent="1"/>
    </xf>
    <xf numFmtId="0" fontId="163" fillId="0" borderId="0" xfId="0" applyFont="1" applyAlignment="1">
      <alignment horizontal="left"/>
    </xf>
    <xf numFmtId="165" fontId="161" fillId="0" borderId="0" xfId="5" applyNumberFormat="1" applyFont="1" applyFill="1" applyBorder="1"/>
    <xf numFmtId="179" fontId="164" fillId="0" borderId="0" xfId="0" applyNumberFormat="1" applyFont="1"/>
    <xf numFmtId="0" fontId="164" fillId="0" borderId="0" xfId="0" applyFont="1"/>
    <xf numFmtId="0" fontId="162" fillId="0" borderId="0" xfId="0" applyFont="1" applyAlignment="1">
      <alignment horizontal="right"/>
    </xf>
    <xf numFmtId="37" fontId="162" fillId="0" borderId="0" xfId="0" applyNumberFormat="1" applyFont="1"/>
    <xf numFmtId="17" fontId="161" fillId="0" borderId="0" xfId="0" applyNumberFormat="1" applyFont="1"/>
    <xf numFmtId="17" fontId="162" fillId="0" borderId="0" xfId="0" applyNumberFormat="1" applyFont="1"/>
    <xf numFmtId="164" fontId="1" fillId="0" borderId="73" xfId="1" applyNumberFormat="1" applyFont="1" applyFill="1" applyBorder="1"/>
    <xf numFmtId="9" fontId="15" fillId="0" borderId="72" xfId="3" applyFont="1" applyFill="1" applyBorder="1"/>
    <xf numFmtId="0" fontId="100" fillId="3" borderId="0" xfId="0" applyFont="1" applyFill="1" applyAlignment="1">
      <alignment horizontal="center"/>
    </xf>
    <xf numFmtId="0" fontId="92" fillId="3" borderId="0" xfId="0" applyFont="1" applyFill="1" applyAlignment="1">
      <alignment horizontal="center"/>
    </xf>
    <xf numFmtId="0" fontId="24" fillId="0" borderId="0" xfId="0" applyFont="1" applyAlignment="1">
      <alignment horizontal="center"/>
    </xf>
    <xf numFmtId="0" fontId="24" fillId="0" borderId="2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quotePrefix="1" applyFont="1" applyAlignment="1">
      <alignment horizontal="center"/>
    </xf>
    <xf numFmtId="0" fontId="52" fillId="3" borderId="20" xfId="0" applyFont="1" applyFill="1" applyBorder="1" applyAlignment="1" applyProtection="1">
      <alignment horizontal="left"/>
      <protection locked="0"/>
    </xf>
    <xf numFmtId="0" fontId="36" fillId="0" borderId="22" xfId="0" applyFont="1" applyBorder="1" applyAlignment="1">
      <alignment horizontal="left"/>
    </xf>
    <xf numFmtId="0" fontId="36" fillId="0" borderId="7" xfId="0" applyFont="1" applyBorder="1" applyAlignment="1">
      <alignment horizontal="left"/>
    </xf>
    <xf numFmtId="0" fontId="36" fillId="0" borderId="0" xfId="0" applyFont="1" applyAlignment="1">
      <alignment horizontal="left"/>
    </xf>
    <xf numFmtId="164" fontId="75" fillId="12" borderId="4" xfId="1" applyNumberFormat="1" applyFont="1" applyFill="1" applyBorder="1" applyAlignment="1">
      <alignment horizontal="center"/>
    </xf>
    <xf numFmtId="164" fontId="75" fillId="12" borderId="3" xfId="1" applyNumberFormat="1" applyFont="1" applyFill="1" applyBorder="1" applyAlignment="1">
      <alignment horizontal="center"/>
    </xf>
    <xf numFmtId="164" fontId="75" fillId="12" borderId="5" xfId="1" applyNumberFormat="1" applyFont="1" applyFill="1" applyBorder="1" applyAlignment="1">
      <alignment horizontal="center"/>
    </xf>
    <xf numFmtId="170" fontId="73" fillId="0" borderId="0" xfId="2" applyNumberFormat="1" applyFont="1" applyFill="1" applyAlignment="1"/>
    <xf numFmtId="170" fontId="0" fillId="0" borderId="0" xfId="0" applyNumberFormat="1"/>
    <xf numFmtId="170" fontId="73" fillId="0" borderId="0" xfId="2" applyNumberFormat="1" applyFont="1" applyAlignment="1"/>
    <xf numFmtId="170" fontId="72" fillId="0" borderId="0" xfId="2" applyNumberFormat="1" applyFont="1" applyAlignment="1"/>
    <xf numFmtId="170" fontId="72" fillId="0" borderId="6" xfId="2" applyNumberFormat="1" applyFont="1" applyBorder="1" applyAlignment="1"/>
    <xf numFmtId="170" fontId="0" fillId="0" borderId="6" xfId="0" applyNumberFormat="1" applyBorder="1"/>
    <xf numFmtId="0" fontId="36" fillId="0" borderId="33" xfId="0" applyFont="1" applyBorder="1" applyAlignment="1">
      <alignment horizontal="left"/>
    </xf>
    <xf numFmtId="164" fontId="75" fillId="13" borderId="4" xfId="1" applyNumberFormat="1" applyFont="1" applyFill="1" applyBorder="1" applyAlignment="1">
      <alignment horizontal="center"/>
    </xf>
    <xf numFmtId="164" fontId="75" fillId="13" borderId="3" xfId="1" applyNumberFormat="1" applyFont="1" applyFill="1" applyBorder="1" applyAlignment="1">
      <alignment horizontal="center"/>
    </xf>
    <xf numFmtId="164" fontId="75" fillId="13" borderId="5" xfId="1" applyNumberFormat="1" applyFont="1" applyFill="1" applyBorder="1" applyAlignment="1">
      <alignment horizontal="center"/>
    </xf>
    <xf numFmtId="5" fontId="55" fillId="0" borderId="0" xfId="0" applyNumberFormat="1" applyFont="1" applyFill="1" applyProtection="1">
      <protection locked="0"/>
    </xf>
  </cellXfs>
  <cellStyles count="12">
    <cellStyle name="Comma" xfId="1" builtinId="3"/>
    <cellStyle name="Comma 2" xfId="6" xr:uid="{00000000-0005-0000-0000-000001000000}"/>
    <cellStyle name="Currency" xfId="2" builtinId="4"/>
    <cellStyle name="Currency 2 2 2" xfId="7" xr:uid="{00000000-0005-0000-0000-000003000000}"/>
    <cellStyle name="Hyperlink" xfId="9" builtinId="8"/>
    <cellStyle name="Normal" xfId="0" builtinId="0"/>
    <cellStyle name="Normal 10" xfId="10" xr:uid="{88DFEE52-7430-4E79-B030-0CD6AAA09BF7}"/>
    <cellStyle name="Normal 2" xfId="8" xr:uid="{00000000-0005-0000-0000-000006000000}"/>
    <cellStyle name="Normal 6 10" xfId="11" xr:uid="{0469C54B-F8A5-4099-A9FC-692BABE2B8F0}"/>
    <cellStyle name="Normal_Brooks- Development Budget (version 2)" xfId="4" xr:uid="{00000000-0005-0000-0000-000007000000}"/>
    <cellStyle name="Percent" xfId="3" builtinId="5"/>
    <cellStyle name="Percent 2" xfId="5" xr:uid="{00000000-0005-0000-0000-000009000000}"/>
  </cellStyles>
  <dxfs count="7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colors>
    <mruColors>
      <color rgb="FFFFA3A3"/>
      <color rgb="FFB7FFFF"/>
      <color rgb="FF66FFFF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5</xdr:row>
      <xdr:rowOff>76200</xdr:rowOff>
    </xdr:from>
    <xdr:to>
      <xdr:col>9</xdr:col>
      <xdr:colOff>85725</xdr:colOff>
      <xdr:row>5</xdr:row>
      <xdr:rowOff>76200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34061B04-C30D-4C20-8221-B8BBC60C20DA}"/>
            </a:ext>
          </a:extLst>
        </xdr:cNvPr>
        <xdr:cNvSpPr>
          <a:spLocks noChangeShapeType="1"/>
        </xdr:cNvSpPr>
      </xdr:nvSpPr>
      <xdr:spPr bwMode="auto">
        <a:xfrm flipH="1">
          <a:off x="6743700" y="1019175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5</xdr:row>
      <xdr:rowOff>57150</xdr:rowOff>
    </xdr:from>
    <xdr:to>
      <xdr:col>3</xdr:col>
      <xdr:colOff>714375</xdr:colOff>
      <xdr:row>5</xdr:row>
      <xdr:rowOff>57150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7962CE0-58CE-4C94-90C4-AB74EBFC4D42}"/>
            </a:ext>
          </a:extLst>
        </xdr:cNvPr>
        <xdr:cNvSpPr>
          <a:spLocks noChangeShapeType="1"/>
        </xdr:cNvSpPr>
      </xdr:nvSpPr>
      <xdr:spPr bwMode="auto">
        <a:xfrm flipH="1">
          <a:off x="2638425" y="10001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24</xdr:row>
      <xdr:rowOff>66675</xdr:rowOff>
    </xdr:from>
    <xdr:to>
      <xdr:col>3</xdr:col>
      <xdr:colOff>485775</xdr:colOff>
      <xdr:row>24</xdr:row>
      <xdr:rowOff>66675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5C3526EA-3854-425F-9F85-C4313CB292B6}"/>
            </a:ext>
          </a:extLst>
        </xdr:cNvPr>
        <xdr:cNvSpPr>
          <a:spLocks noChangeShapeType="1"/>
        </xdr:cNvSpPr>
      </xdr:nvSpPr>
      <xdr:spPr bwMode="auto">
        <a:xfrm flipH="1">
          <a:off x="2647950" y="4210050"/>
          <a:ext cx="419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38100</xdr:rowOff>
    </xdr:from>
    <xdr:to>
      <xdr:col>12</xdr:col>
      <xdr:colOff>295275</xdr:colOff>
      <xdr:row>6</xdr:row>
      <xdr:rowOff>152500</xdr:rowOff>
    </xdr:to>
    <xdr:pic>
      <xdr:nvPicPr>
        <xdr:cNvPr id="3" name="Picture 2" descr="Screen Clipping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38175"/>
          <a:ext cx="9248775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152400</xdr:rowOff>
    </xdr:from>
    <xdr:to>
      <xdr:col>11</xdr:col>
      <xdr:colOff>1115</xdr:colOff>
      <xdr:row>36</xdr:row>
      <xdr:rowOff>152428</xdr:rowOff>
    </xdr:to>
    <xdr:pic>
      <xdr:nvPicPr>
        <xdr:cNvPr id="5" name="Picture 4" descr="Screen Clipping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7153275"/>
          <a:ext cx="7992590" cy="200053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133350</xdr:rowOff>
    </xdr:from>
    <xdr:to>
      <xdr:col>10</xdr:col>
      <xdr:colOff>621294</xdr:colOff>
      <xdr:row>46</xdr:row>
      <xdr:rowOff>171832</xdr:rowOff>
    </xdr:to>
    <xdr:pic>
      <xdr:nvPicPr>
        <xdr:cNvPr id="6" name="Picture 5" descr="Screen Clipping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7334250"/>
          <a:ext cx="8041269" cy="20387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152400</xdr:rowOff>
    </xdr:from>
    <xdr:to>
      <xdr:col>12</xdr:col>
      <xdr:colOff>298247</xdr:colOff>
      <xdr:row>17</xdr:row>
      <xdr:rowOff>0</xdr:rowOff>
    </xdr:to>
    <xdr:pic>
      <xdr:nvPicPr>
        <xdr:cNvPr id="7" name="Picture 6" descr="Screen Clipping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52550"/>
          <a:ext cx="9251747" cy="2047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42237</xdr:colOff>
      <xdr:row>2</xdr:row>
      <xdr:rowOff>52903</xdr:rowOff>
    </xdr:from>
    <xdr:to>
      <xdr:col>2</xdr:col>
      <xdr:colOff>260812</xdr:colOff>
      <xdr:row>24</xdr:row>
      <xdr:rowOff>166741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2B60A-30FF-4C44-A3E9-0603E6133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37" y="376753"/>
          <a:ext cx="7209925" cy="560023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ny Fonseca" id="{32C34F90-54D8-4A5C-B394-5BEC027C6D75}" userId="S::tfonseca@abodecommunities.org::ce792e57-8b9b-466c-8304-8ac81e1b992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49" dT="2024-03-22T20:12:06.66" personId="{32C34F90-54D8-4A5C-B394-5BEC027C6D75}" id="{646875C6-62E6-48A4-9936-805F4115C1A5}">
    <text>Whether we would go for LEED on a Non-LIHTC is a question we could verify. Not critical at this point.</text>
  </threadedComment>
  <threadedComment ref="G246" dT="2024-03-22T20:33:45.69" personId="{32C34F90-54D8-4A5C-B394-5BEC027C6D75}" id="{27739ECA-F32C-4FE5-924A-5AAF08C885BD}">
    <text>Removed this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lanning.lacounty.gov/wp-content/uploads/2022/11/housing-element-20220517.pdf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s://pw.lacounty.gov/bsd/lib/fp/fees/County/2023/Fees%20from%20ordinance%20template%2023-24.pdf" TargetMode="External"/><Relationship Id="rId1" Type="http://schemas.openxmlformats.org/officeDocument/2006/relationships/hyperlink" Target="https://planning.lacounty.gov/wp-content/uploads/2023/12/fee_20240101.pdf" TargetMode="External"/><Relationship Id="rId4" Type="http://schemas.openxmlformats.org/officeDocument/2006/relationships/drawing" Target="../drawings/drawing3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8C54-A865-406F-AC1F-C76B4CBA3163}">
  <dimension ref="A1:F46"/>
  <sheetViews>
    <sheetView topLeftCell="A11" workbookViewId="0">
      <selection activeCell="G21" sqref="G21"/>
    </sheetView>
  </sheetViews>
  <sheetFormatPr defaultRowHeight="15.75"/>
  <cols>
    <col min="1" max="1" width="9.125" customWidth="1"/>
    <col min="2" max="2" width="12.625" customWidth="1"/>
    <col min="3" max="3" width="29" bestFit="1" customWidth="1"/>
    <col min="4" max="4" width="15.75" bestFit="1" customWidth="1"/>
    <col min="5" max="5" width="12.125" bestFit="1" customWidth="1"/>
    <col min="6" max="6" width="28.5" customWidth="1"/>
  </cols>
  <sheetData>
    <row r="1" spans="1:5" ht="28.5">
      <c r="A1" s="34" t="s">
        <v>983</v>
      </c>
      <c r="B1" s="691"/>
      <c r="C1" s="691"/>
      <c r="D1" s="691"/>
      <c r="E1" s="691"/>
    </row>
    <row r="2" spans="1:5" ht="28.5">
      <c r="A2" s="34" t="s">
        <v>0</v>
      </c>
      <c r="B2" s="691"/>
      <c r="C2" s="691"/>
      <c r="D2" s="691"/>
      <c r="E2" s="691"/>
    </row>
    <row r="3" spans="1:5">
      <c r="A3" s="63"/>
      <c r="B3" s="696"/>
      <c r="C3" s="696"/>
      <c r="D3" s="690"/>
    </row>
    <row r="4" spans="1:5">
      <c r="A4" s="63" t="s">
        <v>1</v>
      </c>
      <c r="B4" s="696"/>
      <c r="C4" s="690" t="str">
        <f>A1</f>
        <v>Generic Template Non-LIHTC</v>
      </c>
      <c r="D4" s="690"/>
    </row>
    <row r="5" spans="1:5">
      <c r="A5" s="63" t="s">
        <v>2</v>
      </c>
      <c r="B5" s="696"/>
      <c r="C5" s="1677" t="s">
        <v>1090</v>
      </c>
      <c r="D5" s="690"/>
      <c r="E5" s="3"/>
    </row>
    <row r="6" spans="1:5">
      <c r="A6" s="63" t="s">
        <v>6</v>
      </c>
      <c r="B6" s="696"/>
      <c r="C6" s="690" t="s">
        <v>7</v>
      </c>
      <c r="D6" s="690"/>
    </row>
    <row r="7" spans="1:5">
      <c r="A7" s="63" t="s">
        <v>8</v>
      </c>
      <c r="B7" s="696"/>
      <c r="C7" s="690" t="s">
        <v>9</v>
      </c>
      <c r="D7" s="690"/>
      <c r="E7" s="3"/>
    </row>
    <row r="8" spans="1:5">
      <c r="A8" s="63"/>
      <c r="B8" s="696"/>
      <c r="C8" s="696"/>
      <c r="D8" s="690"/>
      <c r="E8" s="690"/>
    </row>
    <row r="9" spans="1:5">
      <c r="A9" s="63"/>
      <c r="B9" s="696"/>
      <c r="C9" s="696"/>
      <c r="D9" s="690"/>
      <c r="E9" s="690"/>
    </row>
    <row r="10" spans="1:5">
      <c r="A10" s="690"/>
      <c r="B10" s="698" t="s">
        <v>10</v>
      </c>
      <c r="C10" s="698"/>
      <c r="D10" s="699">
        <f>'Rental Income'!D15</f>
        <v>202</v>
      </c>
      <c r="E10" s="699"/>
    </row>
    <row r="11" spans="1:5">
      <c r="A11" s="690"/>
      <c r="B11" s="698" t="s">
        <v>11</v>
      </c>
      <c r="C11" s="698"/>
      <c r="D11" s="700">
        <f>D12+D13</f>
        <v>196860</v>
      </c>
      <c r="E11" s="700"/>
    </row>
    <row r="12" spans="1:5">
      <c r="A12" s="701"/>
      <c r="B12" s="702" t="s">
        <v>12</v>
      </c>
      <c r="C12" s="702"/>
      <c r="D12" s="700">
        <f>'Construction Calculation'!C14</f>
        <v>196860</v>
      </c>
      <c r="E12" s="700"/>
    </row>
    <row r="13" spans="1:5">
      <c r="A13" s="1687"/>
      <c r="B13" s="1688" t="s">
        <v>13</v>
      </c>
      <c r="C13" s="1688"/>
      <c r="D13" s="1689">
        <f>'Construction Calculation'!C18</f>
        <v>0</v>
      </c>
      <c r="E13" s="700"/>
    </row>
    <row r="14" spans="1:5">
      <c r="A14" s="1690" t="s">
        <v>1094</v>
      </c>
      <c r="B14" s="1691"/>
      <c r="C14" s="1691"/>
      <c r="D14" s="1715" t="s">
        <v>1103</v>
      </c>
      <c r="E14" s="700"/>
    </row>
    <row r="15" spans="1:5">
      <c r="A15" s="1582" t="s">
        <v>1091</v>
      </c>
      <c r="B15" s="1678"/>
      <c r="C15" s="1685"/>
      <c r="D15" s="1679" cm="1">
        <f t="array" aca="1" ref="D15" ca="1">IF(D14="Year 7 Takeout", INDIRECT("GapCalc!K46"), INDIRECT("GapCalc!K58"))</f>
        <v>6.0965936464488588E-3</v>
      </c>
      <c r="E15" s="700"/>
    </row>
    <row r="16" spans="1:5">
      <c r="A16" s="1681" t="s">
        <v>1092</v>
      </c>
      <c r="B16" s="702"/>
      <c r="D16" s="1680" cm="1">
        <f t="array" aca="1" ref="D16" ca="1">IF(D14="Year 7 Takeout", INDIRECT("GapCalc!K51"), INDIRECT("GapCalc!K63"))</f>
        <v>6.0965936464488224E-3</v>
      </c>
      <c r="E16" s="700"/>
    </row>
    <row r="17" spans="1:6">
      <c r="A17" s="1686"/>
      <c r="B17" s="702"/>
      <c r="D17" s="1682"/>
      <c r="E17" s="1753" t="s">
        <v>961</v>
      </c>
    </row>
    <row r="18" spans="1:6">
      <c r="A18" s="1683" t="s">
        <v>1093</v>
      </c>
      <c r="B18" s="47"/>
      <c r="C18" s="47"/>
      <c r="D18" s="1684" cm="1">
        <f t="array" aca="1" ref="D18" ca="1">IF(D14="Year 7 Takeout", INDIRECT("GapCalc!I55"), INDIRECT("GapCalc!I67"))</f>
        <v>-17569935.12830162</v>
      </c>
      <c r="E18" s="1754">
        <f ca="1">-D18/D28</f>
        <v>0.13569188617955552</v>
      </c>
      <c r="F18" s="1309"/>
    </row>
    <row r="19" spans="1:6">
      <c r="A19" s="701"/>
      <c r="B19" s="696"/>
      <c r="C19" s="696"/>
      <c r="D19" s="690"/>
      <c r="E19" s="690"/>
    </row>
    <row r="20" spans="1:6" ht="18.75">
      <c r="A20" s="151" t="s">
        <v>14</v>
      </c>
      <c r="B20" s="148"/>
      <c r="C20" s="148"/>
      <c r="D20" s="149"/>
      <c r="E20" s="1530" t="s">
        <v>382</v>
      </c>
    </row>
    <row r="21" spans="1:6">
      <c r="A21" s="64"/>
      <c r="B21" s="63" t="s">
        <v>15</v>
      </c>
      <c r="C21" s="63"/>
      <c r="D21" s="1531">
        <f>'Development Budget'!G28</f>
        <v>13305000</v>
      </c>
      <c r="E21" s="1531">
        <f>D21/$D$10</f>
        <v>65866.336633663363</v>
      </c>
    </row>
    <row r="22" spans="1:6">
      <c r="A22" s="64"/>
      <c r="B22" s="4" t="s">
        <v>16</v>
      </c>
      <c r="C22" s="4"/>
      <c r="D22" s="1531">
        <f>'Development Budget'!G44</f>
        <v>81146435.312499985</v>
      </c>
      <c r="E22" s="1531">
        <f t="shared" ref="E22:E28" si="0">D22/$D$10</f>
        <v>401715.02629950485</v>
      </c>
      <c r="F22" s="1307"/>
    </row>
    <row r="23" spans="1:6">
      <c r="A23" s="64"/>
      <c r="B23" s="4" t="s">
        <v>17</v>
      </c>
      <c r="C23" s="4"/>
      <c r="D23" s="1531">
        <f>SUM('Development Budget'!G80,'Development Budget'!G59)</f>
        <v>2298240</v>
      </c>
      <c r="E23" s="1531">
        <f t="shared" si="0"/>
        <v>11377.425742574258</v>
      </c>
    </row>
    <row r="24" spans="1:6">
      <c r="A24" s="64"/>
      <c r="B24" s="4" t="s">
        <v>18</v>
      </c>
      <c r="C24" s="4"/>
      <c r="D24" s="1531">
        <f>'Development Budget'!G97</f>
        <v>3356436</v>
      </c>
      <c r="E24" s="1531">
        <f t="shared" si="0"/>
        <v>16616.019801980197</v>
      </c>
    </row>
    <row r="25" spans="1:6">
      <c r="A25" s="64"/>
      <c r="B25" s="4" t="s">
        <v>19</v>
      </c>
      <c r="C25" s="4"/>
      <c r="D25" s="1531">
        <f>'Development Budget'!G148+'Development Budget'!G170+'Development Budget'!G176</f>
        <v>11692723.342599358</v>
      </c>
      <c r="E25" s="1531">
        <f t="shared" si="0"/>
        <v>57884.769022769098</v>
      </c>
    </row>
    <row r="26" spans="1:6">
      <c r="A26" s="64"/>
      <c r="B26" s="4" t="s">
        <v>20</v>
      </c>
      <c r="C26" s="4"/>
      <c r="D26" s="1531">
        <f>'Development Budget'!G181</f>
        <v>5211090.7239028849</v>
      </c>
      <c r="E26" s="1531">
        <f t="shared" si="0"/>
        <v>25797.478831202399</v>
      </c>
    </row>
    <row r="27" spans="1:6" ht="16.5" thickBot="1">
      <c r="A27" s="146"/>
      <c r="B27" s="67" t="s">
        <v>21</v>
      </c>
      <c r="C27" s="67"/>
      <c r="D27" s="1532">
        <f>'Development Budget'!G250-SUM(D21:D26)</f>
        <v>12474125.753222764</v>
      </c>
      <c r="E27" s="1532">
        <f t="shared" si="0"/>
        <v>61753.097788231506</v>
      </c>
    </row>
    <row r="28" spans="1:6" ht="16.5" thickTop="1">
      <c r="A28" s="4"/>
      <c r="B28" s="4"/>
      <c r="C28" s="150" t="s">
        <v>14</v>
      </c>
      <c r="D28" s="1533">
        <f>SUM(D21:D27)</f>
        <v>129484051.13222499</v>
      </c>
      <c r="E28" s="1531">
        <f t="shared" si="0"/>
        <v>641010.15411992569</v>
      </c>
    </row>
    <row r="29" spans="1:6">
      <c r="A29" s="64"/>
      <c r="B29" s="60"/>
      <c r="C29" s="60"/>
      <c r="D29" s="61"/>
      <c r="E29" s="61"/>
    </row>
    <row r="30" spans="1:6" ht="18.75">
      <c r="A30" s="151" t="s">
        <v>22</v>
      </c>
      <c r="B30" s="148"/>
      <c r="C30" s="148"/>
      <c r="D30" s="149"/>
      <c r="E30" s="1530" t="s">
        <v>382</v>
      </c>
    </row>
    <row r="31" spans="1:6">
      <c r="A31" s="4"/>
      <c r="B31" s="4" t="s">
        <v>23</v>
      </c>
      <c r="C31" s="4"/>
      <c r="D31" s="61"/>
      <c r="E31" s="1531">
        <f t="shared" ref="E31:E32" si="1">D31/$D$10</f>
        <v>0</v>
      </c>
    </row>
    <row r="32" spans="1:6">
      <c r="A32" s="4"/>
      <c r="B32" s="4" t="s">
        <v>24</v>
      </c>
      <c r="C32" s="4"/>
      <c r="D32" s="1586">
        <f>Data!C20</f>
        <v>83205212.517524853</v>
      </c>
      <c r="E32" s="1586">
        <f t="shared" si="1"/>
        <v>411906.99266101414</v>
      </c>
    </row>
    <row r="33" spans="1:5">
      <c r="A33" s="64"/>
      <c r="B33" s="4" t="s">
        <v>1051</v>
      </c>
      <c r="C33" s="4"/>
      <c r="D33" s="1587">
        <f>GapCalc!D29</f>
        <v>6941825.7922050217</v>
      </c>
      <c r="E33" s="1586">
        <f>D33/$D$10</f>
        <v>34365.474218836738</v>
      </c>
    </row>
    <row r="34" spans="1:5">
      <c r="A34" s="65"/>
      <c r="B34" s="4" t="s">
        <v>26</v>
      </c>
      <c r="C34" s="4"/>
      <c r="D34" s="1587">
        <f>GapCalc!D30</f>
        <v>39337012.822495118</v>
      </c>
      <c r="E34" s="1586">
        <f>D34/$D$10</f>
        <v>194737.68724007485</v>
      </c>
    </row>
    <row r="35" spans="1:5" ht="16.5" thickBot="1">
      <c r="A35" s="66"/>
      <c r="B35" s="67" t="s">
        <v>27</v>
      </c>
      <c r="C35" s="67"/>
      <c r="D35" s="1588">
        <v>0</v>
      </c>
      <c r="E35" s="1588">
        <f>D35/$D$10</f>
        <v>0</v>
      </c>
    </row>
    <row r="36" spans="1:5" ht="16.5" thickTop="1">
      <c r="A36" s="4"/>
      <c r="B36" s="690"/>
      <c r="C36" s="150" t="s">
        <v>28</v>
      </c>
      <c r="D36" s="1589">
        <f>SUM(D31:D35)</f>
        <v>129484051.13222499</v>
      </c>
      <c r="E36" s="1586">
        <f>D36/$D$10</f>
        <v>641010.15411992569</v>
      </c>
    </row>
    <row r="37" spans="1:5">
      <c r="A37" s="60"/>
      <c r="B37" s="4"/>
      <c r="C37" s="4"/>
      <c r="D37" s="1586"/>
      <c r="E37" s="1594"/>
    </row>
    <row r="38" spans="1:5" ht="18.75">
      <c r="A38" s="152" t="s">
        <v>29</v>
      </c>
      <c r="B38" s="148"/>
      <c r="C38" s="148"/>
      <c r="D38" s="1590"/>
      <c r="E38" s="1595" t="s">
        <v>382</v>
      </c>
    </row>
    <row r="39" spans="1:5">
      <c r="A39" s="60"/>
      <c r="B39" s="4" t="s">
        <v>1047</v>
      </c>
      <c r="C39" s="4"/>
      <c r="D39" s="1586">
        <f>Data!G30</f>
        <v>0</v>
      </c>
      <c r="E39" s="1586">
        <f>D39/$D$10</f>
        <v>0</v>
      </c>
    </row>
    <row r="40" spans="1:5">
      <c r="A40" s="60"/>
      <c r="B40" s="4" t="s">
        <v>995</v>
      </c>
      <c r="C40" s="4"/>
      <c r="D40" s="1586">
        <f>GapCalc!D37</f>
        <v>80722206.149175584</v>
      </c>
      <c r="E40" s="1586">
        <f t="shared" ref="E40" si="2">D40/$D$10</f>
        <v>399614.88192661182</v>
      </c>
    </row>
    <row r="41" spans="1:5">
      <c r="A41" s="60"/>
      <c r="B41" s="4" t="s">
        <v>1051</v>
      </c>
      <c r="C41" s="4"/>
      <c r="D41" s="1591">
        <f>GapCalc!D29+GapCalc!D38</f>
        <v>7314276.7474574121</v>
      </c>
      <c r="E41" s="1586">
        <f>D41/$D$10</f>
        <v>36209.290828997087</v>
      </c>
    </row>
    <row r="42" spans="1:5">
      <c r="A42" s="60"/>
      <c r="B42" s="1557" t="s">
        <v>26</v>
      </c>
      <c r="C42" s="4"/>
      <c r="D42" s="1592">
        <f>GapCalc!D30+GapCalc!D39</f>
        <v>41447568.235591993</v>
      </c>
      <c r="E42" s="1586">
        <f>D42/$D$10</f>
        <v>205185.9813643168</v>
      </c>
    </row>
    <row r="43" spans="1:5">
      <c r="A43" s="60"/>
      <c r="B43" s="1714" t="s">
        <v>1102</v>
      </c>
      <c r="C43" s="4"/>
      <c r="D43" s="1592">
        <f>IF(D32-D40&gt;0,0,D32-D40)</f>
        <v>0</v>
      </c>
      <c r="E43" s="1586">
        <f>D43/$D$10</f>
        <v>0</v>
      </c>
    </row>
    <row r="44" spans="1:5">
      <c r="A44" s="60"/>
      <c r="B44" s="4" t="s">
        <v>27</v>
      </c>
      <c r="C44" s="4"/>
      <c r="D44" s="1592">
        <v>0</v>
      </c>
      <c r="E44" s="1586">
        <v>0</v>
      </c>
    </row>
    <row r="45" spans="1:5" ht="16.5" thickBot="1">
      <c r="A45" s="66"/>
      <c r="B45" s="731"/>
      <c r="C45" s="1675" t="s">
        <v>33</v>
      </c>
      <c r="D45" s="1676">
        <f>SUM(D39:D44)</f>
        <v>129484051.13222499</v>
      </c>
      <c r="E45" s="1588">
        <f>D45/$D$10</f>
        <v>641010.15411992569</v>
      </c>
    </row>
    <row r="46" spans="1:5" ht="16.5" thickTop="1"/>
  </sheetData>
  <conditionalFormatting sqref="D18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dataValidations count="1">
    <dataValidation type="list" allowBlank="1" showInputMessage="1" showErrorMessage="1" sqref="D14" xr:uid="{0534B85F-67C4-4804-90EE-9DF3F39A12F9}">
      <formula1>"Year 7 Takeout, Year 10 Takeout"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0"/>
  <sheetViews>
    <sheetView topLeftCell="A27" zoomScaleNormal="100" workbookViewId="0">
      <selection activeCell="F48" sqref="F48"/>
    </sheetView>
  </sheetViews>
  <sheetFormatPr defaultColWidth="8" defaultRowHeight="15"/>
  <cols>
    <col min="1" max="1" width="3.125" style="2" customWidth="1"/>
    <col min="2" max="2" width="10.25" style="2" customWidth="1"/>
    <col min="3" max="3" width="22.25" style="2" customWidth="1"/>
    <col min="4" max="4" width="22.75" style="2" customWidth="1"/>
    <col min="5" max="5" width="13.625" style="2" customWidth="1"/>
    <col min="6" max="6" width="21.625" style="2" customWidth="1"/>
    <col min="7" max="7" width="18.125" style="2" bestFit="1" customWidth="1"/>
    <col min="8" max="8" width="21.25" style="2" bestFit="1" customWidth="1"/>
    <col min="9" max="9" width="18.5" style="2" bestFit="1" customWidth="1"/>
    <col min="10" max="10" width="13.125" style="2" customWidth="1"/>
    <col min="11" max="11" width="14.25" style="2" bestFit="1" customWidth="1"/>
    <col min="12" max="12" width="8" style="2"/>
    <col min="13" max="13" width="8.375" style="2" customWidth="1"/>
    <col min="14" max="16384" width="8" style="2"/>
  </cols>
  <sheetData>
    <row r="1" spans="1:8" ht="28.5">
      <c r="A1" s="34" t="s">
        <v>983</v>
      </c>
      <c r="B1" s="691"/>
      <c r="C1" s="691"/>
      <c r="D1" s="691"/>
      <c r="E1" s="691"/>
      <c r="F1" s="692"/>
      <c r="G1" s="694"/>
      <c r="H1" s="695"/>
    </row>
    <row r="2" spans="1:8" ht="28.5">
      <c r="A2" s="34" t="s">
        <v>0</v>
      </c>
      <c r="B2" s="691"/>
      <c r="C2" s="691"/>
      <c r="D2" s="691"/>
      <c r="E2" s="691"/>
      <c r="F2" s="692"/>
      <c r="G2" s="694"/>
      <c r="H2" s="695"/>
    </row>
    <row r="3" spans="1:8" ht="16.5" customHeight="1">
      <c r="A3" s="63"/>
      <c r="B3" s="696"/>
      <c r="C3" s="696"/>
      <c r="D3" s="690"/>
      <c r="E3" s="690"/>
      <c r="F3" s="692"/>
      <c r="G3" s="694"/>
      <c r="H3" s="695"/>
    </row>
    <row r="4" spans="1:8" ht="16.5" customHeight="1">
      <c r="A4" s="63" t="s">
        <v>1</v>
      </c>
      <c r="B4" s="696"/>
      <c r="C4" s="690" t="str">
        <f>A1</f>
        <v>Generic Template Non-LIHTC</v>
      </c>
      <c r="D4" s="690"/>
      <c r="E4" s="690"/>
      <c r="F4" s="692"/>
      <c r="G4" s="694"/>
      <c r="H4" s="695"/>
    </row>
    <row r="5" spans="1:8" ht="16.5" customHeight="1">
      <c r="A5" s="63" t="s">
        <v>2</v>
      </c>
      <c r="B5" s="696"/>
      <c r="C5" s="690" t="s">
        <v>3</v>
      </c>
      <c r="D5" s="690"/>
      <c r="E5" s="690"/>
      <c r="F5" s="692"/>
      <c r="G5" s="694"/>
      <c r="H5" s="695"/>
    </row>
    <row r="6" spans="1:8" ht="30">
      <c r="A6" s="63" t="s">
        <v>4</v>
      </c>
      <c r="B6" s="696"/>
      <c r="C6" s="697" t="s">
        <v>5</v>
      </c>
      <c r="D6" s="690"/>
      <c r="E6" s="690"/>
      <c r="F6" s="692"/>
      <c r="G6" s="694"/>
      <c r="H6" s="695"/>
    </row>
    <row r="7" spans="1:8" ht="16.5" customHeight="1">
      <c r="A7" s="63" t="s">
        <v>6</v>
      </c>
      <c r="B7" s="696"/>
      <c r="C7" s="690" t="s">
        <v>7</v>
      </c>
      <c r="D7" s="690"/>
      <c r="E7" s="690"/>
      <c r="F7" s="692"/>
      <c r="G7" s="694"/>
      <c r="H7" s="695"/>
    </row>
    <row r="8" spans="1:8" ht="16.5" customHeight="1">
      <c r="A8" s="63" t="s">
        <v>8</v>
      </c>
      <c r="B8" s="696"/>
      <c r="C8" s="690" t="s">
        <v>9</v>
      </c>
      <c r="D8" s="690"/>
      <c r="E8" s="690"/>
      <c r="F8" s="692"/>
      <c r="G8" s="694"/>
      <c r="H8" s="695"/>
    </row>
    <row r="9" spans="1:8" ht="16.5" customHeight="1">
      <c r="A9" s="63"/>
      <c r="B9" s="696"/>
      <c r="C9" s="696"/>
      <c r="D9" s="690"/>
      <c r="E9" s="690"/>
      <c r="F9" s="692"/>
      <c r="G9" s="694"/>
      <c r="H9" s="695"/>
    </row>
    <row r="10" spans="1:8" ht="16.5" customHeight="1">
      <c r="A10" s="63"/>
      <c r="B10" s="696"/>
      <c r="C10" s="696"/>
      <c r="D10" s="690"/>
      <c r="E10" s="690"/>
      <c r="F10" s="692"/>
      <c r="G10" s="694"/>
      <c r="H10" s="695"/>
    </row>
    <row r="11" spans="1:8">
      <c r="A11" s="690"/>
      <c r="B11" s="698" t="s">
        <v>10</v>
      </c>
      <c r="C11" s="698"/>
      <c r="D11" s="699">
        <f>'Rental Income'!D15</f>
        <v>202</v>
      </c>
      <c r="E11" s="699"/>
      <c r="F11" s="692"/>
      <c r="G11" s="694"/>
      <c r="H11" s="695"/>
    </row>
    <row r="12" spans="1:8">
      <c r="A12" s="690"/>
      <c r="B12" s="698" t="s">
        <v>11</v>
      </c>
      <c r="C12" s="698"/>
      <c r="D12" s="700">
        <f>D13+D14</f>
        <v>196860</v>
      </c>
      <c r="E12" s="700"/>
      <c r="F12" s="692"/>
      <c r="G12" s="694"/>
      <c r="H12" s="695"/>
    </row>
    <row r="13" spans="1:8">
      <c r="A13" s="701"/>
      <c r="B13" s="702" t="s">
        <v>12</v>
      </c>
      <c r="C13" s="702"/>
      <c r="D13" s="700">
        <f>'Construction Calculation'!C14</f>
        <v>196860</v>
      </c>
      <c r="E13" s="700"/>
      <c r="F13" s="692"/>
      <c r="G13" s="694"/>
      <c r="H13" s="695"/>
    </row>
    <row r="14" spans="1:8">
      <c r="A14" s="701"/>
      <c r="B14" s="702" t="s">
        <v>13</v>
      </c>
      <c r="C14" s="702"/>
      <c r="D14" s="700">
        <f>'Construction Calculation'!C18</f>
        <v>0</v>
      </c>
      <c r="E14" s="700"/>
      <c r="F14" s="692"/>
      <c r="G14" s="694"/>
      <c r="H14" s="695"/>
    </row>
    <row r="15" spans="1:8">
      <c r="A15" s="701"/>
      <c r="B15" s="696"/>
      <c r="C15" s="696"/>
      <c r="D15" s="690"/>
      <c r="E15" s="690"/>
      <c r="F15" s="692"/>
      <c r="G15" s="694"/>
      <c r="H15" s="695"/>
    </row>
    <row r="16" spans="1:8" s="4" customFormat="1" ht="18.75">
      <c r="A16" s="151" t="s">
        <v>14</v>
      </c>
      <c r="B16" s="148"/>
      <c r="C16" s="148"/>
      <c r="D16" s="149"/>
      <c r="E16" s="1530" t="s">
        <v>382</v>
      </c>
      <c r="F16" s="62"/>
      <c r="G16" s="144"/>
      <c r="H16" s="145"/>
    </row>
    <row r="17" spans="1:10" s="4" customFormat="1" ht="15.75">
      <c r="A17" s="64"/>
      <c r="B17" s="63" t="s">
        <v>15</v>
      </c>
      <c r="C17" s="63"/>
      <c r="D17" s="1531">
        <f>'Development Budget'!G28</f>
        <v>13305000</v>
      </c>
      <c r="E17" s="1531">
        <f>D17/$D$11</f>
        <v>65866.336633663363</v>
      </c>
      <c r="F17" s="62"/>
      <c r="G17" s="144"/>
      <c r="H17" s="145"/>
    </row>
    <row r="18" spans="1:10" s="4" customFormat="1" ht="15.75">
      <c r="A18" s="64"/>
      <c r="B18" s="4" t="s">
        <v>16</v>
      </c>
      <c r="D18" s="1531">
        <f>'Development Budget'!G44</f>
        <v>81146435.312499985</v>
      </c>
      <c r="E18" s="1531">
        <f t="shared" ref="E18:E24" si="0">D18/$D$11</f>
        <v>401715.02629950485</v>
      </c>
      <c r="F18" s="337"/>
      <c r="G18" s="144"/>
      <c r="H18" s="145"/>
    </row>
    <row r="19" spans="1:10" s="4" customFormat="1" ht="15.75">
      <c r="A19" s="64"/>
      <c r="B19" s="4" t="s">
        <v>17</v>
      </c>
      <c r="D19" s="1531">
        <f>SUM('Development Budget'!G80,'Development Budget'!G59)</f>
        <v>2298240</v>
      </c>
      <c r="E19" s="1531">
        <f t="shared" si="0"/>
        <v>11377.425742574258</v>
      </c>
      <c r="F19" s="62"/>
      <c r="G19" s="144"/>
      <c r="H19" s="145"/>
    </row>
    <row r="20" spans="1:10" s="4" customFormat="1" ht="15.75">
      <c r="A20" s="64"/>
      <c r="B20" s="4" t="s">
        <v>18</v>
      </c>
      <c r="D20" s="1531">
        <f>'Development Budget'!G97</f>
        <v>3356436</v>
      </c>
      <c r="E20" s="1531">
        <f t="shared" si="0"/>
        <v>16616.019801980197</v>
      </c>
      <c r="F20" s="62"/>
      <c r="G20" s="144"/>
      <c r="H20" s="145"/>
    </row>
    <row r="21" spans="1:10" s="4" customFormat="1" ht="15.75">
      <c r="A21" s="64"/>
      <c r="B21" s="4" t="s">
        <v>19</v>
      </c>
      <c r="D21" s="1531">
        <f>'Development Budget'!G148+'Development Budget'!G170+'Development Budget'!G176</f>
        <v>11692723.342599358</v>
      </c>
      <c r="E21" s="1531">
        <f t="shared" si="0"/>
        <v>57884.769022769098</v>
      </c>
      <c r="F21" s="62"/>
      <c r="G21" s="144"/>
      <c r="H21" s="145"/>
    </row>
    <row r="22" spans="1:10" s="4" customFormat="1" ht="15.75">
      <c r="A22" s="64"/>
      <c r="B22" s="4" t="s">
        <v>20</v>
      </c>
      <c r="D22" s="1531">
        <f>'Development Budget'!G181</f>
        <v>5211090.7239028849</v>
      </c>
      <c r="E22" s="1531">
        <f t="shared" si="0"/>
        <v>25797.478831202399</v>
      </c>
      <c r="F22" s="62"/>
      <c r="G22" s="144"/>
      <c r="H22" s="145"/>
    </row>
    <row r="23" spans="1:10" s="4" customFormat="1" ht="16.5" thickBot="1">
      <c r="A23" s="146"/>
      <c r="B23" s="67" t="s">
        <v>21</v>
      </c>
      <c r="C23" s="67"/>
      <c r="D23" s="1532">
        <f>'Development Budget'!G250-SUM(D17:D22)</f>
        <v>12474125.753222764</v>
      </c>
      <c r="E23" s="1532">
        <f t="shared" si="0"/>
        <v>61753.097788231506</v>
      </c>
      <c r="F23" s="62"/>
      <c r="G23" s="144"/>
      <c r="H23" s="145"/>
    </row>
    <row r="24" spans="1:10" s="4" customFormat="1" ht="16.5" thickTop="1">
      <c r="C24" s="150" t="s">
        <v>14</v>
      </c>
      <c r="D24" s="1533">
        <f>SUM(D17:D23)</f>
        <v>129484051.13222499</v>
      </c>
      <c r="E24" s="1531">
        <f t="shared" si="0"/>
        <v>641010.15411992569</v>
      </c>
      <c r="F24" s="62"/>
      <c r="G24" s="144"/>
      <c r="H24" s="145"/>
    </row>
    <row r="25" spans="1:10" s="4" customFormat="1" ht="15.75">
      <c r="A25" s="64"/>
      <c r="B25" s="60"/>
      <c r="C25" s="60"/>
      <c r="D25" s="61"/>
      <c r="E25" s="61"/>
      <c r="F25" s="62"/>
      <c r="G25" s="144"/>
      <c r="H25" s="145"/>
    </row>
    <row r="26" spans="1:10" ht="32.25">
      <c r="A26" s="151" t="s">
        <v>22</v>
      </c>
      <c r="B26" s="148"/>
      <c r="C26" s="148"/>
      <c r="D26" s="149"/>
      <c r="E26" s="1530" t="s">
        <v>382</v>
      </c>
      <c r="G26" s="1515" t="s">
        <v>1050</v>
      </c>
      <c r="H26" s="1437">
        <f>SUM(D29:D30)/H34</f>
        <v>0.94907890853571242</v>
      </c>
    </row>
    <row r="27" spans="1:10" ht="15.75">
      <c r="A27" s="4"/>
      <c r="B27" s="4" t="s">
        <v>23</v>
      </c>
      <c r="C27" s="4"/>
      <c r="D27" s="61"/>
      <c r="E27" s="1531">
        <f t="shared" ref="E27:E28" si="1">D27/$D$11</f>
        <v>0</v>
      </c>
      <c r="F27" s="62"/>
      <c r="G27" s="1421" t="s">
        <v>981</v>
      </c>
      <c r="H27" s="1422"/>
      <c r="I27" s="695"/>
    </row>
    <row r="28" spans="1:10" ht="15.75">
      <c r="A28" s="4"/>
      <c r="B28" s="4" t="s">
        <v>24</v>
      </c>
      <c r="C28" s="4"/>
      <c r="D28" s="1586">
        <f>Data!C20</f>
        <v>83205212.517524853</v>
      </c>
      <c r="E28" s="1586">
        <f t="shared" si="1"/>
        <v>411906.99266101414</v>
      </c>
      <c r="F28" s="62"/>
      <c r="G28" s="1419" t="s">
        <v>608</v>
      </c>
      <c r="H28" s="1608">
        <f>H32/D11</f>
        <v>36209.290828997087</v>
      </c>
      <c r="I28" s="703"/>
    </row>
    <row r="29" spans="1:10" ht="15.75">
      <c r="A29" s="64"/>
      <c r="B29" s="4" t="s">
        <v>1051</v>
      </c>
      <c r="C29" s="4"/>
      <c r="D29" s="1587">
        <v>6941825.7922050217</v>
      </c>
      <c r="E29" s="1586">
        <f>D29/$D$11</f>
        <v>34365.474218836738</v>
      </c>
      <c r="F29" s="520"/>
      <c r="G29" s="1420" t="s">
        <v>971</v>
      </c>
      <c r="H29" s="1609">
        <f>H33/D11</f>
        <v>205185.9813643168</v>
      </c>
      <c r="I29" s="703"/>
    </row>
    <row r="30" spans="1:10" ht="16.5" thickBot="1">
      <c r="A30" s="65"/>
      <c r="B30" s="4" t="s">
        <v>26</v>
      </c>
      <c r="C30" s="4"/>
      <c r="D30" s="1587">
        <v>39337012.822495118</v>
      </c>
      <c r="E30" s="1586">
        <f>D30/$D$11</f>
        <v>194737.68724007485</v>
      </c>
      <c r="F30" s="62"/>
      <c r="G30" s="4"/>
      <c r="H30" s="1591"/>
      <c r="I30" s="695"/>
      <c r="J30" s="690"/>
    </row>
    <row r="31" spans="1:10" ht="16.5" thickBot="1">
      <c r="A31" s="60"/>
      <c r="B31" s="4" t="s">
        <v>27</v>
      </c>
      <c r="C31" s="4"/>
      <c r="D31" s="1586">
        <v>0</v>
      </c>
      <c r="E31" s="1586">
        <f>D31/$D$11</f>
        <v>0</v>
      </c>
      <c r="F31" s="62"/>
      <c r="G31" s="1438" t="s">
        <v>1000</v>
      </c>
      <c r="H31" s="1610"/>
      <c r="I31" s="1439"/>
      <c r="J31" s="690"/>
    </row>
    <row r="32" spans="1:10" ht="16.5" thickBot="1">
      <c r="A32" s="1433"/>
      <c r="B32" s="67" t="s">
        <v>997</v>
      </c>
      <c r="C32" s="67"/>
      <c r="D32" s="1588">
        <f>SUM(D28:D31)-D24</f>
        <v>0</v>
      </c>
      <c r="E32" s="1588">
        <f>D32/$D$11</f>
        <v>0</v>
      </c>
      <c r="F32" s="62"/>
      <c r="G32" s="1339" t="s">
        <v>608</v>
      </c>
      <c r="H32" s="1611">
        <f>D29+D38</f>
        <v>7314276.7474574121</v>
      </c>
      <c r="I32" s="1346">
        <f>H32/H34</f>
        <v>0.15000000000000002</v>
      </c>
      <c r="J32" s="690"/>
    </row>
    <row r="33" spans="1:12" ht="17.25" thickTop="1" thickBot="1">
      <c r="A33" s="4"/>
      <c r="B33" s="690"/>
      <c r="C33" s="150" t="s">
        <v>28</v>
      </c>
      <c r="D33" s="1589">
        <f>SUM(D27:D31)</f>
        <v>129484051.13222499</v>
      </c>
      <c r="E33" s="1586">
        <f>D33/$D$11</f>
        <v>641010.15411992569</v>
      </c>
      <c r="F33" s="62"/>
      <c r="G33" s="1441" t="s">
        <v>971</v>
      </c>
      <c r="H33" s="1611">
        <f>D30+D39</f>
        <v>41447568.235591993</v>
      </c>
      <c r="I33" s="1346">
        <f>H33/H34</f>
        <v>0.85</v>
      </c>
      <c r="J33" s="690"/>
    </row>
    <row r="34" spans="1:12" ht="17.25" thickTop="1" thickBot="1">
      <c r="A34" s="60"/>
      <c r="B34" s="4"/>
      <c r="C34" s="4"/>
      <c r="D34" s="1586"/>
      <c r="E34" s="1594"/>
      <c r="F34" s="62"/>
      <c r="G34" s="1440" t="s">
        <v>37</v>
      </c>
      <c r="H34" s="1612">
        <f>SUM(H32:H33)</f>
        <v>48761844.983049408</v>
      </c>
      <c r="I34" s="1346"/>
      <c r="J34" s="690"/>
    </row>
    <row r="35" spans="1:12" ht="18.75">
      <c r="A35" s="152" t="s">
        <v>29</v>
      </c>
      <c r="B35" s="148"/>
      <c r="C35" s="148"/>
      <c r="D35" s="1590"/>
      <c r="E35" s="1595" t="s">
        <v>382</v>
      </c>
      <c r="F35" s="68"/>
      <c r="G35" s="1339"/>
      <c r="H35" s="1603"/>
      <c r="I35" s="1341" t="s">
        <v>961</v>
      </c>
      <c r="J35" s="690"/>
    </row>
    <row r="36" spans="1:12" ht="16.5" thickBot="1">
      <c r="A36" s="60"/>
      <c r="B36" s="4" t="s">
        <v>1047</v>
      </c>
      <c r="C36" s="4"/>
      <c r="D36" s="1586">
        <f>Data!G30</f>
        <v>0</v>
      </c>
      <c r="E36" s="1586">
        <f>D36/$D$11</f>
        <v>0</v>
      </c>
      <c r="F36" s="62"/>
      <c r="G36" s="1340"/>
      <c r="H36" s="1613"/>
      <c r="I36" s="1342">
        <f>H34/D24</f>
        <v>0.37658572277179808</v>
      </c>
      <c r="J36" s="704"/>
    </row>
    <row r="37" spans="1:12" ht="16.5" thickBot="1">
      <c r="A37" s="60"/>
      <c r="B37" s="4" t="s">
        <v>995</v>
      </c>
      <c r="C37" s="4"/>
      <c r="D37" s="1586">
        <f>Data!C38</f>
        <v>80722206.149175584</v>
      </c>
      <c r="E37" s="1586">
        <f t="shared" ref="E37" si="2">D37/$D$11</f>
        <v>399614.88192661182</v>
      </c>
      <c r="F37" s="62"/>
      <c r="G37" s="335"/>
      <c r="H37" s="1614"/>
      <c r="I37" s="703"/>
      <c r="J37" s="704"/>
    </row>
    <row r="38" spans="1:12" ht="16.5" thickBot="1">
      <c r="A38" s="60"/>
      <c r="B38" s="4" t="s">
        <v>1051</v>
      </c>
      <c r="C38" s="4"/>
      <c r="D38" s="1591">
        <v>372450.95525239012</v>
      </c>
      <c r="E38" s="1586">
        <f>D38/$D$11</f>
        <v>1843.8166101603472</v>
      </c>
      <c r="F38" s="62"/>
      <c r="G38" s="1434" t="s">
        <v>998</v>
      </c>
      <c r="H38" s="1615" t="s">
        <v>982</v>
      </c>
      <c r="I38" s="1442" t="s">
        <v>1002</v>
      </c>
      <c r="J38" s="690"/>
    </row>
    <row r="39" spans="1:12" ht="15.75">
      <c r="A39" s="60"/>
      <c r="B39" s="1557" t="s">
        <v>26</v>
      </c>
      <c r="C39" s="4"/>
      <c r="D39" s="1592">
        <v>2110555.4130968777</v>
      </c>
      <c r="E39" s="1586">
        <f>D39/$D$11</f>
        <v>10448.294124241969</v>
      </c>
      <c r="F39" s="62"/>
      <c r="G39" s="1435" t="s">
        <v>608</v>
      </c>
      <c r="H39" s="1616">
        <f>-D32*0.15</f>
        <v>0</v>
      </c>
      <c r="I39" s="1596">
        <f>D29+H39</f>
        <v>6941825.7922050217</v>
      </c>
      <c r="J39" s="690"/>
    </row>
    <row r="40" spans="1:12" ht="16.5" thickBot="1">
      <c r="A40" s="60"/>
      <c r="B40" s="4" t="s">
        <v>27</v>
      </c>
      <c r="C40" s="4"/>
      <c r="D40" s="1592">
        <v>0</v>
      </c>
      <c r="E40" s="1586">
        <v>0</v>
      </c>
      <c r="F40" s="62"/>
      <c r="G40" s="1436" t="s">
        <v>971</v>
      </c>
      <c r="H40" s="1617">
        <f>-D32*0.85</f>
        <v>0</v>
      </c>
      <c r="I40" s="1597">
        <f>D30+H40</f>
        <v>39337012.822495118</v>
      </c>
      <c r="J40" s="690"/>
    </row>
    <row r="41" spans="1:12" ht="16.5" thickBot="1">
      <c r="A41" s="66"/>
      <c r="B41" s="67" t="s">
        <v>997</v>
      </c>
      <c r="C41" s="67"/>
      <c r="D41" s="1593">
        <f>SUM(D36:D39)-D28</f>
        <v>0</v>
      </c>
      <c r="E41" s="1588">
        <f>D41/$D$11</f>
        <v>0</v>
      </c>
      <c r="F41" s="62"/>
      <c r="H41" s="1616"/>
      <c r="I41" s="1598"/>
      <c r="J41" s="690"/>
    </row>
    <row r="42" spans="1:12" ht="17.25" thickTop="1" thickBot="1">
      <c r="A42" s="60"/>
      <c r="B42" s="690"/>
      <c r="C42" s="150" t="s">
        <v>33</v>
      </c>
      <c r="D42" s="1589">
        <f>SUM(D36:D39)</f>
        <v>83205212.517524853</v>
      </c>
      <c r="E42" s="1586">
        <f>D42/$D$11</f>
        <v>411906.99266101414</v>
      </c>
      <c r="G42" s="1434" t="s">
        <v>999</v>
      </c>
      <c r="H42" s="1615" t="s">
        <v>982</v>
      </c>
      <c r="I42" s="1599" t="s">
        <v>1002</v>
      </c>
      <c r="J42" s="690"/>
    </row>
    <row r="43" spans="1:12" ht="15.75">
      <c r="A43" s="65"/>
      <c r="B43" s="60"/>
      <c r="C43" s="60"/>
      <c r="D43" s="61"/>
      <c r="E43" s="61"/>
      <c r="G43" s="1435" t="s">
        <v>608</v>
      </c>
      <c r="H43" s="1616">
        <f>-D41*0.15</f>
        <v>0</v>
      </c>
      <c r="I43" s="1596">
        <f>D38+H43</f>
        <v>372450.95525239012</v>
      </c>
      <c r="J43" s="690"/>
    </row>
    <row r="44" spans="1:12" ht="16.5" thickBot="1">
      <c r="A44" s="60"/>
      <c r="B44" s="60"/>
      <c r="C44" s="60"/>
      <c r="D44" s="159"/>
      <c r="E44" s="159"/>
      <c r="G44" s="1436" t="s">
        <v>971</v>
      </c>
      <c r="H44" s="1616">
        <f>-D41*0.85</f>
        <v>0</v>
      </c>
      <c r="I44" s="1596">
        <f>D39+H44</f>
        <v>2110555.4130968777</v>
      </c>
      <c r="J44" s="690"/>
    </row>
    <row r="45" spans="1:12" ht="15.75">
      <c r="A45" s="60"/>
      <c r="D45" s="159"/>
      <c r="E45" s="159"/>
      <c r="G45" s="4"/>
      <c r="H45" s="1705" t="s">
        <v>1095</v>
      </c>
      <c r="I45" s="1709"/>
      <c r="J45" s="1707"/>
      <c r="K45" s="1706"/>
      <c r="L45" s="1695"/>
    </row>
    <row r="46" spans="1:12" ht="15.75">
      <c r="A46" s="60"/>
      <c r="D46" s="1444"/>
      <c r="E46" s="1444"/>
      <c r="G46" s="690"/>
      <c r="H46" s="1572" t="s">
        <v>1061</v>
      </c>
      <c r="I46" s="1600">
        <f>'Cash Flow'!C66</f>
        <v>26513123.376535617</v>
      </c>
      <c r="J46" s="1582" t="s">
        <v>1083</v>
      </c>
      <c r="K46" s="1583">
        <f>'Cash Flow'!C76</f>
        <v>6.0965936464488588E-3</v>
      </c>
      <c r="L46" s="1696"/>
    </row>
    <row r="47" spans="1:12" ht="16.5" thickBot="1">
      <c r="A47" s="696"/>
      <c r="C47" s="1443"/>
      <c r="D47" s="690"/>
      <c r="E47" s="690"/>
      <c r="G47" s="690"/>
      <c r="H47" s="1573" t="s">
        <v>1062</v>
      </c>
      <c r="I47" s="1601">
        <f>'Cash Flow'!C80</f>
        <v>7934630.9366366025</v>
      </c>
      <c r="J47" s="1584" t="s">
        <v>1098</v>
      </c>
      <c r="K47" s="1607">
        <f>'Cash Flow'!C70</f>
        <v>43216391.103753053</v>
      </c>
      <c r="L47" s="1696"/>
    </row>
    <row r="48" spans="1:12" ht="15.75" thickTop="1">
      <c r="A48" s="6"/>
      <c r="B48" s="696"/>
      <c r="C48" s="696"/>
      <c r="D48" s="690"/>
      <c r="E48" s="690"/>
      <c r="H48" s="1570" t="s">
        <v>1059</v>
      </c>
      <c r="I48" s="1602">
        <f>I46-H33</f>
        <v>-14934444.859056376</v>
      </c>
      <c r="J48" s="1697"/>
      <c r="K48" s="1698"/>
      <c r="L48" s="1696"/>
    </row>
    <row r="49" spans="1:12" ht="15.75">
      <c r="A49" s="696"/>
      <c r="B49" s="696"/>
      <c r="C49" s="696"/>
      <c r="D49" s="690"/>
      <c r="E49" s="690"/>
      <c r="F49" s="68"/>
      <c r="H49" s="1699"/>
      <c r="I49" s="1603"/>
      <c r="J49" s="707"/>
      <c r="K49" s="1698"/>
      <c r="L49" s="1696"/>
    </row>
    <row r="50" spans="1:12">
      <c r="A50" s="696"/>
      <c r="B50" s="696"/>
      <c r="C50" s="696"/>
      <c r="D50" s="690"/>
      <c r="E50" s="690"/>
      <c r="F50" s="692"/>
      <c r="H50" s="1699"/>
      <c r="I50" s="1698"/>
      <c r="J50" s="707"/>
      <c r="K50" s="1698"/>
      <c r="L50" s="1696"/>
    </row>
    <row r="51" spans="1:12">
      <c r="A51" s="6"/>
      <c r="B51" s="696"/>
      <c r="C51" s="696"/>
      <c r="D51" s="690"/>
      <c r="E51" s="690"/>
      <c r="F51" s="692"/>
      <c r="H51" s="1574" t="s">
        <v>1070</v>
      </c>
      <c r="I51" s="1604">
        <f>'Cash Flow'!H66</f>
        <v>4678786.4782121675</v>
      </c>
      <c r="J51" s="1585" t="s">
        <v>1083</v>
      </c>
      <c r="K51" s="1618">
        <f>'Cash Flow'!H76</f>
        <v>6.0965936464488224E-3</v>
      </c>
      <c r="L51" s="1696"/>
    </row>
    <row r="52" spans="1:12" ht="15.75" thickBot="1">
      <c r="A52" s="696"/>
      <c r="B52" s="696"/>
      <c r="C52" s="696"/>
      <c r="D52" s="690"/>
      <c r="E52" s="690"/>
      <c r="F52" s="708"/>
      <c r="H52" s="1576" t="s">
        <v>1071</v>
      </c>
      <c r="I52" s="1605">
        <f>H32</f>
        <v>7314276.7474574121</v>
      </c>
      <c r="J52" s="1584" t="s">
        <v>1097</v>
      </c>
      <c r="K52" s="1607">
        <f>'Cash Flow'!H70</f>
        <v>7626421.9594858326</v>
      </c>
      <c r="L52" s="1696"/>
    </row>
    <row r="53" spans="1:12" ht="15.75" thickTop="1">
      <c r="A53" s="696"/>
      <c r="B53" s="696"/>
      <c r="C53" s="696"/>
      <c r="D53" s="690"/>
      <c r="E53" s="690"/>
      <c r="F53" s="708"/>
      <c r="H53" s="1575" t="s">
        <v>1059</v>
      </c>
      <c r="I53" s="1606">
        <f>I51-I52</f>
        <v>-2635490.2692452446</v>
      </c>
      <c r="J53" s="690"/>
      <c r="L53" s="1696"/>
    </row>
    <row r="54" spans="1:12">
      <c r="A54" s="696"/>
      <c r="B54" s="696"/>
      <c r="C54" s="696"/>
      <c r="D54" s="690"/>
      <c r="E54" s="690"/>
      <c r="F54" s="692"/>
      <c r="H54" s="1699"/>
      <c r="I54" s="1698"/>
      <c r="J54" s="690"/>
      <c r="L54" s="1696"/>
    </row>
    <row r="55" spans="1:12">
      <c r="A55" s="696"/>
      <c r="B55" s="690"/>
      <c r="C55" s="690"/>
      <c r="D55" s="690"/>
      <c r="E55" s="690"/>
      <c r="F55" s="690"/>
      <c r="H55" s="1710" t="s">
        <v>1075</v>
      </c>
      <c r="I55" s="1711">
        <f>I48+I53</f>
        <v>-17569935.12830162</v>
      </c>
      <c r="J55" s="1712"/>
      <c r="K55" s="1703"/>
      <c r="L55" s="1704"/>
    </row>
    <row r="56" spans="1:12">
      <c r="A56" s="696"/>
      <c r="B56" s="696"/>
      <c r="C56" s="696"/>
      <c r="D56" s="690"/>
      <c r="E56" s="690"/>
      <c r="F56" s="695"/>
      <c r="J56" s="690"/>
    </row>
    <row r="57" spans="1:12">
      <c r="A57" s="6"/>
      <c r="B57" s="696"/>
      <c r="C57" s="696"/>
      <c r="D57" s="690"/>
      <c r="E57" s="690"/>
      <c r="F57" s="692"/>
      <c r="H57" s="1705" t="s">
        <v>1096</v>
      </c>
      <c r="I57" s="1706"/>
      <c r="J57" s="1707"/>
      <c r="K57" s="1706"/>
      <c r="L57" s="1708"/>
    </row>
    <row r="58" spans="1:12" ht="15.75">
      <c r="A58" s="696"/>
      <c r="B58" s="696"/>
      <c r="C58" s="696"/>
      <c r="D58" s="690"/>
      <c r="E58" s="690"/>
      <c r="F58" s="692"/>
      <c r="H58" s="1572" t="s">
        <v>1061</v>
      </c>
      <c r="I58" s="1600">
        <f>'Cash Flow'!C93</f>
        <v>39085135.528836265</v>
      </c>
      <c r="J58" s="1582" t="s">
        <v>1083</v>
      </c>
      <c r="K58" s="1583">
        <f>'Cash Flow'!C103</f>
        <v>5.3709309433731513E-2</v>
      </c>
      <c r="L58" s="1696"/>
    </row>
    <row r="59" spans="1:12" ht="16.5" thickBot="1">
      <c r="A59" s="696"/>
      <c r="B59" s="696"/>
      <c r="C59" s="696"/>
      <c r="D59" s="690"/>
      <c r="E59" s="690"/>
      <c r="F59" s="692"/>
      <c r="H59" s="1573" t="s">
        <v>1062</v>
      </c>
      <c r="I59" s="1601">
        <f>'Cash Flow'!C92</f>
        <v>0</v>
      </c>
      <c r="J59" s="1584" t="s">
        <v>1097</v>
      </c>
      <c r="K59" s="1607">
        <f>'Cash Flow'!C97</f>
        <v>63708770.912003107</v>
      </c>
      <c r="L59" s="1696"/>
    </row>
    <row r="60" spans="1:12" ht="15.75" thickTop="1">
      <c r="A60" s="696"/>
      <c r="B60" s="696"/>
      <c r="C60" s="696"/>
      <c r="D60" s="690"/>
      <c r="E60" s="690"/>
      <c r="F60" s="692"/>
      <c r="G60" s="703"/>
      <c r="H60" s="1570" t="s">
        <v>1059</v>
      </c>
      <c r="I60" s="1602">
        <f>I58-H33</f>
        <v>-2362432.7067557275</v>
      </c>
      <c r="J60" s="1697"/>
      <c r="K60" s="1698"/>
      <c r="L60" s="1696"/>
    </row>
    <row r="61" spans="1:12">
      <c r="A61" s="696"/>
      <c r="B61" s="696"/>
      <c r="C61" s="696"/>
      <c r="D61" s="690"/>
      <c r="E61" s="690"/>
      <c r="F61" s="709"/>
      <c r="G61" s="703"/>
      <c r="H61" s="1699"/>
      <c r="I61" s="1603"/>
      <c r="J61" s="707"/>
      <c r="K61" s="1698"/>
      <c r="L61" s="1696"/>
    </row>
    <row r="62" spans="1:12">
      <c r="A62" s="696"/>
      <c r="B62" s="696"/>
      <c r="C62" s="696"/>
      <c r="D62" s="690"/>
      <c r="E62" s="690"/>
      <c r="F62" s="692"/>
      <c r="G62" s="703"/>
      <c r="H62" s="1699"/>
      <c r="I62" s="1698"/>
      <c r="J62" s="707"/>
      <c r="K62" s="1698"/>
      <c r="L62" s="1696"/>
    </row>
    <row r="63" spans="1:12">
      <c r="A63" s="696"/>
      <c r="B63" s="696"/>
      <c r="C63" s="696"/>
      <c r="D63" s="690"/>
      <c r="E63" s="690"/>
      <c r="F63" s="692"/>
      <c r="G63" s="703"/>
      <c r="H63" s="1574" t="s">
        <v>1070</v>
      </c>
      <c r="I63" s="1604">
        <f>'Cash Flow'!H93</f>
        <v>5299563.1337832846</v>
      </c>
      <c r="J63" s="1585" t="s">
        <v>1083</v>
      </c>
      <c r="K63" s="1618">
        <f>'Cash Flow'!H103</f>
        <v>1.8101737277983004E-2</v>
      </c>
      <c r="L63" s="1696"/>
    </row>
    <row r="64" spans="1:12" ht="15.75" thickBot="1">
      <c r="A64" s="696"/>
      <c r="B64" s="696"/>
      <c r="C64" s="696"/>
      <c r="D64" s="690"/>
      <c r="E64" s="690"/>
      <c r="F64" s="692"/>
      <c r="G64" s="703"/>
      <c r="H64" s="1576" t="s">
        <v>1071</v>
      </c>
      <c r="I64" s="1605">
        <f>H32</f>
        <v>7314276.7474574121</v>
      </c>
      <c r="J64" s="1584" t="s">
        <v>1097</v>
      </c>
      <c r="K64" s="1607">
        <f>'Cash Flow'!H97</f>
        <v>8638287.9080667533</v>
      </c>
      <c r="L64" s="1696"/>
    </row>
    <row r="65" spans="1:14" ht="15.75" thickTop="1">
      <c r="A65" s="696"/>
      <c r="B65" s="696"/>
      <c r="C65" s="696"/>
      <c r="D65" s="690"/>
      <c r="E65" s="690"/>
      <c r="F65" s="692"/>
      <c r="G65" s="703"/>
      <c r="H65" s="1575" t="s">
        <v>1059</v>
      </c>
      <c r="I65" s="1606">
        <f>I63-I64</f>
        <v>-2014713.6136741275</v>
      </c>
      <c r="J65" s="690"/>
      <c r="L65" s="1696"/>
    </row>
    <row r="66" spans="1:14">
      <c r="A66" s="696"/>
      <c r="B66" s="696"/>
      <c r="C66" s="696"/>
      <c r="D66" s="690"/>
      <c r="E66" s="690"/>
      <c r="F66" s="692"/>
      <c r="G66" s="703"/>
      <c r="H66" s="1699"/>
      <c r="I66" s="1698"/>
      <c r="J66" s="690"/>
      <c r="L66" s="1696"/>
    </row>
    <row r="67" spans="1:14">
      <c r="A67" s="6"/>
      <c r="B67" s="696"/>
      <c r="C67" s="696"/>
      <c r="D67" s="690"/>
      <c r="E67" s="690"/>
      <c r="F67" s="692"/>
      <c r="G67" s="703"/>
      <c r="H67" s="1700" t="s">
        <v>1075</v>
      </c>
      <c r="I67" s="1701">
        <f>I60+I65</f>
        <v>-4377146.320429855</v>
      </c>
      <c r="J67" s="690"/>
      <c r="L67" s="1696"/>
    </row>
    <row r="68" spans="1:14">
      <c r="A68" s="696"/>
      <c r="B68" s="696"/>
      <c r="C68" s="696"/>
      <c r="D68" s="690"/>
      <c r="E68" s="690"/>
      <c r="F68" s="709"/>
      <c r="G68" s="703"/>
      <c r="H68" s="1702"/>
      <c r="I68" s="1703"/>
      <c r="J68" s="1703"/>
      <c r="K68" s="1703"/>
      <c r="L68" s="1704"/>
    </row>
    <row r="69" spans="1:14">
      <c r="A69" s="696"/>
      <c r="B69" s="696"/>
      <c r="C69" s="696"/>
      <c r="D69" s="690"/>
      <c r="E69" s="690"/>
      <c r="F69" s="692"/>
      <c r="G69" s="703"/>
      <c r="H69" s="703"/>
    </row>
    <row r="70" spans="1:14">
      <c r="A70" s="696"/>
      <c r="B70" s="696"/>
      <c r="C70" s="696"/>
      <c r="D70" s="690"/>
      <c r="E70" s="690"/>
      <c r="F70" s="692"/>
      <c r="G70" s="690"/>
      <c r="H70" s="703"/>
    </row>
    <row r="71" spans="1:14">
      <c r="A71" s="6"/>
      <c r="B71" s="690"/>
      <c r="C71" s="690"/>
      <c r="D71" s="690"/>
      <c r="E71" s="690"/>
      <c r="F71" s="690"/>
      <c r="G71" s="703"/>
      <c r="H71" s="703"/>
    </row>
    <row r="72" spans="1:14">
      <c r="A72" s="696"/>
      <c r="B72" s="696"/>
      <c r="C72" s="696"/>
      <c r="D72" s="690"/>
      <c r="E72" s="690"/>
      <c r="F72" s="692"/>
      <c r="G72" s="703"/>
      <c r="H72" s="703"/>
    </row>
    <row r="73" spans="1:14">
      <c r="A73" s="696"/>
      <c r="B73" s="696"/>
      <c r="C73" s="696"/>
      <c r="D73" s="690"/>
      <c r="E73" s="690"/>
      <c r="F73" s="692"/>
      <c r="G73" s="703"/>
      <c r="H73" s="703"/>
    </row>
    <row r="74" spans="1:14">
      <c r="A74" s="696"/>
      <c r="B74" s="696"/>
      <c r="C74" s="696"/>
      <c r="D74" s="690"/>
      <c r="E74" s="690"/>
      <c r="F74" s="692"/>
      <c r="G74" s="703"/>
      <c r="H74" s="703"/>
    </row>
    <row r="75" spans="1:14">
      <c r="A75" s="696"/>
      <c r="B75" s="696"/>
      <c r="C75" s="696"/>
      <c r="D75" s="690"/>
      <c r="E75" s="690"/>
      <c r="F75" s="692"/>
      <c r="G75" s="703"/>
      <c r="H75" s="703"/>
      <c r="I75" s="690"/>
      <c r="J75" s="690"/>
      <c r="K75" s="690"/>
      <c r="L75" s="690"/>
      <c r="M75" s="690"/>
      <c r="N75" s="690"/>
    </row>
    <row r="76" spans="1:14">
      <c r="A76" s="696"/>
      <c r="B76" s="696"/>
      <c r="C76" s="696"/>
      <c r="D76" s="690"/>
      <c r="E76" s="690"/>
      <c r="F76" s="692"/>
      <c r="G76" s="703"/>
      <c r="H76" s="703"/>
      <c r="I76" s="690"/>
      <c r="J76" s="690"/>
      <c r="K76" s="690"/>
      <c r="L76" s="690"/>
      <c r="M76" s="690"/>
      <c r="N76" s="690"/>
    </row>
    <row r="77" spans="1:14">
      <c r="A77" s="6"/>
      <c r="B77" s="696"/>
      <c r="C77" s="696"/>
      <c r="D77" s="690"/>
      <c r="E77" s="690"/>
      <c r="F77" s="692"/>
      <c r="G77" s="700"/>
      <c r="H77" s="700"/>
      <c r="I77" s="690"/>
      <c r="J77" s="690"/>
      <c r="K77" s="690"/>
      <c r="L77" s="690"/>
      <c r="M77" s="690"/>
      <c r="N77" s="690"/>
    </row>
    <row r="78" spans="1:14">
      <c r="A78" s="6"/>
      <c r="B78" s="701"/>
      <c r="C78" s="701"/>
      <c r="D78" s="690"/>
      <c r="E78" s="690"/>
      <c r="F78" s="710"/>
      <c r="G78" s="703"/>
      <c r="H78" s="703"/>
      <c r="I78" s="690"/>
      <c r="J78" s="690"/>
      <c r="K78" s="690"/>
      <c r="L78" s="690"/>
      <c r="M78" s="690"/>
      <c r="N78" s="690"/>
    </row>
    <row r="79" spans="1:14">
      <c r="A79" s="6"/>
      <c r="B79" s="701"/>
      <c r="C79" s="701"/>
      <c r="D79" s="690"/>
      <c r="E79" s="690"/>
      <c r="F79" s="22"/>
      <c r="G79" s="714"/>
      <c r="H79" s="714"/>
      <c r="I79" s="690"/>
      <c r="J79" s="690"/>
      <c r="K79" s="690"/>
      <c r="L79" s="690"/>
      <c r="M79" s="690"/>
      <c r="N79" s="690"/>
    </row>
    <row r="80" spans="1:14" s="15" customFormat="1">
      <c r="A80" s="711"/>
      <c r="B80" s="712"/>
      <c r="C80" s="712"/>
      <c r="D80" s="712"/>
      <c r="E80" s="712"/>
      <c r="F80" s="713"/>
      <c r="G80" s="8"/>
      <c r="H80" s="8"/>
      <c r="I80" s="715"/>
      <c r="J80" s="23"/>
      <c r="K80" s="23"/>
      <c r="L80" s="23"/>
      <c r="M80" s="715"/>
      <c r="N80" s="715"/>
    </row>
    <row r="81" spans="1:14">
      <c r="A81" s="5"/>
      <c r="B81" s="5"/>
      <c r="C81" s="5"/>
      <c r="D81" s="6"/>
      <c r="E81" s="6"/>
      <c r="F81" s="24"/>
      <c r="G81" s="718"/>
      <c r="H81" s="693"/>
      <c r="I81" s="690"/>
      <c r="J81" s="1"/>
      <c r="K81" s="1"/>
      <c r="L81" s="1"/>
      <c r="M81" s="690"/>
      <c r="N81" s="690"/>
    </row>
    <row r="82" spans="1:14">
      <c r="A82" s="701"/>
      <c r="B82" s="701"/>
      <c r="C82" s="701"/>
      <c r="D82" s="716"/>
      <c r="E82" s="716"/>
      <c r="F82" s="717"/>
      <c r="G82" s="27"/>
      <c r="H82" s="28"/>
      <c r="I82" s="690"/>
      <c r="J82" s="1"/>
      <c r="K82" s="1"/>
      <c r="L82" s="1"/>
      <c r="M82" s="690"/>
      <c r="N82" s="690"/>
    </row>
    <row r="83" spans="1:14">
      <c r="A83" s="26"/>
      <c r="B83" s="26"/>
      <c r="C83" s="26"/>
      <c r="D83" s="26"/>
      <c r="E83" s="26"/>
      <c r="F83" s="26"/>
      <c r="G83" s="690"/>
      <c r="H83" s="690"/>
      <c r="I83" s="690"/>
      <c r="J83" s="1"/>
      <c r="K83" s="1"/>
      <c r="L83" s="1"/>
      <c r="M83" s="690"/>
      <c r="N83" s="690"/>
    </row>
    <row r="84" spans="1:14">
      <c r="A84" s="3"/>
      <c r="B84" s="690"/>
      <c r="C84" s="690"/>
      <c r="D84" s="690"/>
      <c r="E84" s="690"/>
      <c r="F84" s="690"/>
      <c r="G84" s="693"/>
      <c r="H84" s="719"/>
      <c r="I84" s="690"/>
      <c r="J84" s="1"/>
      <c r="K84" s="1"/>
      <c r="L84" s="1"/>
      <c r="M84" s="690"/>
      <c r="N84" s="690"/>
    </row>
    <row r="85" spans="1:14">
      <c r="A85" s="693"/>
      <c r="B85" s="693"/>
      <c r="C85" s="693"/>
      <c r="D85" s="719"/>
      <c r="E85" s="719"/>
      <c r="F85" s="720"/>
      <c r="G85" s="693"/>
      <c r="H85" s="719"/>
      <c r="I85" s="690"/>
      <c r="J85" s="26"/>
      <c r="K85" s="1"/>
      <c r="L85" s="1"/>
      <c r="M85" s="690"/>
      <c r="N85" s="690"/>
    </row>
    <row r="86" spans="1:14">
      <c r="A86" s="693"/>
      <c r="B86" s="693"/>
      <c r="C86" s="693"/>
      <c r="D86" s="719"/>
      <c r="E86" s="719"/>
      <c r="F86" s="720"/>
      <c r="G86" s="690"/>
      <c r="H86" s="723"/>
      <c r="I86" s="690"/>
      <c r="J86" s="1"/>
      <c r="K86" s="1"/>
      <c r="L86" s="1"/>
      <c r="M86" s="690"/>
      <c r="N86" s="690"/>
    </row>
    <row r="87" spans="1:14">
      <c r="A87" s="693"/>
      <c r="B87" s="693"/>
      <c r="C87" s="693"/>
      <c r="D87" s="721"/>
      <c r="E87" s="721"/>
      <c r="F87" s="722"/>
      <c r="G87" s="693"/>
      <c r="H87" s="690"/>
      <c r="I87" s="690"/>
      <c r="J87" s="1"/>
      <c r="K87" s="1"/>
      <c r="L87" s="1"/>
      <c r="M87" s="690"/>
      <c r="N87" s="690"/>
    </row>
    <row r="88" spans="1:14">
      <c r="A88" s="693"/>
      <c r="B88" s="693"/>
      <c r="C88" s="693"/>
      <c r="D88" s="690"/>
      <c r="E88" s="690"/>
      <c r="F88" s="724"/>
      <c r="G88" s="7"/>
      <c r="H88" s="7"/>
      <c r="I88" s="690"/>
      <c r="J88" s="1"/>
      <c r="K88" s="1"/>
      <c r="L88" s="1"/>
      <c r="M88" s="690"/>
      <c r="N88" s="690"/>
    </row>
    <row r="89" spans="1:14">
      <c r="A89" s="5"/>
      <c r="B89" s="5"/>
      <c r="C89" s="5"/>
      <c r="D89" s="6"/>
      <c r="E89" s="6"/>
      <c r="F89" s="6"/>
      <c r="G89" s="718"/>
      <c r="H89" s="693"/>
      <c r="I89" s="690"/>
      <c r="J89" s="9"/>
      <c r="K89" s="10"/>
      <c r="L89" s="10"/>
      <c r="M89" s="11"/>
      <c r="N89" s="12"/>
    </row>
    <row r="90" spans="1:14">
      <c r="A90" s="701"/>
      <c r="B90" s="701"/>
      <c r="C90" s="701"/>
      <c r="D90" s="716"/>
      <c r="E90" s="716"/>
      <c r="F90" s="717"/>
      <c r="G90" s="27"/>
      <c r="H90" s="26"/>
      <c r="I90" s="690"/>
      <c r="J90" s="1"/>
      <c r="K90" s="1"/>
      <c r="L90" s="1"/>
      <c r="M90" s="690"/>
      <c r="N90" s="690"/>
    </row>
    <row r="91" spans="1:14">
      <c r="A91" s="26"/>
      <c r="B91" s="26"/>
      <c r="C91" s="26"/>
      <c r="D91" s="26"/>
      <c r="E91" s="26"/>
      <c r="F91" s="26"/>
      <c r="G91" s="718"/>
      <c r="H91" s="718"/>
      <c r="I91" s="690"/>
      <c r="J91" s="1"/>
      <c r="K91" s="1"/>
      <c r="L91" s="1"/>
      <c r="M91" s="690"/>
      <c r="N91" s="690"/>
    </row>
    <row r="92" spans="1:14">
      <c r="A92" s="701"/>
      <c r="B92" s="701"/>
      <c r="C92" s="701"/>
      <c r="D92" s="716"/>
      <c r="E92" s="716"/>
      <c r="F92" s="710"/>
      <c r="G92" s="718"/>
      <c r="H92" s="705"/>
      <c r="I92" s="690"/>
      <c r="J92" s="1"/>
      <c r="K92" s="1"/>
      <c r="L92" s="1"/>
      <c r="M92" s="690"/>
      <c r="N92" s="690"/>
    </row>
    <row r="93" spans="1:14">
      <c r="A93" s="701"/>
      <c r="B93" s="701"/>
      <c r="C93" s="701"/>
      <c r="D93" s="716"/>
      <c r="E93" s="716"/>
      <c r="F93" s="716"/>
      <c r="G93" s="718"/>
      <c r="H93" s="718"/>
      <c r="I93" s="690"/>
      <c r="J93" s="1"/>
      <c r="K93" s="1"/>
      <c r="L93" s="1"/>
      <c r="M93" s="29"/>
      <c r="N93" s="12"/>
    </row>
    <row r="94" spans="1:14">
      <c r="A94" s="701"/>
      <c r="B94" s="701"/>
      <c r="C94" s="701"/>
      <c r="D94" s="716"/>
      <c r="E94" s="716"/>
      <c r="F94" s="710"/>
      <c r="G94" s="718"/>
      <c r="H94" s="718"/>
      <c r="I94" s="690"/>
      <c r="J94" s="30"/>
      <c r="K94" s="1"/>
      <c r="L94" s="30"/>
      <c r="M94" s="690"/>
      <c r="N94" s="690"/>
    </row>
    <row r="95" spans="1:14">
      <c r="A95" s="701"/>
      <c r="B95" s="701"/>
      <c r="C95" s="701"/>
      <c r="D95" s="718"/>
      <c r="E95" s="718"/>
      <c r="F95" s="710"/>
      <c r="G95" s="718"/>
      <c r="H95" s="718"/>
      <c r="I95" s="690"/>
      <c r="J95" s="30"/>
      <c r="K95" s="1"/>
      <c r="L95" s="30"/>
      <c r="M95" s="690"/>
      <c r="N95" s="690"/>
    </row>
    <row r="96" spans="1:14">
      <c r="A96" s="701"/>
      <c r="B96" s="701"/>
      <c r="C96" s="701"/>
      <c r="D96" s="716"/>
      <c r="E96" s="716"/>
      <c r="F96" s="710"/>
      <c r="G96" s="8"/>
      <c r="H96" s="8"/>
      <c r="I96" s="690"/>
      <c r="J96" s="9"/>
      <c r="K96" s="9"/>
      <c r="L96" s="9"/>
      <c r="M96" s="690"/>
      <c r="N96" s="690"/>
    </row>
    <row r="97" spans="1:14">
      <c r="A97" s="5"/>
      <c r="B97" s="5"/>
      <c r="C97" s="5"/>
      <c r="D97" s="6"/>
      <c r="E97" s="6"/>
      <c r="F97" s="6"/>
      <c r="G97" s="718"/>
      <c r="H97" s="693"/>
      <c r="I97" s="690"/>
      <c r="J97" s="9"/>
      <c r="K97" s="10"/>
      <c r="L97" s="10"/>
      <c r="M97" s="11"/>
      <c r="N97" s="12"/>
    </row>
    <row r="98" spans="1:14">
      <c r="A98" s="701"/>
      <c r="B98" s="701"/>
      <c r="C98" s="701"/>
      <c r="D98" s="716"/>
      <c r="E98" s="716"/>
      <c r="F98" s="717"/>
      <c r="G98" s="27"/>
      <c r="H98" s="26"/>
      <c r="I98" s="690"/>
      <c r="J98" s="1"/>
      <c r="K98" s="1"/>
      <c r="L98" s="1"/>
      <c r="M98" s="690"/>
      <c r="N98" s="690"/>
    </row>
    <row r="99" spans="1:14">
      <c r="A99" s="26"/>
      <c r="B99" s="26"/>
      <c r="C99" s="26"/>
      <c r="D99" s="26"/>
      <c r="E99" s="26"/>
      <c r="F99" s="26"/>
      <c r="G99" s="717"/>
      <c r="H99" s="717"/>
      <c r="I99" s="690"/>
      <c r="J99" s="1"/>
      <c r="K99" s="1"/>
      <c r="L99" s="1"/>
      <c r="M99" s="690"/>
      <c r="N99" s="690"/>
    </row>
    <row r="100" spans="1:14">
      <c r="A100" s="701"/>
      <c r="B100" s="701"/>
      <c r="C100" s="701"/>
      <c r="D100" s="716"/>
      <c r="E100" s="716"/>
      <c r="F100" s="717"/>
      <c r="G100" s="717"/>
      <c r="H100" s="717"/>
      <c r="I100" s="31"/>
      <c r="J100" s="31"/>
      <c r="K100" s="1"/>
      <c r="L100" s="1"/>
      <c r="M100" s="690"/>
      <c r="N100" s="690"/>
    </row>
    <row r="101" spans="1:14">
      <c r="A101" s="701"/>
      <c r="B101" s="701"/>
      <c r="C101" s="701"/>
      <c r="D101" s="716"/>
      <c r="E101" s="716"/>
      <c r="F101" s="717"/>
      <c r="G101" s="709"/>
      <c r="H101" s="726"/>
      <c r="I101" s="31"/>
      <c r="J101" s="31"/>
      <c r="K101" s="1"/>
      <c r="L101" s="1"/>
      <c r="M101" s="690"/>
      <c r="N101" s="690"/>
    </row>
    <row r="102" spans="1:14">
      <c r="A102" s="701"/>
      <c r="B102" s="702"/>
      <c r="C102" s="702"/>
      <c r="D102" s="709"/>
      <c r="E102" s="709"/>
      <c r="F102" s="725"/>
      <c r="G102" s="717"/>
      <c r="H102" s="717"/>
      <c r="I102" s="31"/>
      <c r="J102" s="12"/>
      <c r="K102" s="9"/>
      <c r="L102" s="9"/>
      <c r="M102" s="29"/>
      <c r="N102" s="12"/>
    </row>
    <row r="103" spans="1:14">
      <c r="A103" s="701"/>
      <c r="B103" s="701"/>
      <c r="C103" s="701"/>
      <c r="D103" s="716"/>
      <c r="E103" s="716"/>
      <c r="F103" s="710"/>
      <c r="G103" s="717"/>
      <c r="H103" s="717"/>
      <c r="I103" s="31"/>
      <c r="J103" s="12"/>
      <c r="K103" s="9"/>
      <c r="L103" s="9"/>
      <c r="M103" s="29"/>
      <c r="N103" s="12"/>
    </row>
    <row r="104" spans="1:14">
      <c r="A104" s="701"/>
      <c r="B104" s="701"/>
      <c r="C104" s="701"/>
      <c r="D104" s="716"/>
      <c r="E104" s="716"/>
      <c r="F104" s="710"/>
      <c r="G104" s="717"/>
      <c r="H104" s="717"/>
      <c r="I104" s="31"/>
      <c r="J104" s="31"/>
      <c r="K104" s="1"/>
      <c r="L104" s="1"/>
      <c r="M104" s="690"/>
      <c r="N104" s="690"/>
    </row>
    <row r="105" spans="1:14">
      <c r="A105" s="701"/>
      <c r="B105" s="701"/>
      <c r="C105" s="701"/>
      <c r="D105" s="717"/>
      <c r="E105" s="717"/>
      <c r="F105" s="710"/>
      <c r="G105" s="718"/>
      <c r="H105" s="718"/>
      <c r="I105" s="31"/>
      <c r="J105" s="31"/>
      <c r="K105" s="1"/>
      <c r="L105" s="1"/>
      <c r="M105" s="690"/>
      <c r="N105" s="690"/>
    </row>
    <row r="106" spans="1:14">
      <c r="A106" s="701"/>
      <c r="B106" s="701"/>
      <c r="C106" s="701"/>
      <c r="D106" s="716"/>
      <c r="E106" s="716"/>
      <c r="F106" s="710"/>
      <c r="G106" s="8"/>
      <c r="H106" s="8"/>
      <c r="I106" s="31"/>
      <c r="J106" s="13"/>
      <c r="K106" s="1"/>
      <c r="L106" s="1"/>
      <c r="M106" s="690"/>
      <c r="N106" s="690"/>
    </row>
    <row r="107" spans="1:14">
      <c r="A107" s="5"/>
      <c r="B107" s="5"/>
      <c r="C107" s="5"/>
      <c r="D107" s="6"/>
      <c r="E107" s="6"/>
      <c r="F107" s="6"/>
      <c r="G107" s="3"/>
      <c r="H107" s="3"/>
      <c r="I107" s="690"/>
      <c r="J107" s="14"/>
      <c r="K107" s="10"/>
      <c r="L107" s="10"/>
      <c r="M107" s="11"/>
      <c r="N107" s="12"/>
    </row>
    <row r="108" spans="1:14">
      <c r="A108" s="6"/>
      <c r="B108" s="6"/>
      <c r="C108" s="6"/>
      <c r="D108" s="3"/>
      <c r="E108" s="3"/>
      <c r="F108" s="3"/>
      <c r="G108" s="28"/>
      <c r="H108" s="28"/>
      <c r="I108" s="690"/>
      <c r="J108" s="9"/>
      <c r="K108" s="10"/>
      <c r="L108" s="10"/>
      <c r="M108" s="11"/>
      <c r="N108" s="12"/>
    </row>
    <row r="109" spans="1:14">
      <c r="A109" s="26"/>
      <c r="B109" s="26"/>
      <c r="C109" s="26"/>
      <c r="D109" s="26"/>
      <c r="E109" s="26"/>
      <c r="F109" s="26"/>
      <c r="G109" s="690"/>
      <c r="H109" s="715"/>
      <c r="I109" s="690"/>
      <c r="J109" s="690"/>
      <c r="K109" s="690"/>
      <c r="L109" s="690"/>
      <c r="M109" s="690"/>
      <c r="N109" s="690"/>
    </row>
    <row r="110" spans="1:14">
      <c r="A110" s="701"/>
      <c r="B110" s="701"/>
      <c r="C110" s="701"/>
      <c r="D110" s="690"/>
      <c r="E110" s="690"/>
      <c r="F110" s="690"/>
      <c r="G110" s="16"/>
      <c r="H110" s="715"/>
      <c r="I110" s="690"/>
      <c r="J110" s="12"/>
      <c r="K110" s="32"/>
      <c r="L110" s="12"/>
      <c r="M110" s="29"/>
      <c r="N110" s="12"/>
    </row>
    <row r="111" spans="1:14" s="15" customFormat="1">
      <c r="A111" s="727"/>
      <c r="B111" s="711"/>
      <c r="C111" s="711"/>
      <c r="D111" s="715"/>
      <c r="E111" s="715"/>
      <c r="F111" s="715"/>
      <c r="G111" s="715"/>
      <c r="H111" s="715"/>
      <c r="I111" s="715"/>
      <c r="J111" s="17"/>
      <c r="K111" s="18"/>
      <c r="L111" s="19"/>
      <c r="M111" s="20"/>
      <c r="N111" s="19"/>
    </row>
    <row r="112" spans="1:14" s="15" customFormat="1">
      <c r="A112" s="727"/>
      <c r="B112" s="711"/>
      <c r="C112" s="711"/>
      <c r="D112" s="715"/>
      <c r="E112" s="715"/>
      <c r="F112" s="715"/>
      <c r="G112" s="715"/>
      <c r="H112" s="715"/>
      <c r="I112" s="715"/>
      <c r="J112" s="19"/>
      <c r="K112" s="18"/>
      <c r="L112" s="19"/>
      <c r="M112" s="20"/>
      <c r="N112" s="19"/>
    </row>
    <row r="113" spans="1:14" s="15" customFormat="1">
      <c r="A113" s="727"/>
      <c r="B113" s="711"/>
      <c r="C113" s="711"/>
      <c r="D113" s="715"/>
      <c r="E113" s="715"/>
      <c r="F113" s="715"/>
      <c r="G113" s="690"/>
      <c r="H113" s="715"/>
      <c r="I113" s="715"/>
      <c r="J113" s="19"/>
      <c r="K113" s="18"/>
      <c r="L113" s="19"/>
      <c r="M113" s="20"/>
      <c r="N113" s="19"/>
    </row>
    <row r="114" spans="1:14">
      <c r="A114" s="690"/>
      <c r="B114" s="690"/>
      <c r="C114" s="690"/>
      <c r="D114" s="690"/>
      <c r="E114" s="690"/>
      <c r="F114" s="690"/>
      <c r="G114" s="715"/>
      <c r="H114" s="715"/>
      <c r="I114" s="690"/>
      <c r="J114" s="690"/>
      <c r="K114" s="690"/>
      <c r="L114" s="690"/>
      <c r="M114" s="690"/>
      <c r="N114" s="690"/>
    </row>
    <row r="115" spans="1:14" s="15" customFormat="1">
      <c r="A115" s="727"/>
      <c r="B115" s="711"/>
      <c r="C115" s="711"/>
      <c r="D115" s="715"/>
      <c r="E115" s="715"/>
      <c r="F115" s="715"/>
      <c r="G115" s="690"/>
      <c r="H115" s="690"/>
      <c r="I115" s="715"/>
      <c r="J115" s="19"/>
      <c r="K115" s="18"/>
      <c r="L115" s="19"/>
      <c r="M115" s="20"/>
      <c r="N115" s="19"/>
    </row>
    <row r="116" spans="1:14">
      <c r="A116" s="690"/>
      <c r="B116" s="690"/>
      <c r="C116" s="690"/>
      <c r="D116" s="690"/>
      <c r="E116" s="690"/>
      <c r="F116" s="690"/>
      <c r="I116" s="690"/>
      <c r="J116" s="12"/>
      <c r="K116" s="12"/>
      <c r="L116" s="12"/>
      <c r="M116" s="11"/>
      <c r="N116" s="12"/>
    </row>
    <row r="117" spans="1:14">
      <c r="G117" s="690"/>
      <c r="H117" s="1"/>
    </row>
    <row r="118" spans="1:14">
      <c r="A118" s="690"/>
      <c r="B118" s="690"/>
      <c r="C118" s="690"/>
      <c r="D118" s="690"/>
      <c r="E118" s="690"/>
      <c r="F118" s="690"/>
      <c r="G118" s="690"/>
      <c r="H118" s="21"/>
      <c r="I118" s="690"/>
      <c r="J118" s="690"/>
      <c r="K118" s="690"/>
      <c r="L118" s="690"/>
      <c r="M118" s="690"/>
      <c r="N118" s="690"/>
    </row>
    <row r="119" spans="1:14">
      <c r="A119" s="690"/>
      <c r="B119" s="690"/>
      <c r="C119" s="690"/>
      <c r="D119" s="690"/>
      <c r="E119" s="690"/>
      <c r="F119" s="690"/>
      <c r="G119" s="690"/>
      <c r="H119" s="14"/>
      <c r="I119" s="690"/>
      <c r="J119" s="690"/>
      <c r="K119" s="690"/>
      <c r="L119" s="690"/>
      <c r="M119" s="690"/>
      <c r="N119" s="690"/>
    </row>
    <row r="120" spans="1:14">
      <c r="A120" s="690"/>
      <c r="B120" s="690"/>
      <c r="C120" s="690"/>
      <c r="D120" s="690"/>
      <c r="E120" s="690"/>
      <c r="F120" s="690"/>
      <c r="I120" s="690"/>
      <c r="J120" s="690"/>
      <c r="K120" s="690"/>
      <c r="L120" s="690"/>
      <c r="M120" s="690"/>
      <c r="N120" s="690"/>
    </row>
  </sheetData>
  <conditionalFormatting sqref="D32">
    <cfRule type="colorScale" priority="8">
      <colorScale>
        <cfvo type="num" val="-1"/>
        <cfvo type="num" val="1"/>
        <color rgb="FFFFA3A3"/>
        <color theme="9" tint="0.59999389629810485"/>
      </colorScale>
    </cfRule>
  </conditionalFormatting>
  <conditionalFormatting sqref="D41">
    <cfRule type="colorScale" priority="9">
      <colorScale>
        <cfvo type="num" val="-1"/>
        <cfvo type="num" val="1"/>
        <color rgb="FFFFA3A3"/>
        <color theme="9" tint="0.59999389629810485"/>
      </colorScale>
    </cfRule>
  </conditionalFormatting>
  <conditionalFormatting sqref="I48">
    <cfRule type="colorScale" priority="6">
      <colorScale>
        <cfvo type="num" val="-1"/>
        <cfvo type="num" val="1"/>
        <color rgb="FFFFA3A3"/>
        <color theme="9" tint="0.59999389629810485"/>
      </colorScale>
    </cfRule>
  </conditionalFormatting>
  <conditionalFormatting sqref="I53">
    <cfRule type="colorScale" priority="5">
      <colorScale>
        <cfvo type="num" val="-1"/>
        <cfvo type="num" val="1"/>
        <color rgb="FFFFA3A3"/>
        <color theme="9" tint="0.59999389629810485"/>
      </colorScale>
    </cfRule>
  </conditionalFormatting>
  <conditionalFormatting sqref="I55">
    <cfRule type="colorScale" priority="4">
      <colorScale>
        <cfvo type="num" val="-1"/>
        <cfvo type="num" val="1"/>
        <color rgb="FFFFA3A3"/>
        <color theme="9" tint="0.59999389629810485"/>
      </colorScale>
    </cfRule>
  </conditionalFormatting>
  <conditionalFormatting sqref="I60">
    <cfRule type="colorScale" priority="3">
      <colorScale>
        <cfvo type="num" val="-1"/>
        <cfvo type="num" val="1"/>
        <color rgb="FFFFA3A3"/>
        <color theme="9" tint="0.59999389629810485"/>
      </colorScale>
    </cfRule>
  </conditionalFormatting>
  <conditionalFormatting sqref="I65">
    <cfRule type="colorScale" priority="2">
      <colorScale>
        <cfvo type="num" val="-1"/>
        <cfvo type="num" val="1"/>
        <color rgb="FFFFA3A3"/>
        <color theme="9" tint="0.59999389629810485"/>
      </colorScale>
    </cfRule>
  </conditionalFormatting>
  <conditionalFormatting sqref="I67">
    <cfRule type="colorScale" priority="1">
      <colorScale>
        <cfvo type="num" val="-1"/>
        <cfvo type="num" val="1"/>
        <color rgb="FFFFA3A3"/>
        <color theme="9" tint="0.59999389629810485"/>
      </colorScale>
    </cfRule>
  </conditionalFormatting>
  <pageMargins left="0.7" right="0.7" top="0.75" bottom="0.75" header="0.3" footer="0.3"/>
  <pageSetup scale="92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V267"/>
  <sheetViews>
    <sheetView tabSelected="1" topLeftCell="A5" zoomScale="130" zoomScaleNormal="130" workbookViewId="0">
      <selection activeCell="P26" sqref="P26"/>
    </sheetView>
  </sheetViews>
  <sheetFormatPr defaultColWidth="8" defaultRowHeight="13.5" outlineLevelRow="1"/>
  <cols>
    <col min="1" max="2" width="1.5" style="201" customWidth="1"/>
    <col min="3" max="3" width="11.875" style="201" customWidth="1"/>
    <col min="4" max="4" width="7.75" style="201" customWidth="1"/>
    <col min="5" max="5" width="9.25" style="201" customWidth="1"/>
    <col min="6" max="6" width="2.375" style="201" customWidth="1"/>
    <col min="7" max="8" width="8.75" style="201" customWidth="1"/>
    <col min="9" max="9" width="9.75" style="201" customWidth="1"/>
    <col min="10" max="10" width="9.875" style="201" customWidth="1"/>
    <col min="11" max="11" width="9.75" style="201" customWidth="1"/>
    <col min="12" max="12" width="11.75" style="201" customWidth="1"/>
    <col min="13" max="13" width="10.125" style="201" bestFit="1" customWidth="1"/>
    <col min="14" max="14" width="8" style="201"/>
    <col min="15" max="15" width="9.125" style="201" customWidth="1"/>
    <col min="16" max="16" width="9.625" style="201" bestFit="1" customWidth="1"/>
    <col min="17" max="18" width="8" style="201"/>
    <col min="19" max="19" width="9" style="201" customWidth="1"/>
    <col min="20" max="16384" width="8" style="201"/>
  </cols>
  <sheetData>
    <row r="2" spans="2:19" ht="33">
      <c r="B2" s="262"/>
      <c r="C2" s="263" t="s">
        <v>1001</v>
      </c>
      <c r="D2" s="264"/>
      <c r="E2" s="265"/>
      <c r="F2" s="265"/>
      <c r="G2" s="265"/>
      <c r="H2" s="265"/>
      <c r="I2" s="266"/>
      <c r="J2" s="266"/>
      <c r="K2" s="267"/>
    </row>
    <row r="3" spans="2:19" ht="9" customHeight="1">
      <c r="B3" s="268"/>
      <c r="K3" s="226"/>
    </row>
    <row r="4" spans="2:19" ht="10.5" customHeight="1">
      <c r="B4" s="269"/>
      <c r="C4" s="247"/>
      <c r="D4" s="247"/>
      <c r="E4" s="247"/>
      <c r="F4" s="202"/>
      <c r="G4" s="247"/>
      <c r="H4" s="247"/>
      <c r="I4" s="247"/>
      <c r="J4" s="247"/>
      <c r="K4" s="270"/>
    </row>
    <row r="5" spans="2:19">
      <c r="B5" s="269"/>
      <c r="C5" s="271" t="s">
        <v>34</v>
      </c>
      <c r="D5" s="247"/>
      <c r="E5" s="272"/>
      <c r="F5" s="202"/>
      <c r="G5" s="273" t="s">
        <v>35</v>
      </c>
      <c r="H5" s="247"/>
      <c r="I5" s="247"/>
      <c r="J5" s="247"/>
      <c r="K5" s="270"/>
      <c r="M5" s="327" t="s">
        <v>36</v>
      </c>
    </row>
    <row r="6" spans="2:19">
      <c r="B6" s="728"/>
      <c r="C6" s="805"/>
      <c r="D6" s="805"/>
      <c r="E6" s="806"/>
      <c r="F6" s="204"/>
      <c r="G6" s="806"/>
      <c r="H6" s="807">
        <v>2024</v>
      </c>
      <c r="I6" s="806"/>
      <c r="J6" s="808"/>
      <c r="K6" s="802"/>
      <c r="M6" s="328"/>
      <c r="N6" s="329" t="s">
        <v>37</v>
      </c>
      <c r="O6" s="329" t="s">
        <v>38</v>
      </c>
    </row>
    <row r="7" spans="2:19" ht="12.75" customHeight="1">
      <c r="B7" s="268"/>
      <c r="D7" s="274"/>
      <c r="G7" s="275" t="s">
        <v>39</v>
      </c>
      <c r="H7" s="205" t="s">
        <v>40</v>
      </c>
      <c r="I7" s="276" t="s">
        <v>40</v>
      </c>
      <c r="J7" s="206"/>
      <c r="K7" s="277" t="s">
        <v>41</v>
      </c>
      <c r="M7" s="201" t="s">
        <v>1082</v>
      </c>
      <c r="N7" s="201">
        <f>E28</f>
        <v>0</v>
      </c>
      <c r="O7" s="521">
        <f t="shared" ref="O7:O18" si="0">N7/$N$18</f>
        <v>0</v>
      </c>
      <c r="Q7" s="283">
        <f>O7+O8+O9</f>
        <v>0.19801980198019803</v>
      </c>
      <c r="R7" s="201" t="s">
        <v>43</v>
      </c>
      <c r="S7" s="298"/>
    </row>
    <row r="8" spans="2:19" ht="12.75" customHeight="1">
      <c r="B8" s="268"/>
      <c r="C8" s="809" t="s">
        <v>44</v>
      </c>
      <c r="D8" s="810" t="s">
        <v>45</v>
      </c>
      <c r="E8" s="810" t="s">
        <v>46</v>
      </c>
      <c r="F8" s="203"/>
      <c r="G8" s="811" t="s">
        <v>47</v>
      </c>
      <c r="H8" s="207" t="s">
        <v>48</v>
      </c>
      <c r="I8" s="208" t="s">
        <v>42</v>
      </c>
      <c r="J8" s="803"/>
      <c r="K8" s="804" t="s">
        <v>49</v>
      </c>
      <c r="M8" s="201" t="s">
        <v>42</v>
      </c>
      <c r="N8" s="201">
        <f>E37</f>
        <v>40</v>
      </c>
      <c r="O8" s="521">
        <f t="shared" si="0"/>
        <v>0.19801980198019803</v>
      </c>
      <c r="Q8" s="283">
        <f>SUM(O10:O15)</f>
        <v>0.79207920792079212</v>
      </c>
      <c r="R8" s="201" t="s">
        <v>50</v>
      </c>
    </row>
    <row r="9" spans="2:19" ht="12.75" customHeight="1">
      <c r="B9" s="268"/>
      <c r="C9" s="209" t="s">
        <v>51</v>
      </c>
      <c r="D9" s="210">
        <f>SUM(E32,E41,E50,E59,E77,E68,E86,E95,E115,E105+E23)</f>
        <v>44</v>
      </c>
      <c r="E9" s="278">
        <f>IF(D9="","",D9/D$15)</f>
        <v>0.21782178217821782</v>
      </c>
      <c r="F9" s="278"/>
      <c r="G9" s="211">
        <v>400</v>
      </c>
      <c r="H9" s="212">
        <v>2426</v>
      </c>
      <c r="I9" s="213">
        <v>1103</v>
      </c>
      <c r="J9" s="214"/>
      <c r="K9" s="216">
        <f>Data!C53*0</f>
        <v>0</v>
      </c>
      <c r="M9" s="201" t="s">
        <v>1104</v>
      </c>
      <c r="N9" s="298">
        <f>E46+E183</f>
        <v>0</v>
      </c>
      <c r="O9" s="332">
        <f t="shared" si="0"/>
        <v>0</v>
      </c>
    </row>
    <row r="10" spans="2:19" ht="12.75" customHeight="1">
      <c r="B10" s="268"/>
      <c r="C10" s="209" t="s">
        <v>52</v>
      </c>
      <c r="D10" s="210">
        <f>SUM(E24,E33,E42,E51,E60,E78,E69,E87,E96,E116,E106)</f>
        <v>35</v>
      </c>
      <c r="E10" s="278">
        <f>IF(D10="","",D10/D$15)</f>
        <v>0.17326732673267325</v>
      </c>
      <c r="F10" s="278"/>
      <c r="G10" s="211">
        <v>670</v>
      </c>
      <c r="H10" s="215">
        <v>2600</v>
      </c>
      <c r="I10" s="213">
        <v>1182</v>
      </c>
      <c r="J10" s="214"/>
      <c r="K10" s="216">
        <f>Data!D53*0</f>
        <v>0</v>
      </c>
      <c r="M10" s="201" t="s">
        <v>53</v>
      </c>
      <c r="O10" s="332">
        <f t="shared" si="0"/>
        <v>0</v>
      </c>
    </row>
    <row r="11" spans="2:19" ht="12.75" customHeight="1">
      <c r="B11" s="268"/>
      <c r="C11" s="209" t="s">
        <v>54</v>
      </c>
      <c r="D11" s="210">
        <f>SUM(E25,E34,E43,E52,E61,E79,E70,E88,E97,E117,E107)</f>
        <v>123</v>
      </c>
      <c r="E11" s="278">
        <f>IF(D11="","",D11/D$15)</f>
        <v>0.6089108910891089</v>
      </c>
      <c r="F11" s="278"/>
      <c r="G11" s="211">
        <v>1000</v>
      </c>
      <c r="H11" s="217">
        <v>3120</v>
      </c>
      <c r="I11" s="217">
        <v>1418</v>
      </c>
      <c r="J11" s="214"/>
      <c r="K11" s="216">
        <f>Data!E53*0</f>
        <v>0</v>
      </c>
      <c r="M11" s="201" t="s">
        <v>48</v>
      </c>
      <c r="N11" s="298">
        <f>E64+E190</f>
        <v>0</v>
      </c>
      <c r="O11" s="332">
        <f t="shared" si="0"/>
        <v>0</v>
      </c>
    </row>
    <row r="12" spans="2:19" ht="12.75" customHeight="1">
      <c r="B12" s="268"/>
      <c r="C12" s="209" t="s">
        <v>55</v>
      </c>
      <c r="D12" s="210">
        <f>SUM(E35,E44,E53,E62,E80,E71,E89,E98,E118,E108,E26)</f>
        <v>0</v>
      </c>
      <c r="E12" s="278">
        <f>IF(D12="","",D12/D$15)</f>
        <v>0</v>
      </c>
      <c r="F12" s="278"/>
      <c r="G12" s="211">
        <v>1220</v>
      </c>
      <c r="H12" s="217">
        <v>3606</v>
      </c>
      <c r="I12" s="217">
        <v>1639</v>
      </c>
      <c r="J12" s="214"/>
      <c r="K12" s="216">
        <f>Data!F53*0</f>
        <v>0</v>
      </c>
      <c r="M12" s="201" t="s">
        <v>56</v>
      </c>
      <c r="N12" s="201">
        <f>E73+E197</f>
        <v>0</v>
      </c>
      <c r="O12" s="332">
        <f t="shared" si="0"/>
        <v>0</v>
      </c>
    </row>
    <row r="13" spans="2:19" ht="12.75" customHeight="1">
      <c r="B13" s="268"/>
      <c r="C13" s="209"/>
      <c r="D13" s="210">
        <f>SUM(E36,E45,E54,E63,E81,E72,E90,E99,E119,E109)</f>
        <v>0</v>
      </c>
      <c r="E13" s="278">
        <f>IF(D13="","",D13/D$15)</f>
        <v>0</v>
      </c>
      <c r="F13" s="278"/>
      <c r="G13" s="218"/>
      <c r="H13" s="219">
        <v>0</v>
      </c>
      <c r="I13" s="220">
        <v>0</v>
      </c>
      <c r="J13" s="214"/>
      <c r="K13" s="221"/>
      <c r="M13" s="279" t="s">
        <v>57</v>
      </c>
      <c r="N13" s="201">
        <f>E55</f>
        <v>160</v>
      </c>
      <c r="O13" s="332">
        <f>N13/$N$18</f>
        <v>0.79207920792079212</v>
      </c>
    </row>
    <row r="14" spans="2:19" ht="12.75" customHeight="1">
      <c r="B14" s="268"/>
      <c r="C14" s="209"/>
      <c r="D14" s="210"/>
      <c r="E14" s="278"/>
      <c r="F14" s="278"/>
      <c r="G14" s="223"/>
      <c r="H14" s="224"/>
      <c r="I14" s="225"/>
      <c r="J14" s="214"/>
      <c r="K14" s="226"/>
      <c r="M14" s="279" t="s">
        <v>58</v>
      </c>
      <c r="N14" s="201">
        <f>E91+E204</f>
        <v>0</v>
      </c>
      <c r="O14" s="332">
        <f t="shared" si="0"/>
        <v>0</v>
      </c>
    </row>
    <row r="15" spans="2:19" ht="13.5" customHeight="1" thickBot="1">
      <c r="B15" s="268"/>
      <c r="C15" s="280" t="s">
        <v>59</v>
      </c>
      <c r="D15" s="281">
        <f>SUM(D9:D13)</f>
        <v>202</v>
      </c>
      <c r="E15" s="282">
        <f>SUM(E9:E13)</f>
        <v>1</v>
      </c>
      <c r="F15" s="283"/>
      <c r="G15" s="227"/>
      <c r="H15" s="228"/>
      <c r="I15" s="229"/>
      <c r="J15" s="230"/>
      <c r="K15" s="231"/>
      <c r="M15" s="330" t="s">
        <v>60</v>
      </c>
      <c r="N15" s="331">
        <f>E100</f>
        <v>0</v>
      </c>
      <c r="O15" s="333">
        <f t="shared" si="0"/>
        <v>0</v>
      </c>
    </row>
    <row r="16" spans="2:19" ht="12.75" customHeight="1" thickTop="1">
      <c r="B16" s="268"/>
      <c r="G16" s="222"/>
      <c r="H16" s="228"/>
      <c r="K16" s="232"/>
      <c r="M16" s="279" t="s">
        <v>986</v>
      </c>
      <c r="N16" s="201">
        <f>SUM(N7:N15)</f>
        <v>200</v>
      </c>
      <c r="O16" s="283">
        <f>SUM(O7:O15)</f>
        <v>0.99009900990099009</v>
      </c>
    </row>
    <row r="17" spans="2:21" ht="12.75" customHeight="1">
      <c r="B17" s="268"/>
      <c r="C17" s="201" t="s">
        <v>61</v>
      </c>
      <c r="E17" s="284">
        <f>SUM(J28+J37,J46,J55,J64,J82,J91,J73,J100,J120,J110)</f>
        <v>164050</v>
      </c>
      <c r="F17" s="284"/>
      <c r="G17" s="222"/>
      <c r="H17" s="228"/>
      <c r="K17" s="233"/>
      <c r="M17" s="285" t="s">
        <v>62</v>
      </c>
      <c r="N17" s="284">
        <f>E120</f>
        <v>2</v>
      </c>
      <c r="O17" s="332">
        <f t="shared" si="0"/>
        <v>9.9009900990099011E-3</v>
      </c>
      <c r="U17" s="332"/>
    </row>
    <row r="18" spans="2:21" ht="12.75" customHeight="1">
      <c r="B18" s="268"/>
      <c r="C18" s="201" t="s">
        <v>63</v>
      </c>
      <c r="E18" s="285">
        <f>SUM(K28+K37,K46,K64,K55,K82,K91,K73,K100,K120,K110)</f>
        <v>693560</v>
      </c>
      <c r="F18" s="285"/>
      <c r="H18" s="286"/>
      <c r="I18" s="287"/>
      <c r="K18" s="226"/>
      <c r="M18" s="328" t="s">
        <v>10</v>
      </c>
      <c r="N18" s="1423">
        <f>N17+N16</f>
        <v>202</v>
      </c>
      <c r="O18" s="1424">
        <f t="shared" si="0"/>
        <v>1</v>
      </c>
      <c r="U18" s="332"/>
    </row>
    <row r="19" spans="2:21" ht="12.75" customHeight="1">
      <c r="B19" s="268"/>
      <c r="C19" s="288"/>
      <c r="D19" s="808"/>
      <c r="E19" s="285"/>
      <c r="F19" s="285"/>
      <c r="H19" s="234"/>
      <c r="I19" s="235"/>
      <c r="K19" s="226"/>
      <c r="M19" s="201" t="s">
        <v>985</v>
      </c>
      <c r="O19" s="283">
        <f>SUM(O7:O9)</f>
        <v>0.19801980198019803</v>
      </c>
      <c r="R19" s="332"/>
      <c r="U19" s="332"/>
    </row>
    <row r="20" spans="2:21" s="515" customFormat="1" ht="12.75" customHeight="1">
      <c r="B20" s="268"/>
      <c r="C20" s="522">
        <v>0.3</v>
      </c>
      <c r="D20" s="316" t="s">
        <v>64</v>
      </c>
      <c r="E20" s="317"/>
      <c r="F20" s="301"/>
      <c r="G20" s="315"/>
      <c r="H20" s="264"/>
      <c r="I20" s="301"/>
      <c r="J20" s="302"/>
      <c r="K20" s="303"/>
      <c r="L20" s="201"/>
      <c r="P20" s="201"/>
      <c r="Q20" s="201"/>
      <c r="R20" s="521"/>
      <c r="S20" s="201"/>
      <c r="T20" s="201"/>
      <c r="U20" s="521"/>
    </row>
    <row r="21" spans="2:21" s="515" customFormat="1" ht="12.75" customHeight="1">
      <c r="B21" s="268"/>
      <c r="C21" s="201" t="s">
        <v>65</v>
      </c>
      <c r="D21" s="236" t="s">
        <v>66</v>
      </c>
      <c r="E21" s="237" t="s">
        <v>67</v>
      </c>
      <c r="F21" s="237"/>
      <c r="G21" s="237" t="s">
        <v>68</v>
      </c>
      <c r="H21" s="237" t="s">
        <v>69</v>
      </c>
      <c r="I21" s="238" t="s">
        <v>70</v>
      </c>
      <c r="J21" s="222" t="s">
        <v>37</v>
      </c>
      <c r="K21" s="291" t="s">
        <v>37</v>
      </c>
      <c r="L21" s="201"/>
      <c r="M21" s="201"/>
      <c r="N21" s="284"/>
      <c r="O21" s="201"/>
      <c r="P21" s="201"/>
      <c r="Q21" s="201"/>
      <c r="R21" s="521"/>
      <c r="S21" s="201"/>
      <c r="T21" s="201"/>
      <c r="U21" s="521"/>
    </row>
    <row r="22" spans="2:21" s="515" customFormat="1" ht="12.75" customHeight="1">
      <c r="B22" s="268"/>
      <c r="C22" s="808" t="s">
        <v>71</v>
      </c>
      <c r="D22" s="812" t="s">
        <v>72</v>
      </c>
      <c r="E22" s="813" t="s">
        <v>73</v>
      </c>
      <c r="F22" s="814"/>
      <c r="G22" s="814" t="s">
        <v>74</v>
      </c>
      <c r="H22" s="814" t="s">
        <v>49</v>
      </c>
      <c r="I22" s="815" t="s">
        <v>74</v>
      </c>
      <c r="J22" s="816" t="s">
        <v>75</v>
      </c>
      <c r="K22" s="801" t="s">
        <v>76</v>
      </c>
      <c r="L22" s="201"/>
      <c r="M22" s="201"/>
      <c r="N22" s="284"/>
      <c r="O22" s="201"/>
      <c r="P22" s="201"/>
      <c r="Q22" s="201"/>
      <c r="R22" s="521"/>
      <c r="S22" s="201"/>
      <c r="T22" s="201"/>
      <c r="U22" s="521"/>
    </row>
    <row r="23" spans="2:21" s="515" customFormat="1" ht="12.75" customHeight="1">
      <c r="B23" s="268"/>
      <c r="C23" s="209" t="s">
        <v>51</v>
      </c>
      <c r="D23" s="239">
        <v>400</v>
      </c>
      <c r="E23" s="223">
        <v>0</v>
      </c>
      <c r="F23" s="223"/>
      <c r="G23" s="523">
        <f>H9*$C$20</f>
        <v>727.8</v>
      </c>
      <c r="H23" s="523">
        <f>$K$9</f>
        <v>0</v>
      </c>
      <c r="I23" s="228">
        <f>ROUND(G23-H23,0)</f>
        <v>728</v>
      </c>
      <c r="J23" s="284">
        <f>D23*E23</f>
        <v>0</v>
      </c>
      <c r="K23" s="292">
        <f>E23*I23</f>
        <v>0</v>
      </c>
      <c r="L23" s="201"/>
      <c r="M23" s="201"/>
      <c r="N23" s="284"/>
      <c r="O23" s="201"/>
      <c r="P23" s="201"/>
      <c r="Q23" s="201"/>
      <c r="R23" s="521"/>
      <c r="S23" s="201"/>
      <c r="T23" s="201"/>
      <c r="U23" s="521"/>
    </row>
    <row r="24" spans="2:21" s="515" customFormat="1" ht="12.75" customHeight="1">
      <c r="B24" s="268"/>
      <c r="C24" s="238">
        <v>1</v>
      </c>
      <c r="D24" s="239">
        <v>670</v>
      </c>
      <c r="E24" s="223">
        <v>0</v>
      </c>
      <c r="F24" s="223"/>
      <c r="G24" s="523">
        <f>H10*$C$20</f>
        <v>780</v>
      </c>
      <c r="H24" s="523">
        <f>$K$10</f>
        <v>0</v>
      </c>
      <c r="I24" s="228">
        <f>ROUND(G24-H24,0)</f>
        <v>780</v>
      </c>
      <c r="J24" s="284">
        <f>D24*E24</f>
        <v>0</v>
      </c>
      <c r="K24" s="292">
        <f>E24*I24</f>
        <v>0</v>
      </c>
      <c r="L24" s="201"/>
      <c r="M24" s="201"/>
      <c r="N24" s="284"/>
      <c r="O24" s="201"/>
      <c r="P24" s="201"/>
      <c r="Q24" s="201"/>
      <c r="R24" s="521"/>
      <c r="S24" s="201"/>
      <c r="T24" s="201"/>
      <c r="U24" s="521"/>
    </row>
    <row r="25" spans="2:21" s="515" customFormat="1" ht="12.75" customHeight="1">
      <c r="B25" s="268"/>
      <c r="C25" s="238">
        <v>2</v>
      </c>
      <c r="D25" s="239">
        <v>1000</v>
      </c>
      <c r="E25" s="223">
        <v>0</v>
      </c>
      <c r="F25" s="223"/>
      <c r="G25" s="523">
        <f>H11*$C$20</f>
        <v>936</v>
      </c>
      <c r="H25" s="228">
        <f>$K$11</f>
        <v>0</v>
      </c>
      <c r="I25" s="228">
        <f>ROUND(G25-H25,0)</f>
        <v>936</v>
      </c>
      <c r="J25" s="284">
        <f>D25*E25</f>
        <v>0</v>
      </c>
      <c r="K25" s="292">
        <f>E25*I25</f>
        <v>0</v>
      </c>
      <c r="L25" s="201"/>
      <c r="M25" s="201"/>
      <c r="N25" s="284"/>
      <c r="O25" s="201"/>
      <c r="P25" s="201"/>
      <c r="Q25" s="201"/>
      <c r="R25" s="521"/>
      <c r="S25" s="201"/>
      <c r="T25" s="201"/>
      <c r="U25" s="521"/>
    </row>
    <row r="26" spans="2:21" s="515" customFormat="1" ht="12.75" customHeight="1">
      <c r="B26" s="268"/>
      <c r="C26" s="238">
        <v>3</v>
      </c>
      <c r="D26" s="239">
        <v>1220</v>
      </c>
      <c r="E26" s="223">
        <v>0</v>
      </c>
      <c r="F26" s="223"/>
      <c r="G26" s="523">
        <f>H12*$C$20</f>
        <v>1081.8</v>
      </c>
      <c r="H26" s="228">
        <v>0</v>
      </c>
      <c r="I26" s="228">
        <f>ROUND(G26-H26,0)</f>
        <v>1082</v>
      </c>
      <c r="J26" s="284">
        <f>D26*E26</f>
        <v>0</v>
      </c>
      <c r="K26" s="292">
        <f>E26*I26</f>
        <v>0</v>
      </c>
      <c r="L26" s="201"/>
      <c r="M26" s="201"/>
      <c r="N26" s="284"/>
      <c r="O26" s="201"/>
      <c r="P26" s="201"/>
      <c r="Q26" s="201"/>
      <c r="R26" s="521"/>
      <c r="S26" s="201"/>
      <c r="T26" s="201"/>
      <c r="U26" s="521"/>
    </row>
    <row r="27" spans="2:21" s="515" customFormat="1" ht="12.75" customHeight="1">
      <c r="B27" s="268"/>
      <c r="C27" s="238">
        <v>4</v>
      </c>
      <c r="D27" s="239">
        <f>+G$13</f>
        <v>0</v>
      </c>
      <c r="E27" s="223"/>
      <c r="F27" s="223"/>
      <c r="G27" s="523">
        <f>H13*$C$20</f>
        <v>0</v>
      </c>
      <c r="H27" s="239">
        <f>K4</f>
        <v>0</v>
      </c>
      <c r="I27" s="228">
        <f>ROUND(G27-H27,0)</f>
        <v>0</v>
      </c>
      <c r="J27" s="284">
        <f>D27*E27</f>
        <v>0</v>
      </c>
      <c r="K27" s="292">
        <f>E27*I27</f>
        <v>0</v>
      </c>
      <c r="L27" s="201"/>
      <c r="M27" s="201"/>
      <c r="N27" s="284"/>
      <c r="O27" s="201"/>
      <c r="P27" s="201"/>
      <c r="Q27" s="201"/>
      <c r="R27" s="521"/>
      <c r="S27" s="201"/>
      <c r="T27" s="201"/>
      <c r="U27" s="521"/>
    </row>
    <row r="28" spans="2:21" s="515" customFormat="1" ht="12.75" customHeight="1">
      <c r="B28" s="268"/>
      <c r="C28" s="313" t="s">
        <v>59</v>
      </c>
      <c r="D28" s="241"/>
      <c r="E28" s="242">
        <f>SUM(E23:E27)</f>
        <v>0</v>
      </c>
      <c r="F28" s="241"/>
      <c r="G28" s="241"/>
      <c r="H28" s="243"/>
      <c r="I28" s="241"/>
      <c r="J28" s="293">
        <f>SUM(J23:J27)</f>
        <v>0</v>
      </c>
      <c r="K28" s="294">
        <f>SUM(K23:K27)</f>
        <v>0</v>
      </c>
      <c r="L28" s="201"/>
      <c r="M28" s="201"/>
      <c r="N28" s="284"/>
      <c r="O28" s="201"/>
      <c r="P28" s="201"/>
      <c r="Q28" s="201"/>
      <c r="R28" s="521"/>
      <c r="S28" s="201"/>
      <c r="T28" s="201"/>
      <c r="U28" s="521"/>
    </row>
    <row r="29" spans="2:21" ht="12.75" customHeight="1">
      <c r="B29" s="289"/>
      <c r="C29" s="524">
        <v>0.5</v>
      </c>
      <c r="D29" s="316" t="s">
        <v>64</v>
      </c>
      <c r="E29" s="317"/>
      <c r="F29" s="301"/>
      <c r="G29" s="315"/>
      <c r="H29" s="264"/>
      <c r="I29" s="301"/>
      <c r="J29" s="302"/>
      <c r="K29" s="303"/>
      <c r="M29" s="279"/>
      <c r="N29" s="284"/>
      <c r="U29" s="332"/>
    </row>
    <row r="30" spans="2:21" ht="15" customHeight="1" outlineLevel="1">
      <c r="B30" s="290"/>
      <c r="C30" s="201" t="s">
        <v>65</v>
      </c>
      <c r="D30" s="236" t="s">
        <v>66</v>
      </c>
      <c r="E30" s="237" t="s">
        <v>67</v>
      </c>
      <c r="F30" s="237"/>
      <c r="G30" s="237" t="s">
        <v>68</v>
      </c>
      <c r="H30" s="237" t="s">
        <v>69</v>
      </c>
      <c r="I30" s="238" t="s">
        <v>70</v>
      </c>
      <c r="J30" s="222" t="s">
        <v>37</v>
      </c>
      <c r="K30" s="291" t="s">
        <v>37</v>
      </c>
      <c r="U30" s="332"/>
    </row>
    <row r="31" spans="2:21" ht="12.75" customHeight="1" outlineLevel="1">
      <c r="B31" s="729"/>
      <c r="C31" s="808" t="s">
        <v>71</v>
      </c>
      <c r="D31" s="812" t="s">
        <v>72</v>
      </c>
      <c r="E31" s="813" t="s">
        <v>73</v>
      </c>
      <c r="F31" s="814"/>
      <c r="G31" s="814" t="s">
        <v>74</v>
      </c>
      <c r="H31" s="814" t="s">
        <v>49</v>
      </c>
      <c r="I31" s="815" t="s">
        <v>74</v>
      </c>
      <c r="J31" s="816" t="s">
        <v>75</v>
      </c>
      <c r="K31" s="801" t="s">
        <v>76</v>
      </c>
      <c r="U31" s="332"/>
    </row>
    <row r="32" spans="2:21" ht="12.75" customHeight="1" outlineLevel="1">
      <c r="B32" s="290"/>
      <c r="C32" s="238" t="str">
        <f>C9</f>
        <v>Studio</v>
      </c>
      <c r="D32" s="239">
        <f>+$G9</f>
        <v>400</v>
      </c>
      <c r="E32" s="223">
        <v>20</v>
      </c>
      <c r="F32" s="223"/>
      <c r="G32" s="308">
        <f>H9*$C$29</f>
        <v>1213</v>
      </c>
      <c r="H32" s="308">
        <f>$K$9</f>
        <v>0</v>
      </c>
      <c r="I32" s="228">
        <f>ROUND(G32-H32,0)</f>
        <v>1213</v>
      </c>
      <c r="J32" s="284">
        <f>D32*E32</f>
        <v>8000</v>
      </c>
      <c r="K32" s="292">
        <f>E32*I32</f>
        <v>24260</v>
      </c>
      <c r="R32" s="210"/>
      <c r="U32" s="332"/>
    </row>
    <row r="33" spans="2:21" ht="12.75" customHeight="1" outlineLevel="1">
      <c r="B33" s="290"/>
      <c r="C33" s="238">
        <v>1</v>
      </c>
      <c r="D33" s="239">
        <f>+$G10</f>
        <v>670</v>
      </c>
      <c r="E33" s="223">
        <v>11</v>
      </c>
      <c r="F33" s="223"/>
      <c r="G33" s="308">
        <f>H10*$C$29</f>
        <v>1300</v>
      </c>
      <c r="H33" s="308">
        <f>$K$10</f>
        <v>0</v>
      </c>
      <c r="I33" s="228">
        <f>ROUND(G33-H33,0)</f>
        <v>1300</v>
      </c>
      <c r="J33" s="284">
        <f>D33*E33</f>
        <v>7370</v>
      </c>
      <c r="K33" s="292">
        <f>E33*I33</f>
        <v>14300</v>
      </c>
      <c r="U33" s="332"/>
    </row>
    <row r="34" spans="2:21" ht="12.75" customHeight="1" outlineLevel="1">
      <c r="B34" s="290"/>
      <c r="C34" s="238">
        <v>2</v>
      </c>
      <c r="D34" s="239">
        <f>+$G11</f>
        <v>1000</v>
      </c>
      <c r="E34" s="223">
        <v>9</v>
      </c>
      <c r="F34" s="223"/>
      <c r="G34" s="308">
        <f>H11*$C$29</f>
        <v>1560</v>
      </c>
      <c r="H34" s="228">
        <f>$K$11</f>
        <v>0</v>
      </c>
      <c r="I34" s="228">
        <f>ROUND(G34-H34,0)</f>
        <v>1560</v>
      </c>
      <c r="J34" s="284">
        <f>D34*E34</f>
        <v>9000</v>
      </c>
      <c r="K34" s="292">
        <f>E34*I34</f>
        <v>14040</v>
      </c>
      <c r="O34" s="332"/>
      <c r="P34" s="325"/>
      <c r="U34" s="332"/>
    </row>
    <row r="35" spans="2:21" ht="12.75" customHeight="1" outlineLevel="1">
      <c r="B35" s="290"/>
      <c r="C35" s="238">
        <v>3</v>
      </c>
      <c r="D35" s="239">
        <f>+$G12</f>
        <v>1220</v>
      </c>
      <c r="E35" s="223">
        <v>0</v>
      </c>
      <c r="F35" s="223"/>
      <c r="G35" s="308">
        <f>H12*$C$29</f>
        <v>1803</v>
      </c>
      <c r="H35" s="228">
        <v>0</v>
      </c>
      <c r="I35" s="228">
        <f>ROUND(G35-H35,0)</f>
        <v>1803</v>
      </c>
      <c r="J35" s="284">
        <f>D35*E35</f>
        <v>0</v>
      </c>
      <c r="K35" s="292">
        <f>E35*I35</f>
        <v>0</v>
      </c>
    </row>
    <row r="36" spans="2:21" ht="12.75" customHeight="1" outlineLevel="1">
      <c r="B36" s="290"/>
      <c r="C36" s="238">
        <v>4</v>
      </c>
      <c r="D36" s="239">
        <f>+G$13</f>
        <v>0</v>
      </c>
      <c r="E36" s="223"/>
      <c r="F36" s="223"/>
      <c r="G36" s="308">
        <f>H13*$C$29</f>
        <v>0</v>
      </c>
      <c r="H36" s="239">
        <f>K13</f>
        <v>0</v>
      </c>
      <c r="I36" s="228">
        <f>ROUND(G36-H36,0)</f>
        <v>0</v>
      </c>
      <c r="J36" s="284">
        <f>D36*E36</f>
        <v>0</v>
      </c>
      <c r="K36" s="292">
        <f>E36*I36</f>
        <v>0</v>
      </c>
    </row>
    <row r="37" spans="2:21" ht="13.5" customHeight="1" outlineLevel="1">
      <c r="B37" s="289"/>
      <c r="C37" s="313" t="s">
        <v>59</v>
      </c>
      <c r="D37" s="241"/>
      <c r="E37" s="242">
        <f>SUM(E32:E36)</f>
        <v>40</v>
      </c>
      <c r="F37" s="241"/>
      <c r="G37" s="241"/>
      <c r="H37" s="243"/>
      <c r="I37" s="241"/>
      <c r="J37" s="293">
        <f>SUM(J32:J36)</f>
        <v>24370</v>
      </c>
      <c r="K37" s="294">
        <f>SUM(K32:K36)</f>
        <v>52600</v>
      </c>
      <c r="U37" s="332"/>
    </row>
    <row r="38" spans="2:21" ht="12.75" customHeight="1">
      <c r="B38" s="289"/>
      <c r="C38" s="314">
        <v>0.8</v>
      </c>
      <c r="D38" s="316" t="s">
        <v>64</v>
      </c>
      <c r="E38" s="317"/>
      <c r="F38" s="301"/>
      <c r="G38" s="315"/>
      <c r="H38" s="264"/>
      <c r="I38" s="301"/>
      <c r="J38" s="302"/>
      <c r="K38" s="303"/>
      <c r="U38" s="332"/>
    </row>
    <row r="39" spans="2:21" ht="12.75" customHeight="1" outlineLevel="1">
      <c r="B39" s="290"/>
      <c r="C39" s="201" t="s">
        <v>65</v>
      </c>
      <c r="D39" s="244" t="s">
        <v>66</v>
      </c>
      <c r="E39" s="237" t="s">
        <v>67</v>
      </c>
      <c r="F39" s="237"/>
      <c r="G39" s="237" t="s">
        <v>68</v>
      </c>
      <c r="H39" s="240" t="s">
        <v>69</v>
      </c>
      <c r="I39" s="238" t="s">
        <v>70</v>
      </c>
      <c r="J39" s="222" t="s">
        <v>37</v>
      </c>
      <c r="K39" s="291" t="s">
        <v>37</v>
      </c>
      <c r="O39" s="427"/>
      <c r="U39" s="283"/>
    </row>
    <row r="40" spans="2:21" ht="12.75" customHeight="1" outlineLevel="1">
      <c r="B40" s="729"/>
      <c r="C40" s="808"/>
      <c r="D40" s="812" t="s">
        <v>72</v>
      </c>
      <c r="E40" s="814" t="s">
        <v>73</v>
      </c>
      <c r="F40" s="814"/>
      <c r="G40" s="814" t="s">
        <v>74</v>
      </c>
      <c r="H40" s="817" t="s">
        <v>49</v>
      </c>
      <c r="I40" s="815" t="s">
        <v>74</v>
      </c>
      <c r="J40" s="816" t="s">
        <v>75</v>
      </c>
      <c r="K40" s="801" t="s">
        <v>76</v>
      </c>
      <c r="O40" s="427"/>
    </row>
    <row r="41" spans="2:21" ht="12.75" customHeight="1" outlineLevel="1">
      <c r="B41" s="290"/>
      <c r="C41" s="209" t="s">
        <v>51</v>
      </c>
      <c r="D41" s="239">
        <f>$G9</f>
        <v>400</v>
      </c>
      <c r="E41" s="223">
        <v>0</v>
      </c>
      <c r="F41" s="223"/>
      <c r="G41" s="308">
        <f>H9*$C$38</f>
        <v>1940.8000000000002</v>
      </c>
      <c r="H41" s="308">
        <f>$K$9</f>
        <v>0</v>
      </c>
      <c r="I41" s="228">
        <f>ROUND(G41-H41,0)</f>
        <v>1941</v>
      </c>
      <c r="J41" s="284">
        <f>D41*E41</f>
        <v>0</v>
      </c>
      <c r="K41" s="292">
        <f>E41*I41</f>
        <v>0</v>
      </c>
      <c r="L41" s="1636"/>
      <c r="M41" s="1636"/>
      <c r="O41" s="427"/>
    </row>
    <row r="42" spans="2:21" ht="12.75" customHeight="1" outlineLevel="1">
      <c r="B42" s="290"/>
      <c r="C42" s="238">
        <v>1</v>
      </c>
      <c r="D42" s="239">
        <f>$G10</f>
        <v>670</v>
      </c>
      <c r="E42" s="223">
        <v>0</v>
      </c>
      <c r="F42" s="223"/>
      <c r="G42" s="308">
        <f>H10*C38</f>
        <v>2080</v>
      </c>
      <c r="H42" s="308">
        <f>$K$10</f>
        <v>0</v>
      </c>
      <c r="I42" s="228">
        <f>ROUND(G42-H42,0)</f>
        <v>2080</v>
      </c>
      <c r="J42" s="284">
        <f>D42*E42</f>
        <v>0</v>
      </c>
      <c r="K42" s="292">
        <f>E42*I42</f>
        <v>0</v>
      </c>
      <c r="L42" s="1636"/>
      <c r="M42" s="1636"/>
      <c r="O42" s="1631"/>
    </row>
    <row r="43" spans="2:21" ht="12.75" customHeight="1" outlineLevel="1">
      <c r="B43" s="290"/>
      <c r="C43" s="238">
        <v>2</v>
      </c>
      <c r="D43" s="239">
        <f>$G11</f>
        <v>1000</v>
      </c>
      <c r="E43" s="223">
        <v>0</v>
      </c>
      <c r="F43" s="223"/>
      <c r="G43" s="308">
        <f>H11*C38</f>
        <v>2496</v>
      </c>
      <c r="H43" s="228">
        <f>$K$11</f>
        <v>0</v>
      </c>
      <c r="I43" s="228">
        <f>ROUND(G43-H43,0)</f>
        <v>2496</v>
      </c>
      <c r="J43" s="284">
        <f>D43*E43</f>
        <v>0</v>
      </c>
      <c r="K43" s="292">
        <f>E43*I43</f>
        <v>0</v>
      </c>
      <c r="L43" s="1636"/>
      <c r="M43" s="1636"/>
      <c r="O43" s="1632"/>
      <c r="P43" s="1633"/>
    </row>
    <row r="44" spans="2:21" ht="12.75" customHeight="1" outlineLevel="1">
      <c r="B44" s="290"/>
      <c r="C44" s="238">
        <v>3</v>
      </c>
      <c r="D44" s="239">
        <f>$G12</f>
        <v>1220</v>
      </c>
      <c r="E44" s="223">
        <v>0</v>
      </c>
      <c r="F44" s="223"/>
      <c r="G44" s="308">
        <f>H12*$C$38</f>
        <v>2884.8</v>
      </c>
      <c r="H44" s="228">
        <v>0</v>
      </c>
      <c r="I44" s="228">
        <f>ROUND(G44-H44,0)</f>
        <v>2885</v>
      </c>
      <c r="J44" s="284">
        <f>D44*E44</f>
        <v>0</v>
      </c>
      <c r="K44" s="292">
        <f>E44*I44</f>
        <v>0</v>
      </c>
      <c r="L44" s="1636"/>
      <c r="O44" s="1635"/>
      <c r="P44" s="1633"/>
      <c r="Q44" s="1634"/>
    </row>
    <row r="45" spans="2:21" ht="12.75" customHeight="1" outlineLevel="1">
      <c r="B45" s="729"/>
      <c r="C45" s="814">
        <v>4</v>
      </c>
      <c r="D45" s="818">
        <f>+G$13</f>
        <v>0</v>
      </c>
      <c r="E45" s="806"/>
      <c r="F45" s="806"/>
      <c r="G45" s="308">
        <f>H13*$C$38</f>
        <v>0</v>
      </c>
      <c r="H45" s="239">
        <f>K13</f>
        <v>0</v>
      </c>
      <c r="I45" s="228">
        <f>ROUND(G45-H45,0)</f>
        <v>0</v>
      </c>
      <c r="J45" s="284">
        <f>D45*E45</f>
        <v>0</v>
      </c>
      <c r="K45" s="292">
        <f>E45*I45</f>
        <v>0</v>
      </c>
      <c r="O45" s="1632"/>
      <c r="P45" s="1633"/>
      <c r="Q45" s="1634"/>
    </row>
    <row r="46" spans="2:21" ht="12.75" customHeight="1">
      <c r="B46" s="295"/>
      <c r="C46" s="312" t="s">
        <v>59</v>
      </c>
      <c r="D46" s="245"/>
      <c r="E46" s="309">
        <f>SUM(E41:E45)</f>
        <v>0</v>
      </c>
      <c r="F46" s="203"/>
      <c r="G46" s="203"/>
      <c r="H46" s="246"/>
      <c r="I46" s="247"/>
      <c r="J46" s="296">
        <f>SUM(J41:J45)</f>
        <v>0</v>
      </c>
      <c r="K46" s="297">
        <f>SUM(K41:K45)</f>
        <v>0</v>
      </c>
      <c r="O46" s="1632"/>
      <c r="P46" s="1633"/>
      <c r="Q46" s="1634"/>
    </row>
    <row r="47" spans="2:21" ht="12.75" customHeight="1">
      <c r="B47" s="289"/>
      <c r="C47" s="314">
        <v>1.2</v>
      </c>
      <c r="D47" s="316" t="s">
        <v>64</v>
      </c>
      <c r="E47" s="317"/>
      <c r="F47" s="301"/>
      <c r="G47" s="315"/>
      <c r="H47" s="264"/>
      <c r="I47" s="301"/>
      <c r="J47" s="302"/>
      <c r="K47" s="303"/>
      <c r="O47" s="1632"/>
      <c r="P47" s="1633"/>
      <c r="Q47" s="1634"/>
    </row>
    <row r="48" spans="2:21" ht="12.75" customHeight="1" outlineLevel="1">
      <c r="B48" s="290"/>
      <c r="C48" s="298" t="s">
        <v>65</v>
      </c>
      <c r="D48" s="248" t="s">
        <v>66</v>
      </c>
      <c r="E48" s="249" t="s">
        <v>67</v>
      </c>
      <c r="F48" s="237"/>
      <c r="G48" s="237" t="s">
        <v>68</v>
      </c>
      <c r="H48" s="240" t="s">
        <v>69</v>
      </c>
      <c r="I48" s="238" t="s">
        <v>70</v>
      </c>
      <c r="J48" s="222" t="s">
        <v>37</v>
      </c>
      <c r="K48" s="291" t="s">
        <v>37</v>
      </c>
      <c r="O48" s="298"/>
      <c r="P48" s="298"/>
      <c r="Q48" s="283"/>
    </row>
    <row r="49" spans="2:22" ht="12.75" customHeight="1" outlineLevel="1">
      <c r="B49" s="729"/>
      <c r="C49" s="819" t="s">
        <v>71</v>
      </c>
      <c r="D49" s="820" t="s">
        <v>72</v>
      </c>
      <c r="E49" s="821" t="s">
        <v>73</v>
      </c>
      <c r="F49" s="814"/>
      <c r="G49" s="814" t="s">
        <v>74</v>
      </c>
      <c r="H49" s="817" t="s">
        <v>49</v>
      </c>
      <c r="I49" s="815" t="s">
        <v>74</v>
      </c>
      <c r="J49" s="816" t="s">
        <v>75</v>
      </c>
      <c r="K49" s="801" t="s">
        <v>76</v>
      </c>
      <c r="O49" s="298"/>
      <c r="Q49" s="283"/>
    </row>
    <row r="50" spans="2:22" ht="12.75" customHeight="1" outlineLevel="1">
      <c r="B50" s="290"/>
      <c r="C50" s="250" t="str">
        <f>C9</f>
        <v>Studio</v>
      </c>
      <c r="D50" s="251">
        <f>$G9</f>
        <v>400</v>
      </c>
      <c r="E50" s="223">
        <v>24</v>
      </c>
      <c r="F50" s="223"/>
      <c r="G50" s="308">
        <f>H9*$C$47</f>
        <v>2911.2</v>
      </c>
      <c r="H50" s="308">
        <f>$K$9</f>
        <v>0</v>
      </c>
      <c r="I50" s="1778">
        <v>2400</v>
      </c>
      <c r="J50" s="284">
        <f>D50*E50</f>
        <v>9600</v>
      </c>
      <c r="K50" s="292">
        <f>E50*I50</f>
        <v>57600</v>
      </c>
      <c r="L50" s="1692"/>
      <c r="M50" s="1636"/>
      <c r="N50" s="1636"/>
      <c r="O50" s="1693"/>
      <c r="Q50" s="283"/>
    </row>
    <row r="51" spans="2:22" ht="12.75" customHeight="1" outlineLevel="1">
      <c r="B51" s="290"/>
      <c r="C51" s="250">
        <v>1</v>
      </c>
      <c r="D51" s="251">
        <f>$G10</f>
        <v>670</v>
      </c>
      <c r="E51" s="223">
        <v>24</v>
      </c>
      <c r="F51" s="223"/>
      <c r="G51" s="308">
        <f>H10*$C$47</f>
        <v>3120</v>
      </c>
      <c r="H51" s="308">
        <f>$K$10</f>
        <v>0</v>
      </c>
      <c r="I51" s="1778">
        <f>ROUND(G51-H51,0)</f>
        <v>3120</v>
      </c>
      <c r="J51" s="284">
        <f>D51*E51</f>
        <v>16080</v>
      </c>
      <c r="K51" s="292">
        <f>E51*I51</f>
        <v>74880</v>
      </c>
      <c r="L51" s="1692"/>
      <c r="M51" s="1636"/>
      <c r="N51" s="1636"/>
      <c r="O51" s="1693"/>
      <c r="Q51" s="1694"/>
      <c r="R51" s="299"/>
      <c r="S51" s="283"/>
    </row>
    <row r="52" spans="2:22" ht="12.75" customHeight="1" outlineLevel="1">
      <c r="B52" s="290"/>
      <c r="C52" s="250">
        <v>2</v>
      </c>
      <c r="D52" s="251">
        <f>$G11</f>
        <v>1000</v>
      </c>
      <c r="E52" s="223">
        <v>112</v>
      </c>
      <c r="F52" s="223"/>
      <c r="G52" s="308">
        <f>H11*$C$47</f>
        <v>3744</v>
      </c>
      <c r="H52" s="228">
        <f>$K$11</f>
        <v>0</v>
      </c>
      <c r="I52" s="1778">
        <v>4540</v>
      </c>
      <c r="J52" s="284">
        <f>D52*E52</f>
        <v>112000</v>
      </c>
      <c r="K52" s="292">
        <f>E52*I52</f>
        <v>508480</v>
      </c>
      <c r="L52" s="1692"/>
      <c r="M52" s="1636"/>
      <c r="N52" s="1636"/>
      <c r="O52" s="1693"/>
      <c r="Q52" s="1694"/>
    </row>
    <row r="53" spans="2:22" ht="12.75" customHeight="1" outlineLevel="1">
      <c r="B53" s="290"/>
      <c r="C53" s="250">
        <v>3</v>
      </c>
      <c r="D53" s="251">
        <f>$G12</f>
        <v>1220</v>
      </c>
      <c r="E53" s="223">
        <v>0</v>
      </c>
      <c r="F53" s="223"/>
      <c r="G53" s="308">
        <f>H12*$C$47</f>
        <v>4327.2</v>
      </c>
      <c r="H53" s="228">
        <v>0</v>
      </c>
      <c r="I53" s="1778">
        <f>ROUND(G53-H53,0)</f>
        <v>4327</v>
      </c>
      <c r="J53" s="284">
        <f>D53*E53</f>
        <v>0</v>
      </c>
      <c r="K53" s="292">
        <f>E53*I53</f>
        <v>0</v>
      </c>
      <c r="L53" s="1692"/>
      <c r="O53" s="1693"/>
    </row>
    <row r="54" spans="2:22" ht="12.75" customHeight="1" outlineLevel="1">
      <c r="B54" s="290"/>
      <c r="C54" s="238">
        <v>4</v>
      </c>
      <c r="D54" s="239">
        <f>+G$13</f>
        <v>0</v>
      </c>
      <c r="E54" s="223"/>
      <c r="F54" s="223"/>
      <c r="G54" s="308">
        <f>H13*$C$47</f>
        <v>0</v>
      </c>
      <c r="H54" s="239">
        <f>K13</f>
        <v>0</v>
      </c>
      <c r="I54" s="228">
        <f>ROUND(G54-H54,0)</f>
        <v>0</v>
      </c>
      <c r="J54" s="284">
        <f>D54*E54</f>
        <v>0</v>
      </c>
      <c r="K54" s="292">
        <f>E54*I54</f>
        <v>0</v>
      </c>
      <c r="L54" s="1569"/>
    </row>
    <row r="55" spans="2:22" ht="12.75" customHeight="1" outlineLevel="1">
      <c r="B55" s="269"/>
      <c r="C55" s="252" t="s">
        <v>59</v>
      </c>
      <c r="D55" s="247"/>
      <c r="E55" s="253">
        <f>SUM(E50:E54)</f>
        <v>160</v>
      </c>
      <c r="F55" s="247"/>
      <c r="G55" s="247"/>
      <c r="H55" s="246"/>
      <c r="I55" s="247"/>
      <c r="J55" s="296">
        <f>SUM(J50:J54)</f>
        <v>137680</v>
      </c>
      <c r="K55" s="297">
        <f>SUM(K50:K54)</f>
        <v>640960</v>
      </c>
      <c r="N55" s="59"/>
      <c r="O55" s="1694"/>
    </row>
    <row r="56" spans="2:22" ht="12.75" customHeight="1">
      <c r="B56" s="289"/>
      <c r="C56" s="314"/>
      <c r="D56" s="316"/>
      <c r="E56" s="317"/>
      <c r="F56" s="301"/>
      <c r="G56" s="315"/>
      <c r="H56" s="264"/>
      <c r="I56" s="301"/>
      <c r="J56" s="302"/>
      <c r="K56" s="303"/>
    </row>
    <row r="57" spans="2:22" ht="12.75" hidden="1" customHeight="1" outlineLevel="1">
      <c r="B57" s="290"/>
      <c r="C57" s="298"/>
      <c r="D57" s="248"/>
      <c r="E57" s="249"/>
      <c r="F57" s="237"/>
      <c r="G57" s="237"/>
      <c r="H57" s="240"/>
      <c r="I57" s="238"/>
      <c r="J57" s="222"/>
      <c r="K57" s="291"/>
    </row>
    <row r="58" spans="2:22" ht="12.75" hidden="1" customHeight="1" outlineLevel="1">
      <c r="B58" s="729"/>
      <c r="C58" s="819"/>
      <c r="D58" s="820"/>
      <c r="E58" s="822"/>
      <c r="F58" s="814"/>
      <c r="G58" s="814"/>
      <c r="H58" s="817"/>
      <c r="I58" s="815"/>
      <c r="J58" s="816"/>
      <c r="K58" s="801"/>
      <c r="Q58" s="288"/>
      <c r="R58" s="288"/>
      <c r="S58" s="288"/>
    </row>
    <row r="59" spans="2:22" ht="12.75" hidden="1" customHeight="1" outlineLevel="1">
      <c r="B59" s="290"/>
      <c r="C59" s="250"/>
      <c r="D59" s="251"/>
      <c r="E59" s="251"/>
      <c r="F59" s="223"/>
      <c r="G59" s="308"/>
      <c r="H59" s="308"/>
      <c r="I59" s="228"/>
      <c r="J59" s="284"/>
      <c r="K59" s="292"/>
    </row>
    <row r="60" spans="2:22" ht="12.75" hidden="1" customHeight="1" outlineLevel="1">
      <c r="B60" s="290"/>
      <c r="C60" s="250"/>
      <c r="D60" s="251"/>
      <c r="E60" s="251"/>
      <c r="F60" s="223"/>
      <c r="G60" s="308"/>
      <c r="H60" s="308"/>
      <c r="I60" s="228"/>
      <c r="J60" s="284"/>
      <c r="K60" s="292"/>
    </row>
    <row r="61" spans="2:22" ht="12.75" hidden="1" customHeight="1" outlineLevel="1">
      <c r="B61" s="290"/>
      <c r="C61" s="250"/>
      <c r="D61" s="251"/>
      <c r="E61" s="251"/>
      <c r="F61" s="223"/>
      <c r="G61" s="308"/>
      <c r="H61" s="228"/>
      <c r="I61" s="228"/>
      <c r="J61" s="284"/>
      <c r="K61" s="292"/>
    </row>
    <row r="62" spans="2:22" ht="12.75" hidden="1" customHeight="1" outlineLevel="1">
      <c r="B62" s="290"/>
      <c r="C62" s="250"/>
      <c r="D62" s="251"/>
      <c r="E62" s="251"/>
      <c r="F62" s="223"/>
      <c r="G62" s="308"/>
      <c r="H62" s="228"/>
      <c r="I62" s="228"/>
      <c r="J62" s="284"/>
      <c r="K62" s="292"/>
    </row>
    <row r="63" spans="2:22" ht="12.75" hidden="1" customHeight="1" outlineLevel="1">
      <c r="B63" s="290"/>
      <c r="C63" s="250"/>
      <c r="D63" s="251"/>
      <c r="E63" s="251"/>
      <c r="F63" s="223"/>
      <c r="G63" s="308"/>
      <c r="H63" s="239"/>
      <c r="I63" s="228"/>
      <c r="J63" s="284"/>
      <c r="K63" s="292"/>
    </row>
    <row r="64" spans="2:22" ht="12.75" hidden="1" customHeight="1" outlineLevel="1">
      <c r="B64" s="269"/>
      <c r="C64" s="311"/>
      <c r="D64" s="254"/>
      <c r="E64" s="310"/>
      <c r="F64" s="247"/>
      <c r="G64" s="247"/>
      <c r="H64" s="246"/>
      <c r="I64" s="247"/>
      <c r="J64" s="296"/>
      <c r="K64" s="297"/>
      <c r="V64" s="210"/>
    </row>
    <row r="65" spans="2:22" ht="12.75" customHeight="1" collapsed="1">
      <c r="B65" s="289"/>
      <c r="C65" s="314"/>
      <c r="D65" s="316"/>
      <c r="E65" s="317"/>
      <c r="F65" s="301"/>
      <c r="G65" s="315"/>
      <c r="H65" s="264"/>
      <c r="I65" s="301"/>
      <c r="J65" s="302"/>
      <c r="K65" s="303"/>
      <c r="V65" s="210"/>
    </row>
    <row r="66" spans="2:22" ht="12.75" hidden="1" customHeight="1" outlineLevel="1">
      <c r="B66" s="290"/>
      <c r="C66" s="298"/>
      <c r="D66" s="248"/>
      <c r="E66" s="249"/>
      <c r="F66" s="237"/>
      <c r="G66" s="237"/>
      <c r="H66" s="240"/>
      <c r="I66" s="238"/>
      <c r="J66" s="222"/>
      <c r="K66" s="291"/>
      <c r="V66" s="210"/>
    </row>
    <row r="67" spans="2:22" ht="12.75" hidden="1" customHeight="1" outlineLevel="1">
      <c r="B67" s="729"/>
      <c r="C67" s="819"/>
      <c r="D67" s="820"/>
      <c r="E67" s="821"/>
      <c r="F67" s="814"/>
      <c r="G67" s="814"/>
      <c r="H67" s="817"/>
      <c r="I67" s="815"/>
      <c r="J67" s="816"/>
      <c r="K67" s="801"/>
    </row>
    <row r="68" spans="2:22" ht="12.75" hidden="1" customHeight="1" outlineLevel="1">
      <c r="B68" s="290"/>
      <c r="C68" s="238"/>
      <c r="D68" s="239"/>
      <c r="E68" s="223"/>
      <c r="F68" s="223"/>
      <c r="G68" s="308"/>
      <c r="H68" s="308"/>
      <c r="I68" s="228"/>
      <c r="J68" s="284"/>
      <c r="K68" s="292"/>
    </row>
    <row r="69" spans="2:22" ht="12.75" hidden="1" customHeight="1" outlineLevel="1">
      <c r="B69" s="290"/>
      <c r="C69" s="238"/>
      <c r="D69" s="239"/>
      <c r="E69" s="223"/>
      <c r="F69" s="223"/>
      <c r="G69" s="308"/>
      <c r="H69" s="308"/>
      <c r="I69" s="228"/>
      <c r="J69" s="284"/>
      <c r="K69" s="292"/>
    </row>
    <row r="70" spans="2:22" ht="12.75" hidden="1" customHeight="1" outlineLevel="1">
      <c r="B70" s="290"/>
      <c r="C70" s="238"/>
      <c r="D70" s="239"/>
      <c r="E70" s="223"/>
      <c r="F70" s="223"/>
      <c r="G70" s="308"/>
      <c r="H70" s="228"/>
      <c r="I70" s="228"/>
      <c r="J70" s="284"/>
      <c r="K70" s="292"/>
    </row>
    <row r="71" spans="2:22" ht="12.75" hidden="1" customHeight="1" outlineLevel="1">
      <c r="B71" s="290"/>
      <c r="C71" s="238"/>
      <c r="D71" s="239"/>
      <c r="E71" s="223"/>
      <c r="F71" s="223"/>
      <c r="G71" s="308"/>
      <c r="H71" s="228"/>
      <c r="I71" s="228"/>
      <c r="J71" s="284"/>
      <c r="K71" s="292"/>
    </row>
    <row r="72" spans="2:22" ht="12.75" hidden="1" customHeight="1" outlineLevel="1">
      <c r="B72" s="290"/>
      <c r="C72" s="238"/>
      <c r="D72" s="239"/>
      <c r="E72" s="223"/>
      <c r="F72" s="223"/>
      <c r="G72" s="308"/>
      <c r="H72" s="239"/>
      <c r="I72" s="228"/>
      <c r="J72" s="284"/>
      <c r="K72" s="292"/>
    </row>
    <row r="73" spans="2:22" ht="12.75" hidden="1" customHeight="1" outlineLevel="1">
      <c r="B73" s="269"/>
      <c r="C73" s="252"/>
      <c r="D73" s="247"/>
      <c r="E73" s="253"/>
      <c r="F73" s="247"/>
      <c r="G73" s="247"/>
      <c r="H73" s="246"/>
      <c r="I73" s="247"/>
      <c r="J73" s="296"/>
      <c r="K73" s="297"/>
    </row>
    <row r="74" spans="2:22" ht="12.75" customHeight="1" collapsed="1">
      <c r="B74" s="289"/>
      <c r="C74" s="314"/>
      <c r="D74" s="315"/>
      <c r="E74" s="301"/>
      <c r="F74" s="301"/>
      <c r="G74" s="315"/>
      <c r="H74" s="264"/>
      <c r="I74" s="301"/>
      <c r="J74" s="302"/>
      <c r="K74" s="303"/>
    </row>
    <row r="75" spans="2:22" ht="12.75" hidden="1" customHeight="1" outlineLevel="1">
      <c r="B75" s="290"/>
      <c r="D75" s="244"/>
      <c r="E75" s="237"/>
      <c r="F75" s="237"/>
      <c r="G75" s="237"/>
      <c r="H75" s="240"/>
      <c r="I75" s="238"/>
      <c r="J75" s="222"/>
      <c r="K75" s="291"/>
    </row>
    <row r="76" spans="2:22" ht="12.75" hidden="1" customHeight="1" outlineLevel="1">
      <c r="B76" s="729"/>
      <c r="C76" s="808"/>
      <c r="D76" s="812"/>
      <c r="E76" s="813"/>
      <c r="F76" s="814"/>
      <c r="G76" s="814"/>
      <c r="H76" s="817"/>
      <c r="I76" s="815"/>
      <c r="J76" s="816"/>
      <c r="K76" s="801"/>
    </row>
    <row r="77" spans="2:22" ht="12.75" hidden="1" customHeight="1" outlineLevel="1">
      <c r="B77" s="290"/>
      <c r="C77" s="238"/>
      <c r="D77" s="239"/>
      <c r="E77" s="223"/>
      <c r="F77" s="223"/>
      <c r="G77" s="308"/>
      <c r="H77" s="308"/>
      <c r="I77" s="228"/>
      <c r="J77" s="284"/>
      <c r="K77" s="292"/>
    </row>
    <row r="78" spans="2:22" ht="12.75" hidden="1" customHeight="1" outlineLevel="1">
      <c r="B78" s="290"/>
      <c r="C78" s="238"/>
      <c r="D78" s="239"/>
      <c r="E78" s="223"/>
      <c r="F78" s="223"/>
      <c r="G78" s="308"/>
      <c r="H78" s="308"/>
      <c r="I78" s="228"/>
      <c r="J78" s="284"/>
      <c r="K78" s="292"/>
    </row>
    <row r="79" spans="2:22" ht="12.75" hidden="1" customHeight="1" outlineLevel="1">
      <c r="B79" s="290"/>
      <c r="C79" s="238"/>
      <c r="D79" s="239"/>
      <c r="E79" s="223"/>
      <c r="F79" s="223"/>
      <c r="G79" s="308"/>
      <c r="H79" s="228"/>
      <c r="I79" s="228"/>
      <c r="J79" s="284"/>
      <c r="K79" s="292"/>
    </row>
    <row r="80" spans="2:22" ht="12.75" hidden="1" customHeight="1" outlineLevel="1">
      <c r="B80" s="290"/>
      <c r="C80" s="238"/>
      <c r="D80" s="239"/>
      <c r="E80" s="223"/>
      <c r="F80" s="223"/>
      <c r="G80" s="308"/>
      <c r="H80" s="228"/>
      <c r="I80" s="228"/>
      <c r="J80" s="284"/>
      <c r="K80" s="292"/>
    </row>
    <row r="81" spans="2:12" ht="12.75" hidden="1" customHeight="1" outlineLevel="1">
      <c r="B81" s="290"/>
      <c r="C81" s="238"/>
      <c r="D81" s="239"/>
      <c r="E81" s="223"/>
      <c r="F81" s="223"/>
      <c r="G81" s="308"/>
      <c r="H81" s="239"/>
      <c r="I81" s="228"/>
      <c r="J81" s="284"/>
      <c r="K81" s="292"/>
    </row>
    <row r="82" spans="2:12" ht="12.75" hidden="1" customHeight="1" outlineLevel="1">
      <c r="B82" s="269"/>
      <c r="C82" s="252"/>
      <c r="D82" s="247"/>
      <c r="E82" s="253"/>
      <c r="F82" s="247"/>
      <c r="G82" s="247"/>
      <c r="H82" s="246"/>
      <c r="I82" s="247"/>
      <c r="J82" s="296"/>
      <c r="K82" s="297"/>
    </row>
    <row r="83" spans="2:12" ht="12.75" customHeight="1" collapsed="1">
      <c r="B83" s="300"/>
      <c r="C83" s="314"/>
      <c r="D83" s="315"/>
      <c r="E83" s="301"/>
      <c r="F83" s="301"/>
      <c r="G83" s="315"/>
      <c r="H83" s="264"/>
      <c r="I83" s="301"/>
      <c r="J83" s="302"/>
      <c r="K83" s="303"/>
    </row>
    <row r="84" spans="2:12" ht="12.75" hidden="1" customHeight="1" outlineLevel="1">
      <c r="B84" s="290"/>
      <c r="D84" s="244"/>
      <c r="E84" s="237"/>
      <c r="F84" s="237"/>
      <c r="G84" s="237"/>
      <c r="H84" s="240"/>
      <c r="I84" s="238"/>
      <c r="J84" s="222"/>
      <c r="K84" s="291"/>
    </row>
    <row r="85" spans="2:12" ht="12.75" hidden="1" customHeight="1" outlineLevel="1">
      <c r="B85" s="729"/>
      <c r="C85" s="808"/>
      <c r="D85" s="812"/>
      <c r="E85" s="814"/>
      <c r="F85" s="814"/>
      <c r="G85" s="814"/>
      <c r="H85" s="817"/>
      <c r="I85" s="815"/>
      <c r="J85" s="816"/>
      <c r="K85" s="801"/>
    </row>
    <row r="86" spans="2:12" hidden="1" outlineLevel="1">
      <c r="B86" s="290"/>
      <c r="C86" s="238"/>
      <c r="D86" s="239"/>
      <c r="E86" s="223"/>
      <c r="F86" s="223"/>
      <c r="G86" s="308"/>
      <c r="H86" s="308"/>
      <c r="I86" s="228"/>
      <c r="J86" s="284"/>
      <c r="K86" s="292"/>
    </row>
    <row r="87" spans="2:12" ht="12.75" hidden="1" customHeight="1" outlineLevel="1">
      <c r="B87" s="290"/>
      <c r="C87" s="238"/>
      <c r="D87" s="239"/>
      <c r="E87" s="223"/>
      <c r="F87" s="223"/>
      <c r="G87" s="308"/>
      <c r="H87" s="308"/>
      <c r="I87" s="228"/>
      <c r="J87" s="284"/>
      <c r="K87" s="292"/>
    </row>
    <row r="88" spans="2:12" ht="12.75" hidden="1" customHeight="1" outlineLevel="1">
      <c r="B88" s="290"/>
      <c r="C88" s="238"/>
      <c r="D88" s="239"/>
      <c r="E88" s="223"/>
      <c r="F88" s="223"/>
      <c r="G88" s="308"/>
      <c r="H88" s="228"/>
      <c r="I88" s="228"/>
      <c r="J88" s="284"/>
      <c r="K88" s="292"/>
    </row>
    <row r="89" spans="2:12" ht="12.75" hidden="1" customHeight="1" outlineLevel="1">
      <c r="B89" s="290"/>
      <c r="C89" s="238"/>
      <c r="D89" s="239"/>
      <c r="E89" s="223"/>
      <c r="F89" s="223"/>
      <c r="G89" s="308"/>
      <c r="H89" s="228"/>
      <c r="I89" s="228"/>
      <c r="J89" s="284"/>
      <c r="K89" s="292"/>
    </row>
    <row r="90" spans="2:12" ht="12.75" hidden="1" customHeight="1" outlineLevel="1">
      <c r="B90" s="290"/>
      <c r="C90" s="238"/>
      <c r="D90" s="239"/>
      <c r="E90" s="223"/>
      <c r="F90" s="223"/>
      <c r="G90" s="308"/>
      <c r="H90" s="239"/>
      <c r="I90" s="228"/>
      <c r="J90" s="284"/>
      <c r="K90" s="292"/>
    </row>
    <row r="91" spans="2:12" ht="12.75" hidden="1" customHeight="1" outlineLevel="1">
      <c r="B91" s="269"/>
      <c r="C91" s="252"/>
      <c r="D91" s="247"/>
      <c r="E91" s="253"/>
      <c r="F91" s="247"/>
      <c r="G91" s="247"/>
      <c r="H91" s="246"/>
      <c r="I91" s="247"/>
      <c r="J91" s="296"/>
      <c r="K91" s="297"/>
      <c r="L91" s="203"/>
    </row>
    <row r="92" spans="2:12" ht="12.75" customHeight="1" collapsed="1">
      <c r="B92" s="300"/>
      <c r="C92" s="314"/>
      <c r="D92" s="315"/>
      <c r="E92" s="301"/>
      <c r="F92" s="301"/>
      <c r="G92" s="315"/>
      <c r="H92" s="264"/>
      <c r="I92" s="301"/>
      <c r="J92" s="302"/>
      <c r="K92" s="303"/>
      <c r="L92" s="203"/>
    </row>
    <row r="93" spans="2:12" ht="12.75" hidden="1" customHeight="1" outlineLevel="1">
      <c r="B93" s="290"/>
      <c r="D93" s="244"/>
      <c r="E93" s="237"/>
      <c r="F93" s="237"/>
      <c r="G93" s="237"/>
      <c r="H93" s="240"/>
      <c r="I93" s="238"/>
      <c r="J93" s="222"/>
      <c r="K93" s="291"/>
      <c r="L93" s="203"/>
    </row>
    <row r="94" spans="2:12" ht="12.75" hidden="1" customHeight="1" outlineLevel="1">
      <c r="B94" s="729"/>
      <c r="C94" s="808"/>
      <c r="D94" s="812"/>
      <c r="E94" s="814"/>
      <c r="F94" s="814"/>
      <c r="G94" s="814"/>
      <c r="H94" s="817"/>
      <c r="I94" s="815"/>
      <c r="J94" s="816"/>
      <c r="K94" s="801"/>
      <c r="L94" s="203"/>
    </row>
    <row r="95" spans="2:12" hidden="1" outlineLevel="1">
      <c r="B95" s="290"/>
      <c r="C95" s="238"/>
      <c r="D95" s="239"/>
      <c r="E95" s="223"/>
      <c r="F95" s="223"/>
      <c r="G95" s="308"/>
      <c r="H95" s="308"/>
      <c r="I95" s="228"/>
      <c r="J95" s="284"/>
      <c r="K95" s="292"/>
      <c r="L95" s="203"/>
    </row>
    <row r="96" spans="2:12" ht="12.75" hidden="1" customHeight="1" outlineLevel="1">
      <c r="B96" s="290"/>
      <c r="C96" s="238"/>
      <c r="D96" s="239"/>
      <c r="E96" s="223"/>
      <c r="F96" s="223"/>
      <c r="G96" s="308"/>
      <c r="H96" s="308"/>
      <c r="I96" s="228"/>
      <c r="J96" s="284"/>
      <c r="K96" s="292"/>
      <c r="L96" s="203"/>
    </row>
    <row r="97" spans="2:12" ht="12.75" hidden="1" customHeight="1" outlineLevel="1">
      <c r="B97" s="290"/>
      <c r="C97" s="238"/>
      <c r="D97" s="239"/>
      <c r="E97" s="223"/>
      <c r="F97" s="223"/>
      <c r="G97" s="308"/>
      <c r="H97" s="228"/>
      <c r="I97" s="228"/>
      <c r="J97" s="284"/>
      <c r="K97" s="292"/>
      <c r="L97" s="203"/>
    </row>
    <row r="98" spans="2:12" ht="12.75" hidden="1" customHeight="1" outlineLevel="1">
      <c r="B98" s="290"/>
      <c r="C98" s="238"/>
      <c r="D98" s="239"/>
      <c r="E98" s="223"/>
      <c r="F98" s="223"/>
      <c r="G98" s="308"/>
      <c r="H98" s="228"/>
      <c r="I98" s="228"/>
      <c r="J98" s="284"/>
      <c r="K98" s="292"/>
      <c r="L98" s="203"/>
    </row>
    <row r="99" spans="2:12" ht="12.75" hidden="1" customHeight="1" outlineLevel="1">
      <c r="B99" s="290"/>
      <c r="C99" s="238"/>
      <c r="D99" s="239"/>
      <c r="E99" s="223"/>
      <c r="F99" s="223"/>
      <c r="G99" s="308"/>
      <c r="H99" s="239"/>
      <c r="I99" s="228"/>
      <c r="J99" s="284"/>
      <c r="K99" s="292"/>
      <c r="L99" s="203"/>
    </row>
    <row r="100" spans="2:12" ht="12.75" hidden="1" customHeight="1" outlineLevel="1">
      <c r="B100" s="269"/>
      <c r="C100" s="252"/>
      <c r="D100" s="247"/>
      <c r="E100" s="253"/>
      <c r="F100" s="247"/>
      <c r="G100" s="247"/>
      <c r="H100" s="246"/>
      <c r="I100" s="247"/>
      <c r="J100" s="296"/>
      <c r="K100" s="297"/>
    </row>
    <row r="101" spans="2:12" ht="12.75" customHeight="1" collapsed="1">
      <c r="B101" s="269"/>
      <c r="C101" s="255"/>
      <c r="D101" s="247"/>
      <c r="E101" s="253"/>
      <c r="F101" s="247"/>
      <c r="G101" s="247"/>
      <c r="H101" s="246"/>
      <c r="I101" s="247"/>
      <c r="J101" s="296"/>
      <c r="K101" s="297"/>
    </row>
    <row r="102" spans="2:12" ht="12.75" customHeight="1">
      <c r="B102" s="289"/>
      <c r="C102" s="314"/>
      <c r="D102" s="316"/>
      <c r="E102" s="317"/>
      <c r="F102" s="301"/>
      <c r="G102" s="315"/>
      <c r="H102" s="264"/>
      <c r="I102" s="301"/>
      <c r="J102" s="302"/>
      <c r="K102" s="303"/>
    </row>
    <row r="103" spans="2:12" ht="12.75" hidden="1" customHeight="1" outlineLevel="1">
      <c r="B103" s="290"/>
      <c r="C103" s="201" t="s">
        <v>65</v>
      </c>
      <c r="D103" s="244" t="s">
        <v>66</v>
      </c>
      <c r="E103" s="237" t="s">
        <v>67</v>
      </c>
      <c r="F103" s="237"/>
      <c r="G103" s="237" t="s">
        <v>68</v>
      </c>
      <c r="H103" s="240" t="s">
        <v>69</v>
      </c>
      <c r="I103" s="238" t="s">
        <v>70</v>
      </c>
      <c r="J103" s="222" t="s">
        <v>37</v>
      </c>
      <c r="K103" s="291" t="s">
        <v>37</v>
      </c>
    </row>
    <row r="104" spans="2:12" ht="12.75" hidden="1" customHeight="1" outlineLevel="1">
      <c r="B104" s="729"/>
      <c r="C104" s="808" t="s">
        <v>71</v>
      </c>
      <c r="D104" s="812" t="s">
        <v>72</v>
      </c>
      <c r="E104" s="813" t="s">
        <v>73</v>
      </c>
      <c r="F104" s="814"/>
      <c r="G104" s="814" t="s">
        <v>74</v>
      </c>
      <c r="H104" s="817" t="s">
        <v>49</v>
      </c>
      <c r="I104" s="815" t="s">
        <v>74</v>
      </c>
      <c r="J104" s="816" t="s">
        <v>75</v>
      </c>
      <c r="K104" s="801" t="s">
        <v>76</v>
      </c>
    </row>
    <row r="105" spans="2:12" ht="12.75" hidden="1" customHeight="1" outlineLevel="1">
      <c r="B105" s="290"/>
      <c r="C105" s="238">
        <v>0</v>
      </c>
      <c r="D105" s="239">
        <f>+G$9</f>
        <v>400</v>
      </c>
      <c r="E105" s="223">
        <v>0</v>
      </c>
      <c r="F105" s="223"/>
      <c r="G105" s="308">
        <v>0</v>
      </c>
      <c r="H105" s="308">
        <v>0</v>
      </c>
      <c r="I105" s="228">
        <f>ROUND(G105-H105,0)</f>
        <v>0</v>
      </c>
      <c r="J105" s="284">
        <f>D105*E105</f>
        <v>0</v>
      </c>
      <c r="K105" s="292">
        <f>E105*I105</f>
        <v>0</v>
      </c>
    </row>
    <row r="106" spans="2:12" ht="12.75" hidden="1" customHeight="1" outlineLevel="1">
      <c r="B106" s="290"/>
      <c r="C106" s="238">
        <v>1</v>
      </c>
      <c r="D106" s="239">
        <f>+G$10</f>
        <v>670</v>
      </c>
      <c r="E106" s="223">
        <v>0</v>
      </c>
      <c r="F106" s="223"/>
      <c r="G106" s="308">
        <v>0</v>
      </c>
      <c r="H106" s="308">
        <v>0</v>
      </c>
      <c r="I106" s="228">
        <f>ROUND(G106-H106,0)</f>
        <v>0</v>
      </c>
      <c r="J106" s="284">
        <f>D106*E106</f>
        <v>0</v>
      </c>
      <c r="K106" s="292">
        <f>K132+K139+K146+K153+K160+K167+K181+K188+K195+K202+K174</f>
        <v>0</v>
      </c>
      <c r="L106" s="201" t="s">
        <v>79</v>
      </c>
    </row>
    <row r="107" spans="2:12" ht="12.75" hidden="1" customHeight="1" outlineLevel="1">
      <c r="B107" s="290"/>
      <c r="C107" s="238">
        <v>2</v>
      </c>
      <c r="D107" s="239">
        <f>+G$11</f>
        <v>1000</v>
      </c>
      <c r="E107" s="223">
        <v>0</v>
      </c>
      <c r="F107" s="223"/>
      <c r="G107" s="228">
        <v>0</v>
      </c>
      <c r="H107" s="228">
        <v>0</v>
      </c>
      <c r="I107" s="228">
        <f>ROUND(G107-H107,0)</f>
        <v>0</v>
      </c>
      <c r="J107" s="284">
        <f>D107*E107</f>
        <v>0</v>
      </c>
      <c r="K107" s="292">
        <f>K133+K140+K147+K154+K161+K168+K182+K189+K196+K203+K175</f>
        <v>0</v>
      </c>
      <c r="L107" s="201" t="s">
        <v>79</v>
      </c>
    </row>
    <row r="108" spans="2:12" ht="12.75" hidden="1" customHeight="1" outlineLevel="1">
      <c r="B108" s="290"/>
      <c r="C108" s="238">
        <v>3</v>
      </c>
      <c r="D108" s="239">
        <f>+G$12</f>
        <v>1220</v>
      </c>
      <c r="E108" s="256">
        <v>0</v>
      </c>
      <c r="F108" s="223"/>
      <c r="G108" s="223">
        <v>0</v>
      </c>
      <c r="H108" s="239">
        <v>0</v>
      </c>
      <c r="I108" s="228">
        <v>0</v>
      </c>
      <c r="J108" s="284">
        <f>D108*E108</f>
        <v>0</v>
      </c>
      <c r="K108" s="292">
        <f>E108*I108</f>
        <v>0</v>
      </c>
    </row>
    <row r="109" spans="2:12" ht="12.75" hidden="1" customHeight="1" outlineLevel="1">
      <c r="B109" s="290"/>
      <c r="C109" s="238">
        <v>4</v>
      </c>
      <c r="D109" s="239">
        <f>+G$13</f>
        <v>0</v>
      </c>
      <c r="E109" s="223"/>
      <c r="F109" s="223"/>
      <c r="G109" s="223"/>
      <c r="H109" s="239"/>
      <c r="I109" s="228"/>
      <c r="J109" s="284">
        <f>D109*E109</f>
        <v>0</v>
      </c>
      <c r="K109" s="292">
        <f>E109*I109</f>
        <v>0</v>
      </c>
      <c r="L109" s="203"/>
    </row>
    <row r="110" spans="2:12" ht="12.75" hidden="1" customHeight="1" outlineLevel="1">
      <c r="B110" s="304"/>
      <c r="C110" s="257" t="s">
        <v>59</v>
      </c>
      <c r="D110" s="258"/>
      <c r="E110" s="242">
        <f>SUM(E106:E109)</f>
        <v>0</v>
      </c>
      <c r="F110" s="241"/>
      <c r="G110" s="259"/>
      <c r="H110" s="260"/>
      <c r="I110" s="261"/>
      <c r="J110" s="243">
        <f>SUM(J106:J109)</f>
        <v>0</v>
      </c>
      <c r="K110" s="297">
        <f>SUM(K105:K109)</f>
        <v>0</v>
      </c>
      <c r="L110" s="201" t="s">
        <v>79</v>
      </c>
    </row>
    <row r="111" spans="2:12" ht="12.75" customHeight="1" collapsed="1">
      <c r="B111" s="304"/>
      <c r="C111" s="257"/>
      <c r="D111" s="258"/>
      <c r="E111" s="242"/>
      <c r="F111" s="241"/>
      <c r="G111" s="259"/>
      <c r="H111" s="260"/>
      <c r="I111" s="261"/>
      <c r="J111" s="243"/>
      <c r="K111" s="294"/>
    </row>
    <row r="112" spans="2:12" ht="12.75" customHeight="1">
      <c r="B112" s="289"/>
      <c r="C112" s="314" t="s">
        <v>80</v>
      </c>
      <c r="D112" s="316"/>
      <c r="E112" s="317"/>
      <c r="F112" s="301"/>
      <c r="G112" s="315"/>
      <c r="H112" s="264"/>
      <c r="I112" s="301"/>
      <c r="J112" s="302"/>
      <c r="K112" s="303"/>
    </row>
    <row r="113" spans="2:12" ht="12.75" customHeight="1" outlineLevel="1">
      <c r="B113" s="290"/>
      <c r="C113" s="201" t="s">
        <v>65</v>
      </c>
      <c r="D113" s="244" t="s">
        <v>66</v>
      </c>
      <c r="E113" s="237" t="s">
        <v>67</v>
      </c>
      <c r="F113" s="237"/>
      <c r="G113" s="237" t="s">
        <v>68</v>
      </c>
      <c r="H113" s="240" t="s">
        <v>69</v>
      </c>
      <c r="I113" s="238" t="s">
        <v>70</v>
      </c>
      <c r="J113" s="222" t="s">
        <v>37</v>
      </c>
      <c r="K113" s="291" t="s">
        <v>37</v>
      </c>
    </row>
    <row r="114" spans="2:12" ht="12.75" customHeight="1" outlineLevel="1">
      <c r="B114" s="729"/>
      <c r="C114" s="808" t="s">
        <v>71</v>
      </c>
      <c r="D114" s="812" t="s">
        <v>72</v>
      </c>
      <c r="E114" s="813" t="s">
        <v>73</v>
      </c>
      <c r="F114" s="814"/>
      <c r="G114" s="814" t="s">
        <v>74</v>
      </c>
      <c r="H114" s="817" t="s">
        <v>49</v>
      </c>
      <c r="I114" s="815" t="s">
        <v>74</v>
      </c>
      <c r="J114" s="816" t="s">
        <v>75</v>
      </c>
      <c r="K114" s="801" t="s">
        <v>76</v>
      </c>
    </row>
    <row r="115" spans="2:12" ht="12.75" customHeight="1" outlineLevel="1">
      <c r="B115" s="290"/>
      <c r="C115" s="238">
        <v>0</v>
      </c>
      <c r="D115" s="239">
        <f>+G$9</f>
        <v>400</v>
      </c>
      <c r="E115" s="223"/>
      <c r="F115" s="223"/>
      <c r="G115" s="223"/>
      <c r="H115" s="239"/>
      <c r="I115" s="228"/>
      <c r="J115" s="284">
        <f>D115*E115</f>
        <v>0</v>
      </c>
      <c r="K115" s="292">
        <f>E115*I115</f>
        <v>0</v>
      </c>
    </row>
    <row r="116" spans="2:12" ht="12.75" customHeight="1" outlineLevel="1">
      <c r="B116" s="290"/>
      <c r="C116" s="238">
        <v>1</v>
      </c>
      <c r="D116" s="239">
        <f>+G$10</f>
        <v>670</v>
      </c>
      <c r="E116" s="223">
        <v>0</v>
      </c>
      <c r="F116" s="223"/>
      <c r="G116" s="223">
        <v>0</v>
      </c>
      <c r="H116" s="239">
        <v>0</v>
      </c>
      <c r="I116" s="228">
        <v>0</v>
      </c>
      <c r="J116" s="284">
        <f>D116*E116</f>
        <v>0</v>
      </c>
      <c r="K116" s="292">
        <f>E116*I116</f>
        <v>0</v>
      </c>
    </row>
    <row r="117" spans="2:12" ht="12.75" customHeight="1" outlineLevel="1">
      <c r="B117" s="290"/>
      <c r="C117" s="238">
        <v>2</v>
      </c>
      <c r="D117" s="239">
        <v>1000</v>
      </c>
      <c r="E117" s="223">
        <v>2</v>
      </c>
      <c r="F117" s="223"/>
      <c r="G117" s="228">
        <v>0</v>
      </c>
      <c r="H117" s="228">
        <v>0</v>
      </c>
      <c r="I117" s="228">
        <v>0</v>
      </c>
      <c r="J117" s="284">
        <f>D117*E117</f>
        <v>2000</v>
      </c>
      <c r="K117" s="292">
        <f>E117*I117</f>
        <v>0</v>
      </c>
    </row>
    <row r="118" spans="2:12" ht="12.75" customHeight="1" outlineLevel="1">
      <c r="B118" s="290"/>
      <c r="C118" s="238">
        <v>3</v>
      </c>
      <c r="D118" s="239">
        <f>+G$12</f>
        <v>1220</v>
      </c>
      <c r="E118" s="256">
        <v>0</v>
      </c>
      <c r="F118" s="223"/>
      <c r="G118" s="223">
        <v>0</v>
      </c>
      <c r="H118" s="239">
        <v>0</v>
      </c>
      <c r="I118" s="228">
        <v>0</v>
      </c>
      <c r="J118" s="284">
        <f>D118*E118</f>
        <v>0</v>
      </c>
      <c r="K118" s="292">
        <f>E118*I118</f>
        <v>0</v>
      </c>
    </row>
    <row r="119" spans="2:12" ht="12.75" customHeight="1" outlineLevel="1">
      <c r="B119" s="290"/>
      <c r="C119" s="238">
        <v>4</v>
      </c>
      <c r="D119" s="239">
        <f>+G$13</f>
        <v>0</v>
      </c>
      <c r="E119" s="223"/>
      <c r="F119" s="223"/>
      <c r="G119" s="223"/>
      <c r="H119" s="239"/>
      <c r="I119" s="228"/>
      <c r="J119" s="284">
        <f>D119*E119</f>
        <v>0</v>
      </c>
      <c r="K119" s="292">
        <f>E119*I119</f>
        <v>0</v>
      </c>
      <c r="L119" s="203"/>
    </row>
    <row r="120" spans="2:12" ht="12.75" customHeight="1" outlineLevel="1">
      <c r="B120" s="304"/>
      <c r="C120" s="257" t="s">
        <v>59</v>
      </c>
      <c r="D120" s="258"/>
      <c r="E120" s="242">
        <f>SUM(E115:E119)</f>
        <v>2</v>
      </c>
      <c r="F120" s="241"/>
      <c r="G120" s="259"/>
      <c r="H120" s="260"/>
      <c r="I120" s="261"/>
      <c r="J120" s="243">
        <f>SUM(J116:J119)</f>
        <v>2000</v>
      </c>
      <c r="K120" s="294"/>
    </row>
    <row r="121" spans="2:12" ht="12.75" customHeight="1">
      <c r="B121" s="342"/>
      <c r="C121" s="343"/>
      <c r="D121" s="344"/>
      <c r="E121" s="253"/>
      <c r="F121" s="247"/>
      <c r="G121" s="345"/>
      <c r="H121" s="346"/>
      <c r="I121" s="347"/>
      <c r="J121" s="246"/>
      <c r="K121" s="297"/>
    </row>
    <row r="122" spans="2:12" ht="12.75" customHeight="1">
      <c r="B122" s="342"/>
      <c r="C122" s="257" t="s">
        <v>81</v>
      </c>
      <c r="D122" s="344"/>
      <c r="E122" s="310">
        <f>E28+E120+E110+E100+E91+E82+E73+E64+E55+E46+E37</f>
        <v>202</v>
      </c>
      <c r="F122" s="247"/>
      <c r="G122" s="345"/>
      <c r="H122" s="346"/>
      <c r="I122" s="347"/>
      <c r="J122" s="246"/>
      <c r="K122" s="297"/>
    </row>
    <row r="123" spans="2:12" ht="12.75" customHeight="1">
      <c r="B123" s="305"/>
      <c r="C123" s="306"/>
      <c r="D123" s="306"/>
      <c r="E123" s="306"/>
      <c r="F123" s="306"/>
      <c r="G123" s="306"/>
      <c r="H123" s="306"/>
      <c r="I123" s="306"/>
      <c r="J123" s="306"/>
      <c r="K123" s="307"/>
    </row>
    <row r="124" spans="2:12">
      <c r="L124" s="203"/>
    </row>
    <row r="125" spans="2:12">
      <c r="L125" s="203"/>
    </row>
    <row r="126" spans="2:12">
      <c r="L126" s="203"/>
    </row>
    <row r="127" spans="2:12" ht="16.5">
      <c r="C127" s="1619"/>
      <c r="L127" s="203"/>
    </row>
    <row r="128" spans="2:12" outlineLevel="1">
      <c r="C128" s="1620"/>
      <c r="D128" s="309"/>
      <c r="E128" s="245"/>
      <c r="F128" s="203"/>
      <c r="G128" s="1621"/>
      <c r="H128" s="1622"/>
      <c r="I128" s="203"/>
      <c r="J128" s="284"/>
      <c r="K128" s="285"/>
      <c r="L128" s="203"/>
    </row>
    <row r="129" spans="3:12" outlineLevel="1">
      <c r="D129" s="244"/>
      <c r="E129" s="237"/>
      <c r="F129" s="237"/>
      <c r="G129" s="237"/>
      <c r="H129" s="237"/>
      <c r="I129" s="238"/>
      <c r="J129" s="222"/>
      <c r="K129" s="222"/>
      <c r="L129" s="203"/>
    </row>
    <row r="130" spans="3:12" outlineLevel="1">
      <c r="D130" s="244"/>
      <c r="E130" s="1623"/>
      <c r="F130" s="238"/>
      <c r="G130" s="238"/>
      <c r="H130" s="238"/>
      <c r="I130" s="237"/>
      <c r="J130" s="222"/>
      <c r="K130" s="222"/>
      <c r="L130" s="203"/>
    </row>
    <row r="131" spans="3:12" outlineLevel="1">
      <c r="C131" s="238"/>
      <c r="D131" s="239"/>
      <c r="E131" s="223"/>
      <c r="F131" s="223"/>
      <c r="G131" s="308"/>
      <c r="H131" s="308"/>
      <c r="I131" s="228"/>
      <c r="J131" s="284"/>
      <c r="K131" s="285"/>
      <c r="L131" s="203"/>
    </row>
    <row r="132" spans="3:12" outlineLevel="1">
      <c r="C132" s="238"/>
      <c r="D132" s="239"/>
      <c r="E132" s="223"/>
      <c r="F132" s="223"/>
      <c r="G132" s="308"/>
      <c r="H132" s="308"/>
      <c r="I132" s="228"/>
      <c r="J132" s="284"/>
      <c r="K132" s="285"/>
      <c r="L132" s="203"/>
    </row>
    <row r="133" spans="3:12" outlineLevel="1">
      <c r="C133" s="238"/>
      <c r="D133" s="239"/>
      <c r="E133" s="223"/>
      <c r="F133" s="223"/>
      <c r="G133" s="308"/>
      <c r="H133" s="228"/>
      <c r="I133" s="228"/>
      <c r="J133" s="284"/>
      <c r="K133" s="285"/>
      <c r="L133" s="203"/>
    </row>
    <row r="134" spans="3:12" outlineLevel="1">
      <c r="C134" s="1624"/>
      <c r="D134" s="203"/>
      <c r="E134" s="1621"/>
      <c r="F134" s="203"/>
      <c r="G134" s="203"/>
      <c r="H134" s="1622"/>
      <c r="I134" s="203"/>
      <c r="J134" s="284"/>
      <c r="K134" s="285"/>
      <c r="L134" s="203"/>
    </row>
    <row r="135" spans="3:12" outlineLevel="1">
      <c r="C135" s="1620"/>
      <c r="D135" s="309"/>
      <c r="E135" s="245"/>
      <c r="F135" s="203"/>
      <c r="G135" s="1621"/>
      <c r="H135" s="1622"/>
      <c r="I135" s="203"/>
      <c r="J135" s="284"/>
      <c r="K135" s="285"/>
      <c r="L135" s="203"/>
    </row>
    <row r="136" spans="3:12" outlineLevel="1">
      <c r="D136" s="244"/>
      <c r="E136" s="237"/>
      <c r="F136" s="237"/>
      <c r="G136" s="237"/>
      <c r="H136" s="237"/>
      <c r="I136" s="238"/>
      <c r="J136" s="222"/>
      <c r="K136" s="222"/>
      <c r="L136" s="203"/>
    </row>
    <row r="137" spans="3:12" outlineLevel="1">
      <c r="D137" s="244"/>
      <c r="E137" s="1623"/>
      <c r="F137" s="238"/>
      <c r="G137" s="238"/>
      <c r="H137" s="238"/>
      <c r="I137" s="237"/>
      <c r="J137" s="222"/>
      <c r="K137" s="222"/>
    </row>
    <row r="138" spans="3:12" outlineLevel="1">
      <c r="C138" s="238"/>
      <c r="D138" s="239"/>
      <c r="E138" s="223"/>
      <c r="F138" s="223"/>
      <c r="G138" s="308"/>
      <c r="H138" s="308"/>
      <c r="I138" s="228"/>
      <c r="J138" s="284"/>
      <c r="K138" s="285"/>
    </row>
    <row r="139" spans="3:12" outlineLevel="1">
      <c r="C139" s="238"/>
      <c r="D139" s="239"/>
      <c r="E139" s="223"/>
      <c r="F139" s="223"/>
      <c r="G139" s="308"/>
      <c r="H139" s="308"/>
      <c r="I139" s="228"/>
      <c r="J139" s="284"/>
      <c r="K139" s="285"/>
    </row>
    <row r="140" spans="3:12" outlineLevel="1">
      <c r="C140" s="238"/>
      <c r="D140" s="239"/>
      <c r="E140" s="223"/>
      <c r="F140" s="223"/>
      <c r="G140" s="308"/>
      <c r="H140" s="228"/>
      <c r="I140" s="228"/>
      <c r="J140" s="284"/>
      <c r="K140" s="285"/>
    </row>
    <row r="141" spans="3:12" outlineLevel="1">
      <c r="C141" s="1624"/>
      <c r="D141" s="203"/>
      <c r="E141" s="1621"/>
      <c r="F141" s="203"/>
      <c r="G141" s="203"/>
      <c r="H141" s="1622"/>
      <c r="I141" s="203"/>
      <c r="J141" s="284"/>
      <c r="K141" s="285"/>
    </row>
    <row r="142" spans="3:12" outlineLevel="1">
      <c r="C142" s="1620"/>
      <c r="D142" s="309"/>
      <c r="E142" s="245"/>
      <c r="F142" s="203"/>
      <c r="G142" s="1621"/>
      <c r="H142" s="1622"/>
      <c r="I142" s="203"/>
      <c r="J142" s="284"/>
      <c r="K142" s="285"/>
    </row>
    <row r="143" spans="3:12" outlineLevel="1">
      <c r="D143" s="244"/>
      <c r="E143" s="237"/>
      <c r="F143" s="237"/>
      <c r="G143" s="237"/>
      <c r="H143" s="237"/>
      <c r="I143" s="238"/>
      <c r="J143" s="222"/>
      <c r="K143" s="222"/>
    </row>
    <row r="144" spans="3:12" outlineLevel="1">
      <c r="D144" s="244"/>
      <c r="E144" s="1623"/>
      <c r="F144" s="238"/>
      <c r="G144" s="238"/>
      <c r="H144" s="238"/>
      <c r="I144" s="237"/>
      <c r="J144" s="222"/>
      <c r="K144" s="222"/>
    </row>
    <row r="145" spans="3:13" ht="12.75" customHeight="1" outlineLevel="1">
      <c r="C145" s="238"/>
      <c r="D145" s="239"/>
      <c r="E145" s="223"/>
      <c r="F145" s="223"/>
      <c r="G145" s="308"/>
      <c r="H145" s="308"/>
      <c r="I145" s="228"/>
      <c r="J145" s="284"/>
      <c r="K145" s="285"/>
    </row>
    <row r="146" spans="3:13" ht="12.75" customHeight="1" outlineLevel="1">
      <c r="C146" s="238"/>
      <c r="D146" s="239"/>
      <c r="E146" s="223"/>
      <c r="F146" s="223"/>
      <c r="G146" s="308"/>
      <c r="H146" s="308"/>
      <c r="I146" s="228"/>
      <c r="J146" s="284"/>
      <c r="K146" s="285"/>
    </row>
    <row r="147" spans="3:13" outlineLevel="1">
      <c r="C147" s="238"/>
      <c r="D147" s="239"/>
      <c r="E147" s="223"/>
      <c r="F147" s="223"/>
      <c r="G147" s="308"/>
      <c r="H147" s="228"/>
      <c r="I147" s="228"/>
      <c r="J147" s="284"/>
      <c r="K147" s="285"/>
    </row>
    <row r="148" spans="3:13" outlineLevel="1">
      <c r="C148" s="1624"/>
      <c r="D148" s="203"/>
      <c r="E148" s="1621"/>
      <c r="F148" s="203"/>
      <c r="G148" s="203"/>
      <c r="H148" s="1622"/>
      <c r="I148" s="203"/>
      <c r="J148" s="284"/>
      <c r="K148" s="285"/>
    </row>
    <row r="149" spans="3:13" outlineLevel="1">
      <c r="C149" s="1620"/>
      <c r="D149" s="309"/>
      <c r="E149" s="245"/>
      <c r="F149" s="203"/>
      <c r="G149" s="1621"/>
      <c r="H149" s="1622"/>
      <c r="I149" s="203"/>
      <c r="J149" s="284"/>
      <c r="K149" s="285"/>
      <c r="M149" s="285"/>
    </row>
    <row r="150" spans="3:13" outlineLevel="1">
      <c r="D150" s="244"/>
      <c r="E150" s="237"/>
      <c r="F150" s="237"/>
      <c r="G150" s="237"/>
      <c r="H150" s="237"/>
      <c r="I150" s="238"/>
      <c r="J150" s="222"/>
      <c r="K150" s="222"/>
      <c r="M150" s="285"/>
    </row>
    <row r="151" spans="3:13" outlineLevel="1">
      <c r="D151" s="244"/>
      <c r="E151" s="1623"/>
      <c r="F151" s="238"/>
      <c r="G151" s="238"/>
      <c r="H151" s="238"/>
      <c r="I151" s="237"/>
      <c r="J151" s="222"/>
      <c r="K151" s="222"/>
    </row>
    <row r="152" spans="3:13" outlineLevel="1">
      <c r="C152" s="238"/>
      <c r="D152" s="239"/>
      <c r="E152" s="223"/>
      <c r="F152" s="223"/>
      <c r="G152" s="308"/>
      <c r="H152" s="308"/>
      <c r="I152" s="228"/>
      <c r="J152" s="284"/>
      <c r="K152" s="285"/>
    </row>
    <row r="153" spans="3:13" outlineLevel="1">
      <c r="C153" s="238"/>
      <c r="D153" s="239"/>
      <c r="E153" s="223"/>
      <c r="F153" s="223"/>
      <c r="G153" s="308"/>
      <c r="H153" s="308"/>
      <c r="I153" s="228"/>
      <c r="J153" s="284"/>
      <c r="K153" s="285"/>
    </row>
    <row r="154" spans="3:13" outlineLevel="1">
      <c r="C154" s="238"/>
      <c r="D154" s="239"/>
      <c r="E154" s="223"/>
      <c r="F154" s="223"/>
      <c r="G154" s="308"/>
      <c r="H154" s="228"/>
      <c r="I154" s="228"/>
      <c r="J154" s="284"/>
      <c r="K154" s="285"/>
    </row>
    <row r="155" spans="3:13" outlineLevel="1">
      <c r="C155" s="1624"/>
      <c r="D155" s="203"/>
      <c r="E155" s="1621"/>
      <c r="F155" s="203"/>
      <c r="G155" s="203"/>
      <c r="H155" s="1622"/>
      <c r="I155" s="203"/>
      <c r="J155" s="284"/>
      <c r="K155" s="285"/>
    </row>
    <row r="156" spans="3:13" outlineLevel="1">
      <c r="C156" s="1620"/>
      <c r="D156" s="309"/>
      <c r="E156" s="245"/>
      <c r="F156" s="203"/>
      <c r="G156" s="1621"/>
      <c r="H156" s="1622"/>
      <c r="I156" s="203"/>
      <c r="J156" s="284"/>
      <c r="K156" s="285"/>
    </row>
    <row r="157" spans="3:13" outlineLevel="1">
      <c r="D157" s="244"/>
      <c r="E157" s="237"/>
      <c r="F157" s="237"/>
      <c r="G157" s="237"/>
      <c r="H157" s="237"/>
      <c r="I157" s="238"/>
      <c r="J157" s="222"/>
      <c r="K157" s="222"/>
    </row>
    <row r="158" spans="3:13" outlineLevel="1">
      <c r="D158" s="244"/>
      <c r="E158" s="1623"/>
      <c r="F158" s="238"/>
      <c r="G158" s="238"/>
      <c r="H158" s="238"/>
      <c r="I158" s="237"/>
      <c r="J158" s="222"/>
      <c r="K158" s="222"/>
    </row>
    <row r="159" spans="3:13" outlineLevel="1">
      <c r="C159" s="238"/>
      <c r="D159" s="239"/>
      <c r="E159" s="223"/>
      <c r="F159" s="223"/>
      <c r="G159" s="308"/>
      <c r="H159" s="308"/>
      <c r="I159" s="228"/>
      <c r="J159" s="284"/>
      <c r="K159" s="285"/>
    </row>
    <row r="160" spans="3:13" outlineLevel="1">
      <c r="C160" s="238"/>
      <c r="D160" s="239"/>
      <c r="E160" s="223"/>
      <c r="F160" s="223"/>
      <c r="G160" s="308"/>
      <c r="H160" s="308"/>
      <c r="I160" s="228"/>
      <c r="J160" s="284"/>
      <c r="K160" s="285"/>
    </row>
    <row r="161" spans="3:17" outlineLevel="1">
      <c r="C161" s="238"/>
      <c r="D161" s="239"/>
      <c r="E161" s="223"/>
      <c r="F161" s="223"/>
      <c r="G161" s="308"/>
      <c r="H161" s="228"/>
      <c r="I161" s="228"/>
      <c r="J161" s="284"/>
      <c r="K161" s="285"/>
    </row>
    <row r="162" spans="3:17" outlineLevel="1">
      <c r="C162" s="1624"/>
      <c r="D162" s="203"/>
      <c r="E162" s="1621"/>
      <c r="F162" s="203"/>
      <c r="G162" s="203"/>
      <c r="H162" s="1622"/>
      <c r="I162" s="203"/>
      <c r="J162" s="284"/>
      <c r="K162" s="285"/>
    </row>
    <row r="163" spans="3:17" outlineLevel="1">
      <c r="C163" s="1620"/>
      <c r="D163" s="309"/>
      <c r="E163" s="245"/>
      <c r="F163" s="203"/>
      <c r="G163" s="1621"/>
      <c r="H163" s="1622"/>
      <c r="I163" s="203"/>
      <c r="J163" s="284"/>
      <c r="K163" s="285"/>
    </row>
    <row r="164" spans="3:17" outlineLevel="1">
      <c r="D164" s="244"/>
      <c r="E164" s="237"/>
      <c r="F164" s="237"/>
      <c r="G164" s="237"/>
      <c r="H164" s="237"/>
      <c r="I164" s="238"/>
      <c r="J164" s="222"/>
      <c r="K164" s="222"/>
    </row>
    <row r="165" spans="3:17" outlineLevel="1">
      <c r="D165" s="244"/>
      <c r="E165" s="1623"/>
      <c r="F165" s="238"/>
      <c r="G165" s="238"/>
      <c r="H165" s="238"/>
      <c r="I165" s="237"/>
      <c r="J165" s="222"/>
      <c r="K165" s="222"/>
    </row>
    <row r="166" spans="3:17" outlineLevel="1">
      <c r="C166" s="238"/>
      <c r="D166" s="239"/>
      <c r="E166" s="223"/>
      <c r="F166" s="223"/>
      <c r="G166" s="308"/>
      <c r="H166" s="308"/>
      <c r="I166" s="228"/>
      <c r="J166" s="284"/>
      <c r="K166" s="285"/>
    </row>
    <row r="167" spans="3:17" outlineLevel="1">
      <c r="C167" s="238"/>
      <c r="D167" s="239"/>
      <c r="E167" s="223"/>
      <c r="F167" s="223"/>
      <c r="G167" s="308"/>
      <c r="H167" s="308"/>
      <c r="I167" s="228"/>
      <c r="J167" s="284"/>
      <c r="K167" s="285"/>
    </row>
    <row r="168" spans="3:17" outlineLevel="1">
      <c r="C168" s="238"/>
      <c r="D168" s="239"/>
      <c r="E168" s="223"/>
      <c r="F168" s="223"/>
      <c r="G168" s="308"/>
      <c r="H168" s="228"/>
      <c r="I168" s="228"/>
      <c r="J168" s="284"/>
      <c r="K168" s="285"/>
    </row>
    <row r="169" spans="3:17" outlineLevel="1">
      <c r="C169" s="1624"/>
      <c r="D169" s="203"/>
      <c r="E169" s="1621"/>
      <c r="F169" s="203"/>
      <c r="G169" s="203"/>
      <c r="H169" s="1622"/>
      <c r="I169" s="203"/>
      <c r="J169" s="284"/>
      <c r="K169" s="285"/>
    </row>
    <row r="170" spans="3:17" outlineLevel="1">
      <c r="C170" s="1620"/>
      <c r="D170" s="309"/>
      <c r="E170" s="245"/>
      <c r="F170" s="203"/>
      <c r="G170" s="1621"/>
      <c r="H170" s="1622"/>
      <c r="I170" s="203"/>
      <c r="J170" s="284"/>
      <c r="K170" s="285"/>
    </row>
    <row r="171" spans="3:17" outlineLevel="1">
      <c r="D171" s="244"/>
      <c r="E171" s="237"/>
      <c r="F171" s="237"/>
      <c r="G171" s="237"/>
      <c r="H171" s="237"/>
      <c r="I171" s="238"/>
      <c r="J171" s="222"/>
      <c r="K171" s="222"/>
    </row>
    <row r="172" spans="3:17" outlineLevel="1">
      <c r="D172" s="244"/>
      <c r="E172" s="1623"/>
      <c r="F172" s="238"/>
      <c r="G172" s="238"/>
      <c r="H172" s="238"/>
      <c r="I172" s="237"/>
      <c r="J172" s="222"/>
      <c r="K172" s="222"/>
    </row>
    <row r="173" spans="3:17" outlineLevel="1">
      <c r="C173" s="238"/>
      <c r="D173" s="239"/>
      <c r="E173" s="223"/>
      <c r="F173" s="223"/>
      <c r="G173" s="308"/>
      <c r="H173" s="308"/>
      <c r="I173" s="228"/>
      <c r="J173" s="284"/>
      <c r="K173" s="285"/>
    </row>
    <row r="174" spans="3:17" outlineLevel="1">
      <c r="C174" s="238"/>
      <c r="D174" s="239"/>
      <c r="E174" s="223"/>
      <c r="F174" s="223"/>
      <c r="G174" s="308"/>
      <c r="H174" s="308"/>
      <c r="I174" s="228"/>
      <c r="J174" s="284"/>
      <c r="K174" s="285"/>
      <c r="O174" s="298"/>
    </row>
    <row r="175" spans="3:17" outlineLevel="1">
      <c r="C175" s="238"/>
      <c r="D175" s="239"/>
      <c r="E175" s="223"/>
      <c r="F175" s="223"/>
      <c r="G175" s="308"/>
      <c r="H175" s="228"/>
      <c r="I175" s="228"/>
      <c r="J175" s="284"/>
      <c r="K175" s="285"/>
      <c r="O175" s="298"/>
    </row>
    <row r="176" spans="3:17" outlineLevel="1">
      <c r="C176" s="1624"/>
      <c r="D176" s="203"/>
      <c r="E176" s="1621"/>
      <c r="F176" s="203"/>
      <c r="G176" s="203"/>
      <c r="H176" s="1622"/>
      <c r="I176" s="203"/>
      <c r="J176" s="284"/>
      <c r="K176" s="285"/>
      <c r="O176" s="298"/>
      <c r="Q176" s="298"/>
    </row>
    <row r="177" spans="3:15" outlineLevel="1">
      <c r="C177" s="1620"/>
      <c r="D177" s="309"/>
      <c r="E177" s="245"/>
      <c r="F177" s="203"/>
      <c r="G177" s="1621"/>
      <c r="H177" s="1622"/>
      <c r="I177" s="203"/>
      <c r="J177" s="284"/>
      <c r="K177" s="285"/>
    </row>
    <row r="178" spans="3:15" outlineLevel="1">
      <c r="D178" s="244"/>
      <c r="E178" s="237"/>
      <c r="F178" s="237"/>
      <c r="G178" s="237"/>
      <c r="H178" s="237"/>
      <c r="I178" s="238"/>
      <c r="J178" s="222"/>
      <c r="K178" s="222"/>
    </row>
    <row r="179" spans="3:15" outlineLevel="1">
      <c r="D179" s="244"/>
      <c r="E179" s="1623"/>
      <c r="F179" s="238"/>
      <c r="G179" s="238"/>
      <c r="H179" s="238"/>
      <c r="I179" s="237"/>
      <c r="J179" s="222"/>
      <c r="K179" s="222"/>
    </row>
    <row r="180" spans="3:15" outlineLevel="1">
      <c r="C180" s="238"/>
      <c r="D180" s="239"/>
      <c r="E180" s="223"/>
      <c r="F180" s="223"/>
      <c r="G180" s="308"/>
      <c r="H180" s="308"/>
      <c r="I180" s="228"/>
      <c r="J180" s="284"/>
      <c r="K180" s="285"/>
    </row>
    <row r="181" spans="3:15" outlineLevel="1">
      <c r="C181" s="238"/>
      <c r="D181" s="239"/>
      <c r="E181" s="223"/>
      <c r="F181" s="223"/>
      <c r="G181" s="308"/>
      <c r="H181" s="308"/>
      <c r="I181" s="228"/>
      <c r="J181" s="284"/>
      <c r="K181" s="285"/>
    </row>
    <row r="182" spans="3:15" outlineLevel="1">
      <c r="C182" s="238"/>
      <c r="D182" s="239"/>
      <c r="E182" s="223"/>
      <c r="F182" s="223"/>
      <c r="G182" s="308"/>
      <c r="H182" s="228"/>
      <c r="I182" s="228"/>
      <c r="J182" s="284"/>
      <c r="K182" s="285"/>
    </row>
    <row r="183" spans="3:15" outlineLevel="1">
      <c r="C183" s="1624"/>
      <c r="D183" s="203"/>
      <c r="E183" s="1621"/>
      <c r="F183" s="203"/>
      <c r="G183" s="203"/>
      <c r="H183" s="1622"/>
      <c r="I183" s="203"/>
      <c r="J183" s="284"/>
      <c r="K183" s="285"/>
      <c r="O183" s="1625"/>
    </row>
    <row r="184" spans="3:15" outlineLevel="1">
      <c r="C184" s="1620"/>
      <c r="D184" s="309"/>
      <c r="E184" s="245"/>
      <c r="F184" s="203"/>
      <c r="G184" s="1621"/>
      <c r="H184" s="1622"/>
      <c r="I184" s="203"/>
      <c r="J184" s="284"/>
      <c r="K184" s="285"/>
      <c r="O184" s="1625"/>
    </row>
    <row r="185" spans="3:15" outlineLevel="1">
      <c r="D185" s="244"/>
      <c r="E185" s="237"/>
      <c r="F185" s="237"/>
      <c r="G185" s="237"/>
      <c r="H185" s="237"/>
      <c r="I185" s="238"/>
      <c r="J185" s="222"/>
      <c r="K185" s="222"/>
      <c r="O185" s="1625"/>
    </row>
    <row r="186" spans="3:15" outlineLevel="1">
      <c r="D186" s="244"/>
      <c r="E186" s="1623"/>
      <c r="F186" s="238"/>
      <c r="G186" s="238"/>
      <c r="H186" s="238"/>
      <c r="I186" s="237"/>
      <c r="J186" s="222"/>
      <c r="K186" s="222"/>
      <c r="O186" s="1625"/>
    </row>
    <row r="187" spans="3:15" outlineLevel="1">
      <c r="C187" s="238"/>
      <c r="D187" s="239"/>
      <c r="E187" s="223"/>
      <c r="F187" s="223"/>
      <c r="G187" s="308"/>
      <c r="H187" s="308"/>
      <c r="I187" s="228"/>
      <c r="J187" s="284"/>
      <c r="K187" s="285"/>
      <c r="O187" s="1625"/>
    </row>
    <row r="188" spans="3:15" outlineLevel="1">
      <c r="C188" s="238"/>
      <c r="D188" s="239"/>
      <c r="E188" s="223"/>
      <c r="F188" s="223"/>
      <c r="G188" s="308"/>
      <c r="H188" s="308"/>
      <c r="I188" s="228"/>
      <c r="J188" s="284"/>
      <c r="K188" s="285"/>
      <c r="O188" s="1625"/>
    </row>
    <row r="189" spans="3:15" outlineLevel="1">
      <c r="C189" s="238"/>
      <c r="D189" s="239"/>
      <c r="E189" s="223"/>
      <c r="F189" s="223"/>
      <c r="G189" s="308"/>
      <c r="H189" s="228"/>
      <c r="I189" s="228"/>
      <c r="J189" s="284"/>
      <c r="K189" s="285"/>
      <c r="O189" s="1625"/>
    </row>
    <row r="190" spans="3:15" outlineLevel="1">
      <c r="C190" s="1624"/>
      <c r="D190" s="203"/>
      <c r="E190" s="1621"/>
      <c r="F190" s="203"/>
      <c r="G190" s="203"/>
      <c r="H190" s="1622"/>
      <c r="I190" s="203"/>
      <c r="J190" s="284"/>
      <c r="K190" s="285"/>
      <c r="O190" s="1625"/>
    </row>
    <row r="191" spans="3:15" outlineLevel="1">
      <c r="C191" s="1620"/>
      <c r="D191" s="309"/>
      <c r="E191" s="245"/>
      <c r="F191" s="203"/>
      <c r="G191" s="1621"/>
      <c r="H191" s="1622"/>
      <c r="I191" s="203"/>
      <c r="J191" s="284"/>
      <c r="K191" s="285"/>
      <c r="O191" s="1625"/>
    </row>
    <row r="192" spans="3:15" outlineLevel="1">
      <c r="D192" s="244"/>
      <c r="E192" s="237"/>
      <c r="F192" s="237"/>
      <c r="G192" s="237"/>
      <c r="H192" s="237"/>
      <c r="I192" s="238"/>
      <c r="J192" s="222"/>
      <c r="K192" s="222"/>
      <c r="O192" s="1625"/>
    </row>
    <row r="193" spans="3:15" outlineLevel="1">
      <c r="D193" s="244"/>
      <c r="E193" s="1623"/>
      <c r="F193" s="238"/>
      <c r="G193" s="238"/>
      <c r="H193" s="238"/>
      <c r="I193" s="237"/>
      <c r="J193" s="222"/>
      <c r="K193" s="222"/>
      <c r="O193" s="1625"/>
    </row>
    <row r="194" spans="3:15" outlineLevel="1">
      <c r="C194" s="238"/>
      <c r="D194" s="239"/>
      <c r="E194" s="223"/>
      <c r="F194" s="223"/>
      <c r="G194" s="308"/>
      <c r="H194" s="308"/>
      <c r="I194" s="228"/>
      <c r="J194" s="284"/>
      <c r="K194" s="285"/>
      <c r="O194" s="1625"/>
    </row>
    <row r="195" spans="3:15" outlineLevel="1">
      <c r="C195" s="238"/>
      <c r="D195" s="239"/>
      <c r="E195" s="223"/>
      <c r="F195" s="223"/>
      <c r="G195" s="308"/>
      <c r="H195" s="308"/>
      <c r="I195" s="228"/>
      <c r="J195" s="284"/>
      <c r="K195" s="285"/>
      <c r="O195" s="1625"/>
    </row>
    <row r="196" spans="3:15" outlineLevel="1">
      <c r="C196" s="238"/>
      <c r="D196" s="239"/>
      <c r="E196" s="223"/>
      <c r="F196" s="223"/>
      <c r="G196" s="308"/>
      <c r="H196" s="228"/>
      <c r="I196" s="228"/>
      <c r="J196" s="284"/>
      <c r="K196" s="285"/>
      <c r="O196" s="1625"/>
    </row>
    <row r="197" spans="3:15" outlineLevel="1">
      <c r="C197" s="1624"/>
      <c r="D197" s="203"/>
      <c r="E197" s="1621"/>
      <c r="F197" s="203"/>
      <c r="G197" s="203"/>
      <c r="H197" s="1622"/>
      <c r="I197" s="203"/>
      <c r="J197" s="284"/>
      <c r="K197" s="285"/>
      <c r="O197" s="1625"/>
    </row>
    <row r="198" spans="3:15" outlineLevel="1">
      <c r="C198" s="1620"/>
      <c r="D198" s="309"/>
      <c r="E198" s="245"/>
      <c r="F198" s="203"/>
      <c r="G198" s="1621"/>
      <c r="H198" s="1622"/>
      <c r="I198" s="203"/>
      <c r="J198" s="284"/>
      <c r="K198" s="285"/>
      <c r="O198" s="1625"/>
    </row>
    <row r="199" spans="3:15" outlineLevel="1">
      <c r="D199" s="244"/>
      <c r="E199" s="237"/>
      <c r="F199" s="237"/>
      <c r="G199" s="237"/>
      <c r="H199" s="237"/>
      <c r="I199" s="238"/>
      <c r="J199" s="222"/>
      <c r="K199" s="222"/>
      <c r="O199" s="1625"/>
    </row>
    <row r="200" spans="3:15" outlineLevel="1">
      <c r="D200" s="244"/>
      <c r="E200" s="1623"/>
      <c r="F200" s="238"/>
      <c r="G200" s="238"/>
      <c r="H200" s="238"/>
      <c r="I200" s="237"/>
      <c r="J200" s="222"/>
      <c r="K200" s="222"/>
      <c r="O200" s="1625"/>
    </row>
    <row r="201" spans="3:15" outlineLevel="1">
      <c r="C201" s="238"/>
      <c r="D201" s="239"/>
      <c r="E201" s="223"/>
      <c r="F201" s="223"/>
      <c r="G201" s="308"/>
      <c r="H201" s="308"/>
      <c r="I201" s="228"/>
      <c r="J201" s="284"/>
      <c r="K201" s="285"/>
      <c r="O201" s="1625"/>
    </row>
    <row r="202" spans="3:15" outlineLevel="1">
      <c r="C202" s="238"/>
      <c r="D202" s="239"/>
      <c r="E202" s="223"/>
      <c r="F202" s="223"/>
      <c r="G202" s="308"/>
      <c r="H202" s="308"/>
      <c r="I202" s="228"/>
      <c r="J202" s="284"/>
      <c r="K202" s="285"/>
      <c r="O202" s="1625"/>
    </row>
    <row r="203" spans="3:15" outlineLevel="1">
      <c r="C203" s="238"/>
      <c r="D203" s="239"/>
      <c r="E203" s="223"/>
      <c r="F203" s="223"/>
      <c r="G203" s="308"/>
      <c r="H203" s="228"/>
      <c r="I203" s="228"/>
      <c r="J203" s="284"/>
      <c r="K203" s="285"/>
      <c r="O203" s="1625"/>
    </row>
    <row r="204" spans="3:15" outlineLevel="1">
      <c r="C204" s="1624"/>
      <c r="D204" s="203"/>
      <c r="E204" s="1621"/>
      <c r="F204" s="203"/>
      <c r="G204" s="203"/>
      <c r="H204" s="1622"/>
      <c r="I204" s="203"/>
      <c r="J204" s="284"/>
      <c r="K204" s="285"/>
      <c r="O204" s="1625"/>
    </row>
    <row r="205" spans="3:15" outlineLevel="1">
      <c r="O205" s="1625"/>
    </row>
    <row r="206" spans="3:15" outlineLevel="1">
      <c r="C206" s="288"/>
      <c r="D206" s="288"/>
      <c r="E206" s="288"/>
      <c r="J206" s="1626"/>
      <c r="O206" s="1625"/>
    </row>
    <row r="207" spans="3:15" outlineLevel="1">
      <c r="O207" s="1625"/>
    </row>
    <row r="208" spans="3:15" outlineLevel="1"/>
    <row r="209" spans="3:11" ht="16.5" outlineLevel="1">
      <c r="C209" s="1619"/>
    </row>
    <row r="210" spans="3:11" outlineLevel="1">
      <c r="C210" s="1620"/>
      <c r="D210" s="309"/>
      <c r="E210" s="245"/>
      <c r="F210" s="203"/>
      <c r="G210" s="1621"/>
      <c r="H210" s="1622"/>
      <c r="I210" s="203"/>
      <c r="J210" s="284"/>
      <c r="K210" s="285"/>
    </row>
    <row r="211" spans="3:11" outlineLevel="1">
      <c r="D211" s="244"/>
      <c r="E211" s="237"/>
      <c r="F211" s="237"/>
      <c r="G211" s="237"/>
      <c r="H211" s="237"/>
      <c r="I211" s="238"/>
      <c r="J211" s="222"/>
      <c r="K211" s="222"/>
    </row>
    <row r="212" spans="3:11" outlineLevel="1">
      <c r="D212" s="244"/>
      <c r="E212" s="1623"/>
      <c r="F212" s="238"/>
      <c r="G212" s="238"/>
      <c r="H212" s="238"/>
      <c r="I212" s="237"/>
      <c r="J212" s="222"/>
      <c r="K212" s="222"/>
    </row>
    <row r="213" spans="3:11" outlineLevel="1">
      <c r="C213" s="238"/>
      <c r="D213" s="239"/>
      <c r="E213" s="223"/>
      <c r="F213" s="223"/>
      <c r="G213" s="308"/>
      <c r="H213" s="308"/>
      <c r="I213" s="228"/>
      <c r="J213" s="284"/>
      <c r="K213" s="285"/>
    </row>
    <row r="214" spans="3:11" outlineLevel="1">
      <c r="C214" s="238"/>
      <c r="D214" s="239"/>
      <c r="E214" s="223"/>
      <c r="F214" s="223"/>
      <c r="G214" s="308"/>
      <c r="H214" s="308"/>
      <c r="I214" s="228"/>
      <c r="J214" s="284"/>
      <c r="K214" s="285"/>
    </row>
    <row r="215" spans="3:11" outlineLevel="1">
      <c r="C215" s="238"/>
      <c r="D215" s="239"/>
      <c r="E215" s="223"/>
      <c r="F215" s="223"/>
      <c r="G215" s="308"/>
      <c r="H215" s="228"/>
      <c r="I215" s="228"/>
      <c r="J215" s="284"/>
      <c r="K215" s="285"/>
    </row>
    <row r="216" spans="3:11" outlineLevel="1">
      <c r="C216" s="1624"/>
      <c r="D216" s="203"/>
      <c r="E216" s="1621"/>
      <c r="F216" s="203"/>
      <c r="G216" s="203"/>
      <c r="H216" s="1622"/>
      <c r="I216" s="203"/>
      <c r="J216" s="284"/>
      <c r="K216" s="285"/>
    </row>
    <row r="217" spans="3:11" outlineLevel="1">
      <c r="C217" s="1620"/>
      <c r="D217" s="309"/>
      <c r="E217" s="245"/>
      <c r="F217" s="203"/>
      <c r="G217" s="1621"/>
      <c r="H217" s="1622"/>
      <c r="I217" s="203"/>
      <c r="J217" s="284"/>
      <c r="K217" s="285"/>
    </row>
    <row r="218" spans="3:11" outlineLevel="1">
      <c r="D218" s="244"/>
      <c r="E218" s="237"/>
      <c r="F218" s="237"/>
      <c r="G218" s="237"/>
      <c r="H218" s="240"/>
      <c r="I218" s="238"/>
      <c r="J218" s="222"/>
      <c r="K218" s="222"/>
    </row>
    <row r="219" spans="3:11" outlineLevel="1">
      <c r="D219" s="244"/>
      <c r="E219" s="238"/>
      <c r="F219" s="238"/>
      <c r="G219" s="238"/>
      <c r="H219" s="1627"/>
      <c r="I219" s="237"/>
      <c r="J219" s="222"/>
      <c r="K219" s="222"/>
    </row>
    <row r="220" spans="3:11" outlineLevel="1">
      <c r="C220" s="222"/>
      <c r="D220" s="239"/>
      <c r="E220" s="223"/>
      <c r="F220" s="223"/>
      <c r="G220" s="308"/>
      <c r="H220" s="308"/>
      <c r="I220" s="228"/>
      <c r="J220" s="284"/>
      <c r="K220" s="285"/>
    </row>
    <row r="221" spans="3:11" outlineLevel="1">
      <c r="C221" s="238"/>
      <c r="D221" s="239"/>
      <c r="E221" s="223"/>
      <c r="F221" s="223"/>
      <c r="G221" s="308"/>
      <c r="H221" s="308"/>
      <c r="I221" s="228"/>
      <c r="J221" s="284"/>
      <c r="K221" s="285"/>
    </row>
    <row r="222" spans="3:11" outlineLevel="1">
      <c r="C222" s="238"/>
      <c r="D222" s="239"/>
      <c r="E222" s="223"/>
      <c r="F222" s="223"/>
      <c r="G222" s="308"/>
      <c r="H222" s="228"/>
      <c r="I222" s="228"/>
      <c r="J222" s="284"/>
      <c r="K222" s="285"/>
    </row>
    <row r="223" spans="3:11" outlineLevel="1">
      <c r="C223" s="312"/>
      <c r="D223" s="245"/>
      <c r="E223" s="309"/>
      <c r="F223" s="203"/>
      <c r="G223" s="203"/>
      <c r="H223" s="1622"/>
      <c r="I223" s="203"/>
      <c r="J223" s="284"/>
      <c r="K223" s="285"/>
    </row>
    <row r="224" spans="3:11" outlineLevel="1">
      <c r="C224" s="1620"/>
      <c r="D224" s="309"/>
      <c r="E224" s="245"/>
      <c r="F224" s="203"/>
      <c r="G224" s="1621"/>
      <c r="H224" s="1622"/>
      <c r="I224" s="203"/>
      <c r="J224" s="284"/>
      <c r="K224" s="285"/>
    </row>
    <row r="225" spans="3:11" outlineLevel="1">
      <c r="C225" s="298"/>
      <c r="D225" s="248"/>
      <c r="E225" s="249"/>
      <c r="F225" s="237"/>
      <c r="G225" s="237"/>
      <c r="H225" s="240"/>
      <c r="I225" s="238"/>
      <c r="J225" s="222"/>
      <c r="K225" s="222"/>
    </row>
    <row r="226" spans="3:11" outlineLevel="1">
      <c r="C226" s="298"/>
      <c r="D226" s="248"/>
      <c r="E226" s="1628"/>
      <c r="F226" s="238"/>
      <c r="G226" s="238"/>
      <c r="H226" s="1627"/>
      <c r="I226" s="237"/>
      <c r="J226" s="222"/>
      <c r="K226" s="222"/>
    </row>
    <row r="227" spans="3:11" outlineLevel="1">
      <c r="C227" s="250"/>
      <c r="D227" s="251"/>
      <c r="E227" s="251"/>
      <c r="F227" s="223"/>
      <c r="G227" s="308"/>
      <c r="H227" s="308"/>
      <c r="I227" s="228"/>
      <c r="J227" s="284"/>
      <c r="K227" s="285"/>
    </row>
    <row r="228" spans="3:11" outlineLevel="1">
      <c r="C228" s="250"/>
      <c r="D228" s="251"/>
      <c r="E228" s="251"/>
      <c r="F228" s="223"/>
      <c r="G228" s="308"/>
      <c r="H228" s="308"/>
      <c r="I228" s="228"/>
      <c r="J228" s="284"/>
      <c r="K228" s="285"/>
    </row>
    <row r="229" spans="3:11" outlineLevel="1">
      <c r="C229" s="250"/>
      <c r="D229" s="251"/>
      <c r="E229" s="251"/>
      <c r="F229" s="223"/>
      <c r="G229" s="308"/>
      <c r="H229" s="228"/>
      <c r="I229" s="228"/>
      <c r="J229" s="284"/>
      <c r="K229" s="285"/>
    </row>
    <row r="230" spans="3:11" outlineLevel="1">
      <c r="C230" s="1629"/>
      <c r="D230" s="203"/>
      <c r="E230" s="1621"/>
      <c r="F230" s="203"/>
      <c r="G230" s="203"/>
      <c r="H230" s="1622"/>
      <c r="I230" s="203"/>
      <c r="J230" s="284"/>
      <c r="K230" s="285"/>
    </row>
    <row r="231" spans="3:11" outlineLevel="1">
      <c r="C231" s="1620"/>
      <c r="D231" s="309"/>
      <c r="E231" s="245"/>
      <c r="F231" s="203"/>
      <c r="G231" s="1621"/>
      <c r="H231" s="1622"/>
      <c r="I231" s="203"/>
      <c r="J231" s="284"/>
      <c r="K231" s="285"/>
    </row>
    <row r="232" spans="3:11" outlineLevel="1">
      <c r="C232" s="298"/>
      <c r="D232" s="248"/>
      <c r="E232" s="249"/>
      <c r="F232" s="237"/>
      <c r="G232" s="237"/>
      <c r="H232" s="240"/>
      <c r="I232" s="238"/>
      <c r="J232" s="222"/>
      <c r="K232" s="222"/>
    </row>
    <row r="233" spans="3:11" outlineLevel="1">
      <c r="C233" s="298"/>
      <c r="D233" s="248"/>
      <c r="E233" s="250"/>
      <c r="F233" s="238"/>
      <c r="G233" s="238"/>
      <c r="H233" s="1627"/>
      <c r="I233" s="237"/>
      <c r="J233" s="222"/>
      <c r="K233" s="222"/>
    </row>
    <row r="234" spans="3:11" outlineLevel="1">
      <c r="C234" s="250"/>
      <c r="D234" s="251"/>
      <c r="E234" s="251"/>
      <c r="F234" s="223"/>
      <c r="G234" s="308"/>
      <c r="H234" s="308"/>
      <c r="I234" s="228"/>
      <c r="J234" s="284"/>
      <c r="K234" s="285"/>
    </row>
    <row r="235" spans="3:11" outlineLevel="1">
      <c r="C235" s="250"/>
      <c r="D235" s="251"/>
      <c r="E235" s="251"/>
      <c r="F235" s="223"/>
      <c r="G235" s="308"/>
      <c r="H235" s="308"/>
      <c r="I235" s="228"/>
      <c r="J235" s="284"/>
      <c r="K235" s="285"/>
    </row>
    <row r="236" spans="3:11" outlineLevel="1">
      <c r="C236" s="250"/>
      <c r="D236" s="251"/>
      <c r="E236" s="251"/>
      <c r="F236" s="223"/>
      <c r="G236" s="308"/>
      <c r="H236" s="228"/>
      <c r="I236" s="228"/>
      <c r="J236" s="284"/>
      <c r="K236" s="285"/>
    </row>
    <row r="237" spans="3:11" outlineLevel="1">
      <c r="C237" s="312"/>
      <c r="D237" s="245"/>
      <c r="E237" s="309"/>
      <c r="F237" s="203"/>
      <c r="G237" s="203"/>
      <c r="H237" s="1622"/>
      <c r="I237" s="203"/>
      <c r="J237" s="284"/>
      <c r="K237" s="285"/>
    </row>
    <row r="238" spans="3:11" outlineLevel="1">
      <c r="C238" s="1620"/>
      <c r="D238" s="309"/>
      <c r="E238" s="245"/>
      <c r="F238" s="203"/>
      <c r="G238" s="1621"/>
      <c r="H238" s="1622"/>
      <c r="I238" s="203"/>
      <c r="J238" s="284"/>
      <c r="K238" s="285"/>
    </row>
    <row r="239" spans="3:11" outlineLevel="1">
      <c r="C239" s="298"/>
      <c r="D239" s="248"/>
      <c r="E239" s="249"/>
      <c r="F239" s="237"/>
      <c r="G239" s="237"/>
      <c r="H239" s="240"/>
      <c r="I239" s="238"/>
      <c r="J239" s="222"/>
      <c r="K239" s="222"/>
    </row>
    <row r="240" spans="3:11" outlineLevel="1">
      <c r="C240" s="298"/>
      <c r="D240" s="248"/>
      <c r="E240" s="1628"/>
      <c r="F240" s="238"/>
      <c r="G240" s="238"/>
      <c r="H240" s="1627"/>
      <c r="I240" s="237"/>
      <c r="J240" s="222"/>
      <c r="K240" s="222"/>
    </row>
    <row r="241" spans="3:11" outlineLevel="1">
      <c r="C241" s="238"/>
      <c r="D241" s="239"/>
      <c r="E241" s="223"/>
      <c r="F241" s="223"/>
      <c r="G241" s="308"/>
      <c r="H241" s="308"/>
      <c r="I241" s="228"/>
      <c r="J241" s="284"/>
      <c r="K241" s="285"/>
    </row>
    <row r="242" spans="3:11" outlineLevel="1">
      <c r="C242" s="238"/>
      <c r="D242" s="239"/>
      <c r="E242" s="223"/>
      <c r="F242" s="223"/>
      <c r="G242" s="308"/>
      <c r="H242" s="308"/>
      <c r="I242" s="228"/>
      <c r="J242" s="284"/>
      <c r="K242" s="285"/>
    </row>
    <row r="243" spans="3:11" outlineLevel="1">
      <c r="C243" s="238"/>
      <c r="D243" s="239"/>
      <c r="E243" s="223"/>
      <c r="F243" s="223"/>
      <c r="G243" s="308"/>
      <c r="H243" s="228"/>
      <c r="I243" s="228"/>
      <c r="J243" s="284"/>
      <c r="K243" s="285"/>
    </row>
    <row r="244" spans="3:11" outlineLevel="1">
      <c r="C244" s="1629"/>
      <c r="D244" s="203"/>
      <c r="E244" s="1621"/>
      <c r="F244" s="203"/>
      <c r="G244" s="203"/>
      <c r="H244" s="1622"/>
      <c r="I244" s="203"/>
      <c r="J244" s="284"/>
      <c r="K244" s="285"/>
    </row>
    <row r="245" spans="3:11" outlineLevel="1">
      <c r="C245" s="1620"/>
      <c r="D245" s="1621"/>
      <c r="E245" s="203"/>
      <c r="F245" s="203"/>
      <c r="G245" s="1621"/>
      <c r="H245" s="1622"/>
      <c r="I245" s="203"/>
      <c r="J245" s="284"/>
      <c r="K245" s="285"/>
    </row>
    <row r="246" spans="3:11" outlineLevel="1">
      <c r="D246" s="244"/>
      <c r="E246" s="237"/>
      <c r="F246" s="237"/>
      <c r="G246" s="237"/>
      <c r="H246" s="240"/>
      <c r="I246" s="238"/>
      <c r="J246" s="222"/>
      <c r="K246" s="222"/>
    </row>
    <row r="247" spans="3:11" outlineLevel="1">
      <c r="D247" s="244"/>
      <c r="E247" s="1623"/>
      <c r="F247" s="238"/>
      <c r="G247" s="238"/>
      <c r="H247" s="1627"/>
      <c r="I247" s="237"/>
      <c r="J247" s="222"/>
      <c r="K247" s="222"/>
    </row>
    <row r="248" spans="3:11" outlineLevel="1">
      <c r="C248" s="238"/>
      <c r="D248" s="239"/>
      <c r="E248" s="223"/>
      <c r="F248" s="223"/>
      <c r="G248" s="308"/>
      <c r="H248" s="308"/>
      <c r="I248" s="228"/>
      <c r="J248" s="284"/>
      <c r="K248" s="285"/>
    </row>
    <row r="249" spans="3:11" outlineLevel="1">
      <c r="C249" s="238"/>
      <c r="D249" s="239"/>
      <c r="E249" s="223"/>
      <c r="F249" s="223"/>
      <c r="G249" s="308"/>
      <c r="H249" s="308"/>
      <c r="I249" s="228"/>
      <c r="J249" s="284"/>
      <c r="K249" s="285"/>
    </row>
    <row r="250" spans="3:11" outlineLevel="1">
      <c r="C250" s="238"/>
      <c r="D250" s="239"/>
      <c r="E250" s="223"/>
      <c r="F250" s="223"/>
      <c r="G250" s="308"/>
      <c r="H250" s="228"/>
      <c r="I250" s="228"/>
      <c r="J250" s="284"/>
      <c r="K250" s="285"/>
    </row>
    <row r="251" spans="3:11" outlineLevel="1">
      <c r="C251" s="1629"/>
      <c r="D251" s="203"/>
      <c r="E251" s="1621"/>
      <c r="F251" s="203"/>
      <c r="G251" s="203"/>
      <c r="H251" s="1622"/>
      <c r="I251" s="203"/>
      <c r="J251" s="284"/>
      <c r="K251" s="285"/>
    </row>
    <row r="252" spans="3:11" outlineLevel="1">
      <c r="C252" s="1620"/>
      <c r="D252" s="1621"/>
      <c r="E252" s="203"/>
      <c r="F252" s="203"/>
      <c r="G252" s="1621"/>
      <c r="H252" s="1622"/>
      <c r="I252" s="203"/>
      <c r="J252" s="284"/>
      <c r="K252" s="285"/>
    </row>
    <row r="253" spans="3:11" outlineLevel="1">
      <c r="D253" s="244"/>
      <c r="E253" s="237"/>
      <c r="F253" s="237"/>
      <c r="G253" s="237"/>
      <c r="H253" s="240"/>
      <c r="I253" s="238"/>
      <c r="J253" s="222"/>
      <c r="K253" s="222"/>
    </row>
    <row r="254" spans="3:11" outlineLevel="1">
      <c r="D254" s="244"/>
      <c r="E254" s="238"/>
      <c r="F254" s="238"/>
      <c r="G254" s="238"/>
      <c r="H254" s="1627"/>
      <c r="I254" s="237"/>
      <c r="J254" s="222"/>
      <c r="K254" s="222"/>
    </row>
    <row r="255" spans="3:11" outlineLevel="1">
      <c r="C255" s="238"/>
      <c r="D255" s="239"/>
      <c r="E255" s="223"/>
      <c r="F255" s="223"/>
      <c r="G255" s="308"/>
      <c r="H255" s="308"/>
      <c r="I255" s="228"/>
      <c r="J255" s="284"/>
      <c r="K255" s="285"/>
    </row>
    <row r="256" spans="3:11" outlineLevel="1">
      <c r="C256" s="238"/>
      <c r="D256" s="239"/>
      <c r="E256" s="223"/>
      <c r="F256" s="223"/>
      <c r="G256" s="308"/>
      <c r="H256" s="308"/>
      <c r="I256" s="228"/>
      <c r="J256" s="284"/>
      <c r="K256" s="285"/>
    </row>
    <row r="257" spans="3:11" outlineLevel="1">
      <c r="C257" s="238"/>
      <c r="D257" s="239"/>
      <c r="E257" s="223"/>
      <c r="F257" s="223"/>
      <c r="G257" s="308"/>
      <c r="H257" s="228"/>
      <c r="I257" s="228"/>
      <c r="J257" s="284"/>
      <c r="K257" s="285"/>
    </row>
    <row r="258" spans="3:11" outlineLevel="1">
      <c r="C258" s="1629"/>
      <c r="D258" s="203"/>
      <c r="E258" s="1621"/>
      <c r="F258" s="203"/>
      <c r="G258" s="203"/>
      <c r="H258" s="1622"/>
      <c r="I258" s="203"/>
      <c r="J258" s="284"/>
      <c r="K258" s="285"/>
    </row>
    <row r="259" spans="3:11" outlineLevel="1">
      <c r="C259" s="1620"/>
      <c r="D259" s="1621"/>
      <c r="E259" s="203"/>
      <c r="F259" s="203"/>
      <c r="G259" s="1621"/>
      <c r="H259" s="1622"/>
      <c r="I259" s="203"/>
      <c r="J259" s="284"/>
      <c r="K259" s="285"/>
    </row>
    <row r="260" spans="3:11" outlineLevel="1">
      <c r="D260" s="244"/>
      <c r="E260" s="237"/>
      <c r="F260" s="237"/>
      <c r="G260" s="237"/>
      <c r="H260" s="240"/>
      <c r="I260" s="238"/>
      <c r="J260" s="222"/>
      <c r="K260" s="222"/>
    </row>
    <row r="261" spans="3:11" outlineLevel="1">
      <c r="D261" s="244"/>
      <c r="E261" s="238"/>
      <c r="F261" s="238"/>
      <c r="G261" s="238"/>
      <c r="H261" s="1627"/>
      <c r="I261" s="237"/>
      <c r="J261" s="222"/>
      <c r="K261" s="222"/>
    </row>
    <row r="262" spans="3:11" outlineLevel="1">
      <c r="C262" s="238"/>
      <c r="D262" s="239"/>
      <c r="E262" s="223"/>
      <c r="F262" s="223"/>
      <c r="G262" s="308"/>
      <c r="H262" s="308"/>
      <c r="I262" s="228"/>
      <c r="J262" s="284"/>
      <c r="K262" s="285"/>
    </row>
    <row r="263" spans="3:11" outlineLevel="1">
      <c r="C263" s="238"/>
      <c r="D263" s="239"/>
      <c r="E263" s="223"/>
      <c r="F263" s="223"/>
      <c r="G263" s="308"/>
      <c r="H263" s="308"/>
      <c r="I263" s="228"/>
      <c r="J263" s="284"/>
      <c r="K263" s="285"/>
    </row>
    <row r="264" spans="3:11" outlineLevel="1">
      <c r="C264" s="238"/>
      <c r="D264" s="239"/>
      <c r="E264" s="223"/>
      <c r="F264" s="223"/>
      <c r="G264" s="308"/>
      <c r="H264" s="228"/>
      <c r="I264" s="228"/>
      <c r="J264" s="284"/>
      <c r="K264" s="285"/>
    </row>
    <row r="265" spans="3:11" outlineLevel="1">
      <c r="C265" s="1629"/>
      <c r="D265" s="203"/>
      <c r="E265" s="1621"/>
      <c r="F265" s="203"/>
      <c r="G265" s="203"/>
      <c r="H265" s="1622"/>
      <c r="I265" s="203"/>
      <c r="J265" s="284"/>
      <c r="K265" s="285"/>
    </row>
    <row r="266" spans="3:11" outlineLevel="1"/>
    <row r="267" spans="3:11" outlineLevel="1">
      <c r="C267" s="288"/>
      <c r="D267" s="288"/>
      <c r="E267" s="1630"/>
    </row>
  </sheetData>
  <printOptions horizontalCentered="1" verticalCentered="1"/>
  <pageMargins left="0.7" right="0.7" top="0.75" bottom="0.75" header="0.3" footer="0.3"/>
  <pageSetup paperSize="4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N254"/>
  <sheetViews>
    <sheetView topLeftCell="A124" zoomScaleNormal="100" workbookViewId="0">
      <selection activeCell="N161" sqref="N161:N163"/>
    </sheetView>
  </sheetViews>
  <sheetFormatPr defaultColWidth="8" defaultRowHeight="15"/>
  <cols>
    <col min="1" max="3" width="2.75" style="2" customWidth="1"/>
    <col min="4" max="4" width="29.125" style="2" customWidth="1"/>
    <col min="5" max="5" width="16" style="2" customWidth="1"/>
    <col min="6" max="6" width="13.625" style="25" customWidth="1"/>
    <col min="7" max="7" width="16.25" style="25" customWidth="1"/>
    <col min="8" max="8" width="16.25" style="25" hidden="1" customWidth="1"/>
    <col min="9" max="10" width="16.25" style="25" customWidth="1"/>
    <col min="11" max="11" width="62.5" style="2" hidden="1" customWidth="1"/>
    <col min="12" max="12" width="18" style="2" bestFit="1" customWidth="1"/>
    <col min="13" max="13" width="12.125" style="2" customWidth="1"/>
    <col min="14" max="14" width="15" style="2" customWidth="1"/>
    <col min="15" max="15" width="12.25" style="2" customWidth="1"/>
    <col min="16" max="20" width="8" style="2"/>
    <col min="21" max="34" width="8" style="2" hidden="1" customWidth="1"/>
    <col min="35" max="35" width="0" style="2" hidden="1" customWidth="1"/>
    <col min="36" max="16384" width="8" style="2"/>
  </cols>
  <sheetData>
    <row r="1" spans="1:66" ht="28.5">
      <c r="A1" s="34" t="str">
        <f>GapCalc!A1</f>
        <v>Generic Template Non-LIHTC</v>
      </c>
      <c r="B1" s="34"/>
      <c r="C1" s="34"/>
      <c r="D1" s="35"/>
      <c r="E1" s="35"/>
      <c r="F1" s="36"/>
      <c r="G1" s="36"/>
      <c r="H1" s="36"/>
      <c r="I1" s="36"/>
      <c r="J1" s="36"/>
      <c r="K1" s="690"/>
      <c r="L1" s="690"/>
      <c r="M1" s="690"/>
      <c r="N1" s="690"/>
      <c r="O1" s="690"/>
    </row>
    <row r="2" spans="1:66" ht="28.5">
      <c r="A2" s="34" t="s">
        <v>82</v>
      </c>
      <c r="B2" s="34"/>
      <c r="C2" s="34"/>
      <c r="D2" s="35"/>
      <c r="E2" s="35"/>
      <c r="F2" s="36"/>
      <c r="G2" s="36"/>
      <c r="H2" s="36"/>
      <c r="I2" s="36"/>
      <c r="J2" s="36"/>
      <c r="K2" s="690"/>
      <c r="L2" s="690"/>
      <c r="M2" s="690"/>
      <c r="N2" s="690"/>
      <c r="O2" s="690"/>
    </row>
    <row r="4" spans="1:66">
      <c r="A4" s="690"/>
      <c r="B4" s="690"/>
      <c r="C4" s="690"/>
      <c r="D4" s="690" t="str">
        <f>GapCalc!A4</f>
        <v>Project Name:</v>
      </c>
      <c r="E4" s="690" t="str">
        <f>GapCalc!C4</f>
        <v>Generic Template Non-LIHTC</v>
      </c>
      <c r="F4" s="717"/>
      <c r="G4" s="717"/>
      <c r="H4" s="717"/>
      <c r="I4" s="1426" t="s">
        <v>988</v>
      </c>
      <c r="J4" s="717">
        <f>GapCalc!D41</f>
        <v>0</v>
      </c>
      <c r="K4" s="690"/>
      <c r="L4" s="690"/>
      <c r="M4" s="690"/>
      <c r="N4" s="690"/>
      <c r="O4" s="690"/>
    </row>
    <row r="5" spans="1:66">
      <c r="A5" s="690"/>
      <c r="B5" s="690"/>
      <c r="C5" s="690"/>
      <c r="D5" s="690" t="str">
        <f>GapCalc!A5</f>
        <v>Housing Type:</v>
      </c>
      <c r="E5" s="690" t="str">
        <f>GapCalc!C5</f>
        <v>Family, General Affordable</v>
      </c>
      <c r="F5" s="717"/>
      <c r="G5" s="717"/>
      <c r="H5" s="717"/>
      <c r="I5" s="717"/>
      <c r="J5" s="717"/>
      <c r="K5" s="690"/>
      <c r="L5" s="690"/>
      <c r="M5" s="690"/>
      <c r="N5" s="690"/>
      <c r="O5" s="703"/>
    </row>
    <row r="6" spans="1:66">
      <c r="A6" s="690"/>
      <c r="B6" s="690"/>
      <c r="C6" s="690"/>
      <c r="D6" s="690" t="str">
        <f>GapCalc!A6</f>
        <v>Address:</v>
      </c>
      <c r="E6" s="690" t="str">
        <f>GapCalc!C6</f>
        <v>1010 S Kenmore Ave
Los Angeles, CA 90006</v>
      </c>
      <c r="F6" s="717"/>
      <c r="G6" s="717"/>
      <c r="H6" s="717"/>
      <c r="I6" s="717"/>
      <c r="J6" s="717"/>
      <c r="K6" s="690"/>
      <c r="L6" s="690"/>
      <c r="M6" s="690"/>
      <c r="N6" s="690"/>
      <c r="O6" s="690"/>
    </row>
    <row r="7" spans="1:66">
      <c r="A7" s="690"/>
      <c r="B7" s="690"/>
      <c r="C7" s="690"/>
      <c r="D7" s="690" t="str">
        <f>GapCalc!A7</f>
        <v>County:</v>
      </c>
      <c r="E7" s="690" t="str">
        <f>GapCalc!C7</f>
        <v>Los Angeles</v>
      </c>
      <c r="F7" s="717"/>
      <c r="G7" s="717"/>
      <c r="H7" s="717"/>
      <c r="I7" s="717"/>
      <c r="J7" s="717"/>
      <c r="K7" s="690"/>
      <c r="L7" s="690"/>
      <c r="M7" s="690"/>
      <c r="N7" s="690"/>
      <c r="O7" s="690"/>
    </row>
    <row r="8" spans="1:66">
      <c r="A8" s="690"/>
      <c r="B8" s="690"/>
      <c r="C8" s="690"/>
      <c r="D8" s="690" t="str">
        <f>GapCalc!A8</f>
        <v>Sponsor:</v>
      </c>
      <c r="E8" s="690" t="str">
        <f>GapCalc!C8</f>
        <v>Abode Communities</v>
      </c>
      <c r="F8" s="717"/>
      <c r="G8" s="717"/>
      <c r="H8" s="717"/>
      <c r="I8" s="717"/>
      <c r="J8" s="717"/>
      <c r="K8" s="690"/>
      <c r="L8" s="690"/>
      <c r="M8" s="690"/>
      <c r="N8" s="690"/>
      <c r="O8" s="690"/>
    </row>
    <row r="9" spans="1:66">
      <c r="D9" s="702" t="s">
        <v>10</v>
      </c>
      <c r="E9" s="702"/>
      <c r="F9" s="717">
        <f>GapCalc!D11</f>
        <v>202</v>
      </c>
    </row>
    <row r="10" spans="1:66" customFormat="1" ht="6.6" customHeight="1">
      <c r="A10" s="855"/>
      <c r="B10" s="952"/>
      <c r="C10" s="952"/>
      <c r="D10" s="952"/>
      <c r="E10" s="952"/>
      <c r="F10" s="952"/>
      <c r="G10" s="953"/>
      <c r="H10" s="953"/>
      <c r="I10" s="953"/>
      <c r="J10" s="952"/>
      <c r="K10" s="954"/>
      <c r="L10" s="954"/>
      <c r="M10" s="955"/>
      <c r="N10" s="956"/>
      <c r="O10" s="956"/>
      <c r="P10" s="952"/>
      <c r="Q10" s="952"/>
      <c r="R10" s="952"/>
      <c r="S10" s="952"/>
      <c r="T10" s="855"/>
      <c r="U10" s="957"/>
      <c r="V10" s="958"/>
      <c r="W10" s="958"/>
      <c r="X10" s="958"/>
      <c r="Y10" s="958"/>
      <c r="Z10" s="958"/>
      <c r="AA10" s="958"/>
      <c r="AB10" s="958"/>
      <c r="AC10" s="958"/>
      <c r="AD10" s="959"/>
      <c r="AE10" s="958"/>
      <c r="AF10" s="959"/>
      <c r="AG10" s="958"/>
      <c r="AH10" s="960"/>
      <c r="AJ10" s="961"/>
      <c r="AK10" s="962"/>
      <c r="AL10" s="963"/>
      <c r="AM10" s="964"/>
      <c r="AN10" s="961"/>
      <c r="AO10" s="961"/>
      <c r="AP10" s="964"/>
      <c r="AQ10" s="961"/>
      <c r="AR10" s="961"/>
      <c r="AS10" s="961"/>
      <c r="AT10" s="961"/>
      <c r="AU10" s="961"/>
      <c r="AV10" s="961"/>
      <c r="AW10" s="961"/>
      <c r="AX10" s="961"/>
      <c r="AY10" s="961"/>
      <c r="AZ10" s="961"/>
      <c r="BA10" s="961"/>
      <c r="BB10" s="961"/>
      <c r="BC10" s="961"/>
      <c r="BD10" s="961"/>
      <c r="BE10" s="961"/>
      <c r="BF10" s="961"/>
      <c r="BG10" s="961"/>
      <c r="BH10" s="961"/>
      <c r="BI10" s="961"/>
      <c r="BJ10" s="961"/>
      <c r="BK10" s="961"/>
      <c r="BL10" s="961"/>
      <c r="BM10" s="961"/>
      <c r="BN10" s="961"/>
    </row>
    <row r="11" spans="1:66" customFormat="1" ht="12.95" customHeight="1">
      <c r="A11" s="855"/>
      <c r="B11" s="965"/>
      <c r="C11" s="966"/>
      <c r="D11" s="967" t="s">
        <v>722</v>
      </c>
      <c r="E11" s="966"/>
      <c r="F11" s="966"/>
      <c r="G11" s="968"/>
      <c r="H11" s="968"/>
      <c r="I11" s="968"/>
      <c r="J11" s="966"/>
      <c r="K11" s="969"/>
      <c r="L11" s="969"/>
      <c r="M11" s="970"/>
      <c r="N11" s="971"/>
      <c r="O11" s="971"/>
      <c r="P11" s="972"/>
      <c r="Q11" s="972"/>
      <c r="R11" s="972"/>
      <c r="S11" s="972"/>
      <c r="T11" s="855"/>
      <c r="U11" s="973" t="s">
        <v>723</v>
      </c>
      <c r="V11" s="974"/>
      <c r="W11" s="974"/>
      <c r="X11" s="974"/>
      <c r="Y11" s="974"/>
      <c r="Z11" s="974"/>
      <c r="AA11" s="974"/>
      <c r="AB11" s="974"/>
      <c r="AC11" s="974"/>
      <c r="AD11" s="975"/>
      <c r="AE11" s="974"/>
      <c r="AF11" s="975"/>
      <c r="AG11" s="974"/>
      <c r="AH11" s="976"/>
      <c r="AJ11" s="977" t="s">
        <v>724</v>
      </c>
      <c r="AK11" s="978"/>
      <c r="AL11" s="979"/>
      <c r="AM11" s="980"/>
      <c r="AN11" s="981"/>
      <c r="AO11" s="981"/>
      <c r="AP11" s="980"/>
      <c r="AQ11" s="982" t="s">
        <v>725</v>
      </c>
      <c r="AR11" s="961"/>
      <c r="AS11" s="961"/>
      <c r="AT11" s="961"/>
      <c r="AU11" s="961"/>
      <c r="AV11" s="961"/>
      <c r="AW11" s="961"/>
      <c r="AX11" s="961"/>
      <c r="AY11" s="961"/>
      <c r="AZ11" s="961"/>
      <c r="BA11" s="961"/>
      <c r="BB11" s="961"/>
      <c r="BC11" s="961"/>
      <c r="BD11" s="961"/>
      <c r="BE11" s="961"/>
      <c r="BF11" s="961"/>
      <c r="BG11" s="961"/>
      <c r="BH11" s="961"/>
      <c r="BI11" s="961"/>
      <c r="BJ11" s="961"/>
      <c r="BK11" s="961"/>
      <c r="BL11" s="961"/>
      <c r="BM11" s="961"/>
      <c r="BN11" s="961"/>
    </row>
    <row r="12" spans="1:66" customFormat="1" ht="6.6" customHeight="1">
      <c r="A12" s="855"/>
      <c r="B12" s="952"/>
      <c r="C12" s="952"/>
      <c r="D12" s="952"/>
      <c r="E12" s="952"/>
      <c r="F12" s="952"/>
      <c r="G12" s="953"/>
      <c r="H12" s="953"/>
      <c r="I12" s="953"/>
      <c r="J12" s="952"/>
      <c r="K12" s="954"/>
      <c r="L12" s="954"/>
      <c r="M12" s="955"/>
      <c r="N12" s="956"/>
      <c r="O12" s="956"/>
      <c r="P12" s="952"/>
      <c r="Q12" s="952"/>
      <c r="R12" s="952"/>
      <c r="S12" s="952"/>
      <c r="T12" s="855"/>
      <c r="U12" s="957"/>
      <c r="V12" s="958"/>
      <c r="W12" s="958"/>
      <c r="X12" s="958"/>
      <c r="Y12" s="958"/>
      <c r="Z12" s="958"/>
      <c r="AA12" s="958"/>
      <c r="AB12" s="958"/>
      <c r="AC12" s="958"/>
      <c r="AD12" s="959"/>
      <c r="AE12" s="958"/>
      <c r="AF12" s="959"/>
      <c r="AG12" s="958"/>
      <c r="AH12" s="960"/>
      <c r="AJ12" s="961"/>
      <c r="AK12" s="962"/>
      <c r="AL12" s="963"/>
      <c r="AM12" s="964"/>
      <c r="AN12" s="961"/>
      <c r="AO12" s="961"/>
      <c r="AP12" s="964"/>
      <c r="AQ12" s="961"/>
      <c r="AR12" s="961"/>
      <c r="AS12" s="961"/>
      <c r="AT12" s="961"/>
      <c r="AU12" s="961"/>
      <c r="AV12" s="961"/>
      <c r="AW12" s="961"/>
      <c r="AX12" s="961"/>
      <c r="AY12" s="961"/>
      <c r="AZ12" s="961"/>
      <c r="BA12" s="961"/>
      <c r="BB12" s="961"/>
      <c r="BC12" s="961"/>
      <c r="BD12" s="961"/>
      <c r="BE12" s="961"/>
      <c r="BF12" s="961"/>
      <c r="BG12" s="961"/>
      <c r="BH12" s="961"/>
      <c r="BI12" s="961"/>
      <c r="BJ12" s="961"/>
      <c r="BK12" s="961"/>
      <c r="BL12" s="961"/>
      <c r="BM12" s="961"/>
      <c r="BN12" s="961"/>
    </row>
    <row r="13" spans="1:66" customFormat="1" ht="14.45" customHeight="1">
      <c r="A13" s="855"/>
      <c r="B13" s="855"/>
      <c r="C13" s="855"/>
      <c r="D13" s="855"/>
      <c r="E13" s="855"/>
      <c r="F13" s="855"/>
      <c r="G13" s="855"/>
      <c r="H13" s="855"/>
      <c r="I13" s="855"/>
      <c r="J13" s="855"/>
      <c r="K13" s="983"/>
      <c r="L13" s="983"/>
      <c r="M13" s="983"/>
      <c r="N13" s="855"/>
      <c r="O13" s="855"/>
      <c r="P13" s="855"/>
      <c r="Q13" s="855"/>
      <c r="R13" s="855"/>
      <c r="S13" s="855"/>
      <c r="T13" s="855"/>
      <c r="AD13" s="984"/>
      <c r="AF13" s="984"/>
      <c r="AH13" s="54"/>
      <c r="AJ13" s="880"/>
      <c r="AK13" s="855"/>
      <c r="AL13" s="896"/>
      <c r="AN13" s="880"/>
      <c r="AO13" s="880"/>
      <c r="AQ13" s="880"/>
      <c r="AR13" s="880"/>
      <c r="AS13" s="880"/>
      <c r="AT13" s="880"/>
      <c r="AU13" s="880"/>
      <c r="AV13" s="880"/>
      <c r="AW13" s="880"/>
      <c r="AX13" s="880"/>
      <c r="AY13" s="880"/>
      <c r="AZ13" s="880"/>
      <c r="BA13" s="880"/>
      <c r="BB13" s="880"/>
      <c r="BC13" s="880"/>
      <c r="BD13" s="880"/>
      <c r="BE13" s="880"/>
      <c r="BF13" s="880"/>
      <c r="BG13" s="880"/>
      <c r="BH13" s="880"/>
      <c r="BI13" s="880"/>
      <c r="BJ13" s="880"/>
      <c r="BK13" s="880"/>
      <c r="BL13" s="880"/>
      <c r="BM13" s="880"/>
      <c r="BN13" s="880"/>
    </row>
    <row r="14" spans="1:66" s="985" customFormat="1" ht="12.75">
      <c r="B14" s="986"/>
      <c r="C14" s="987"/>
      <c r="D14" s="987"/>
      <c r="E14" s="987"/>
      <c r="F14" s="1755" t="s">
        <v>84</v>
      </c>
      <c r="G14" s="1756"/>
      <c r="H14" s="988"/>
      <c r="I14" s="989"/>
      <c r="J14" s="988"/>
      <c r="K14" s="990"/>
      <c r="L14" s="991"/>
      <c r="M14" s="992"/>
      <c r="N14" s="993"/>
      <c r="P14" s="994"/>
      <c r="Q14" s="994"/>
      <c r="R14" s="994"/>
      <c r="S14" s="994"/>
      <c r="U14" s="995"/>
      <c r="V14" s="995"/>
      <c r="X14" s="995"/>
      <c r="Z14" s="995"/>
      <c r="AB14" s="995"/>
      <c r="AD14" s="996"/>
      <c r="AF14" s="996"/>
      <c r="AH14" s="997"/>
      <c r="AJ14" s="996"/>
      <c r="AL14" s="997"/>
      <c r="AN14" s="996"/>
      <c r="AO14" s="996"/>
      <c r="AQ14" s="996"/>
      <c r="AR14" s="996"/>
      <c r="AS14" s="996"/>
      <c r="AT14" s="996"/>
      <c r="AU14" s="996"/>
      <c r="AV14" s="996"/>
      <c r="AW14" s="996"/>
      <c r="AX14" s="996"/>
      <c r="AY14" s="996"/>
      <c r="AZ14" s="996"/>
      <c r="BA14" s="996"/>
      <c r="BB14" s="996"/>
      <c r="BC14" s="996"/>
      <c r="BD14" s="996"/>
      <c r="BE14" s="996"/>
      <c r="BF14" s="996"/>
      <c r="BG14" s="996"/>
      <c r="BH14" s="996"/>
      <c r="BI14" s="996"/>
      <c r="BJ14" s="996"/>
      <c r="BK14" s="996"/>
      <c r="BL14" s="996"/>
      <c r="BM14" s="996"/>
      <c r="BN14" s="996"/>
    </row>
    <row r="15" spans="1:66" s="985" customFormat="1" ht="12.75">
      <c r="B15" s="998"/>
      <c r="C15" s="999" t="s">
        <v>347</v>
      </c>
      <c r="D15" s="1000"/>
      <c r="E15" s="987"/>
      <c r="F15" s="987"/>
      <c r="G15" s="987" t="s">
        <v>726</v>
      </c>
      <c r="I15" s="993" t="s">
        <v>382</v>
      </c>
      <c r="J15" s="988"/>
      <c r="K15" s="987" t="s">
        <v>727</v>
      </c>
      <c r="L15" s="988"/>
      <c r="M15" s="1001" t="s">
        <v>728</v>
      </c>
      <c r="N15" s="1002"/>
      <c r="P15" s="1003" t="s">
        <v>729</v>
      </c>
      <c r="Q15" s="1004"/>
      <c r="R15" s="1004"/>
      <c r="S15" s="1004"/>
      <c r="U15" s="995" t="s">
        <v>730</v>
      </c>
      <c r="V15" s="995" t="s">
        <v>731</v>
      </c>
      <c r="X15" s="995" t="s">
        <v>732</v>
      </c>
      <c r="Z15" s="995" t="s">
        <v>733</v>
      </c>
      <c r="AB15" s="995" t="s">
        <v>734</v>
      </c>
      <c r="AD15" s="996" t="s">
        <v>735</v>
      </c>
      <c r="AF15" s="996" t="s">
        <v>736</v>
      </c>
      <c r="AH15" s="997" t="s">
        <v>737</v>
      </c>
      <c r="AJ15" s="1005" t="s">
        <v>738</v>
      </c>
      <c r="AL15" s="997" t="s">
        <v>739</v>
      </c>
      <c r="AN15" s="996" t="s">
        <v>740</v>
      </c>
      <c r="AO15" s="996" t="s">
        <v>741</v>
      </c>
      <c r="AQ15" s="996" t="s">
        <v>742</v>
      </c>
      <c r="AR15" s="996" t="s">
        <v>743</v>
      </c>
      <c r="AS15" s="996" t="s">
        <v>744</v>
      </c>
      <c r="AT15" s="996" t="s">
        <v>745</v>
      </c>
      <c r="AU15" s="996" t="s">
        <v>746</v>
      </c>
      <c r="AV15" s="996" t="s">
        <v>747</v>
      </c>
      <c r="AW15" s="996" t="s">
        <v>748</v>
      </c>
      <c r="AX15" s="996" t="s">
        <v>749</v>
      </c>
      <c r="AY15" s="996" t="s">
        <v>750</v>
      </c>
      <c r="AZ15" s="996" t="s">
        <v>751</v>
      </c>
      <c r="BA15" s="996" t="s">
        <v>752</v>
      </c>
      <c r="BB15" s="996" t="s">
        <v>753</v>
      </c>
      <c r="BC15" s="996" t="s">
        <v>754</v>
      </c>
      <c r="BD15" s="996" t="s">
        <v>755</v>
      </c>
      <c r="BE15" s="996" t="s">
        <v>756</v>
      </c>
      <c r="BF15" s="996" t="s">
        <v>757</v>
      </c>
      <c r="BG15" s="996" t="s">
        <v>758</v>
      </c>
      <c r="BH15" s="996" t="s">
        <v>759</v>
      </c>
      <c r="BI15" s="996" t="s">
        <v>760</v>
      </c>
      <c r="BJ15" s="996" t="s">
        <v>761</v>
      </c>
      <c r="BK15" s="996" t="s">
        <v>762</v>
      </c>
      <c r="BL15" s="996" t="s">
        <v>763</v>
      </c>
      <c r="BM15" s="996" t="s">
        <v>764</v>
      </c>
      <c r="BN15" s="996" t="s">
        <v>765</v>
      </c>
    </row>
    <row r="16" spans="1:66" s="985" customFormat="1" ht="6" customHeight="1">
      <c r="B16" s="986"/>
      <c r="C16" s="987"/>
      <c r="D16" s="987"/>
      <c r="E16" s="987"/>
      <c r="F16" s="987"/>
      <c r="G16" s="987"/>
      <c r="H16" s="988"/>
      <c r="I16" s="989"/>
      <c r="J16" s="988"/>
      <c r="K16" s="1006"/>
      <c r="L16" s="1007"/>
      <c r="M16" s="1008"/>
      <c r="N16" s="1009"/>
      <c r="O16" s="1010"/>
      <c r="P16" s="994"/>
      <c r="Q16" s="994"/>
      <c r="R16" s="994"/>
      <c r="S16" s="994"/>
      <c r="U16" s="995"/>
      <c r="V16" s="995"/>
      <c r="X16" s="995"/>
      <c r="Z16" s="995"/>
      <c r="AB16" s="995"/>
      <c r="AD16" s="996"/>
      <c r="AF16" s="996"/>
      <c r="AH16" s="997"/>
      <c r="AJ16" s="996"/>
      <c r="AL16" s="997"/>
      <c r="AN16" s="996"/>
      <c r="AO16" s="996"/>
      <c r="AQ16" s="996"/>
      <c r="AR16" s="996"/>
      <c r="AS16" s="996"/>
      <c r="AT16" s="996"/>
      <c r="AU16" s="996"/>
      <c r="AV16" s="996"/>
      <c r="AW16" s="996"/>
      <c r="AX16" s="996"/>
      <c r="AY16" s="996"/>
      <c r="AZ16" s="996"/>
      <c r="BA16" s="996"/>
      <c r="BB16" s="996"/>
      <c r="BC16" s="996"/>
      <c r="BD16" s="996"/>
      <c r="BE16" s="996"/>
      <c r="BF16" s="996"/>
      <c r="BG16" s="996"/>
      <c r="BH16" s="996"/>
      <c r="BI16" s="996"/>
      <c r="BJ16" s="996"/>
      <c r="BK16" s="996"/>
      <c r="BL16" s="996"/>
      <c r="BM16" s="996"/>
      <c r="BN16" s="996"/>
    </row>
    <row r="17" spans="1:28" ht="15.75">
      <c r="A17" s="3"/>
      <c r="B17" s="855"/>
      <c r="C17" s="841" t="s">
        <v>87</v>
      </c>
      <c r="D17" s="842"/>
      <c r="E17" s="843"/>
      <c r="F17" s="843"/>
      <c r="G17" s="1011"/>
      <c r="H17" s="1012"/>
      <c r="I17" s="1012"/>
      <c r="J17" s="1012"/>
      <c r="K17" s="1013"/>
      <c r="L17" s="1013"/>
      <c r="M17" s="1014" t="s">
        <v>994</v>
      </c>
      <c r="N17" s="1673">
        <v>65000</v>
      </c>
      <c r="O17" s="855"/>
      <c r="P17" s="855"/>
      <c r="Q17" s="855"/>
      <c r="R17" s="855"/>
      <c r="S17" s="855"/>
      <c r="T17" s="855"/>
      <c r="U17"/>
      <c r="V17"/>
      <c r="W17"/>
      <c r="X17"/>
      <c r="Y17"/>
      <c r="Z17"/>
      <c r="AA17"/>
      <c r="AB17"/>
    </row>
    <row r="18" spans="1:28" ht="14.25" customHeight="1">
      <c r="A18" s="3"/>
      <c r="B18" s="855"/>
      <c r="C18" s="842" t="s">
        <v>640</v>
      </c>
      <c r="D18" s="842"/>
      <c r="E18" s="844">
        <f>N18</f>
        <v>13130000</v>
      </c>
      <c r="F18" s="845"/>
      <c r="G18" s="1392">
        <f>E18</f>
        <v>13130000</v>
      </c>
      <c r="H18" s="950"/>
      <c r="I18" s="950">
        <f>G18/$F$9</f>
        <v>65000</v>
      </c>
      <c r="J18" s="1015"/>
      <c r="K18" s="1016"/>
      <c r="L18" s="1016"/>
      <c r="M18" s="1431">
        <f>F9*N17</f>
        <v>13130000</v>
      </c>
      <c r="N18" s="1674">
        <v>13130000</v>
      </c>
      <c r="O18" s="1017"/>
      <c r="P18" s="1018"/>
      <c r="Q18" s="855" t="s">
        <v>766</v>
      </c>
      <c r="R18" s="855"/>
      <c r="S18" s="855"/>
      <c r="T18" s="855"/>
      <c r="U18" s="1019">
        <v>1</v>
      </c>
      <c r="V18" s="1019">
        <v>0</v>
      </c>
      <c r="W18"/>
      <c r="X18" s="984">
        <f>U18*G18</f>
        <v>13130000</v>
      </c>
      <c r="Y18" s="984"/>
      <c r="Z18" s="984">
        <f>V18*G18</f>
        <v>0</v>
      </c>
      <c r="AA18"/>
      <c r="AB18" s="984">
        <v>144621.84</v>
      </c>
    </row>
    <row r="19" spans="1:28" ht="15.75">
      <c r="A19" s="3"/>
      <c r="B19" s="855"/>
      <c r="C19" s="842" t="s">
        <v>641</v>
      </c>
      <c r="D19" s="842"/>
      <c r="E19" s="843"/>
      <c r="F19" s="846"/>
      <c r="G19" s="854">
        <f>SUM(F20:F22)</f>
        <v>25000</v>
      </c>
      <c r="H19" s="950"/>
      <c r="I19" s="950">
        <f t="shared" ref="I19:I82" si="0">G19/$F$9</f>
        <v>123.76237623762377</v>
      </c>
      <c r="J19" s="1015"/>
      <c r="K19" s="1020"/>
      <c r="L19" s="1020"/>
      <c r="M19" s="1021"/>
      <c r="N19" s="945"/>
      <c r="O19" s="945"/>
      <c r="P19" s="880" t="e">
        <v>#DIV/0!</v>
      </c>
      <c r="Q19" s="855" t="s">
        <v>767</v>
      </c>
      <c r="R19" s="855"/>
      <c r="S19" s="855"/>
      <c r="T19" s="855"/>
      <c r="U19" s="1019">
        <v>1</v>
      </c>
      <c r="V19" s="1019">
        <v>0</v>
      </c>
      <c r="W19"/>
      <c r="X19" s="984">
        <f>U19*G19</f>
        <v>25000</v>
      </c>
      <c r="Y19" s="984"/>
      <c r="Z19" s="984">
        <f>V19*G19</f>
        <v>0</v>
      </c>
      <c r="AA19"/>
      <c r="AB19" s="984">
        <v>500</v>
      </c>
    </row>
    <row r="20" spans="1:28" ht="15.75">
      <c r="A20" s="3"/>
      <c r="B20" s="855"/>
      <c r="C20" s="847"/>
      <c r="D20" s="842" t="s">
        <v>642</v>
      </c>
      <c r="E20" s="843"/>
      <c r="F20" s="848">
        <v>10000</v>
      </c>
      <c r="G20" s="854"/>
      <c r="H20" s="950"/>
      <c r="I20" s="950">
        <f t="shared" si="0"/>
        <v>0</v>
      </c>
      <c r="J20" s="1015"/>
      <c r="K20" s="1013"/>
      <c r="L20" s="1013"/>
      <c r="M20" s="983"/>
      <c r="N20" s="1022"/>
      <c r="O20" s="1022"/>
      <c r="P20" s="880">
        <v>0</v>
      </c>
      <c r="Q20" s="855" t="s">
        <v>768</v>
      </c>
      <c r="R20" s="855"/>
      <c r="S20" s="855"/>
      <c r="T20" s="855"/>
      <c r="U20" s="1019"/>
      <c r="V20" s="1019"/>
      <c r="W20"/>
      <c r="X20" s="984"/>
      <c r="Y20" s="984"/>
      <c r="Z20" s="984"/>
      <c r="AA20"/>
      <c r="AB20" s="984"/>
    </row>
    <row r="21" spans="1:28" ht="15.75">
      <c r="A21" s="3"/>
      <c r="B21" s="855"/>
      <c r="C21" s="847"/>
      <c r="D21" s="842" t="s">
        <v>643</v>
      </c>
      <c r="E21" s="849">
        <v>0</v>
      </c>
      <c r="F21" s="846">
        <f>E21*G18</f>
        <v>0</v>
      </c>
      <c r="G21" s="854"/>
      <c r="H21" s="950"/>
      <c r="I21" s="950">
        <f t="shared" si="0"/>
        <v>0</v>
      </c>
      <c r="J21" s="1015"/>
      <c r="K21" s="1013"/>
      <c r="L21" s="1013"/>
      <c r="M21" s="983"/>
      <c r="N21" s="1023"/>
      <c r="O21" s="1023"/>
      <c r="P21" s="880"/>
      <c r="Q21" s="855"/>
      <c r="R21" s="855"/>
      <c r="S21" s="855"/>
      <c r="T21" s="855"/>
      <c r="U21" s="1019"/>
      <c r="V21" s="1019"/>
      <c r="W21"/>
      <c r="X21" s="984"/>
      <c r="Y21" s="984"/>
      <c r="Z21" s="984"/>
      <c r="AA21"/>
      <c r="AB21" s="984"/>
    </row>
    <row r="22" spans="1:28" ht="15.75">
      <c r="A22" s="690"/>
      <c r="B22" s="855"/>
      <c r="C22" s="847"/>
      <c r="D22" s="842" t="s">
        <v>644</v>
      </c>
      <c r="E22" s="843"/>
      <c r="F22" s="848">
        <v>15000</v>
      </c>
      <c r="G22" s="854"/>
      <c r="H22" s="950"/>
      <c r="I22" s="950">
        <f t="shared" si="0"/>
        <v>0</v>
      </c>
      <c r="J22" s="847"/>
      <c r="K22" s="1024"/>
      <c r="L22" s="1024"/>
      <c r="M22"/>
      <c r="N22"/>
      <c r="O22"/>
      <c r="P22" s="880"/>
      <c r="Q22" s="855"/>
      <c r="R22" s="855"/>
      <c r="S22" s="855"/>
      <c r="T22" s="855"/>
      <c r="U22" s="1019"/>
      <c r="V22" s="1019"/>
      <c r="W22"/>
      <c r="X22" s="984"/>
      <c r="Y22" s="984"/>
      <c r="Z22" s="984"/>
      <c r="AA22"/>
      <c r="AB22" s="984"/>
    </row>
    <row r="23" spans="1:28" ht="15.75">
      <c r="A23" s="690"/>
      <c r="B23" s="855"/>
      <c r="C23" s="842" t="s">
        <v>645</v>
      </c>
      <c r="D23" s="842"/>
      <c r="E23" s="850">
        <v>150000</v>
      </c>
      <c r="F23" s="846"/>
      <c r="G23" s="854">
        <f>E23</f>
        <v>150000</v>
      </c>
      <c r="H23" s="950"/>
      <c r="I23" s="950">
        <f t="shared" si="0"/>
        <v>742.57425742574253</v>
      </c>
      <c r="J23" s="1015"/>
      <c r="K23" s="1025"/>
      <c r="L23" s="1025"/>
      <c r="M23" s="1014"/>
      <c r="N23" s="855"/>
      <c r="O23" s="855"/>
      <c r="P23" s="892"/>
      <c r="Q23" s="900"/>
      <c r="R23" s="855"/>
      <c r="S23" s="855"/>
      <c r="T23" s="855"/>
      <c r="U23" s="1019">
        <v>1</v>
      </c>
      <c r="V23" s="1019">
        <v>0</v>
      </c>
      <c r="W23"/>
      <c r="X23" s="984">
        <f>U23*G23</f>
        <v>150000</v>
      </c>
      <c r="Y23" s="984"/>
      <c r="Z23" s="984">
        <f>V23*G23</f>
        <v>0</v>
      </c>
      <c r="AA23"/>
      <c r="AB23" s="984">
        <v>0</v>
      </c>
    </row>
    <row r="24" spans="1:28" ht="15.75">
      <c r="A24" s="690"/>
      <c r="B24" s="855"/>
      <c r="C24" s="842" t="s">
        <v>646</v>
      </c>
      <c r="D24" s="842"/>
      <c r="E24" s="851"/>
      <c r="F24" s="846"/>
      <c r="G24" s="854">
        <f>SUM(F25:F26)</f>
        <v>0</v>
      </c>
      <c r="H24" s="950"/>
      <c r="I24" s="950">
        <f t="shared" si="0"/>
        <v>0</v>
      </c>
      <c r="J24" s="1015"/>
      <c r="K24" s="915"/>
      <c r="L24" s="915"/>
      <c r="M24" s="1014"/>
      <c r="N24" s="855"/>
      <c r="O24" s="855"/>
      <c r="P24" s="880"/>
      <c r="Q24" s="855"/>
      <c r="R24" s="855"/>
      <c r="S24" s="855"/>
      <c r="T24" s="855"/>
      <c r="U24" s="1019">
        <v>1</v>
      </c>
      <c r="V24" s="1019">
        <v>0</v>
      </c>
      <c r="W24"/>
      <c r="X24" s="984">
        <f>U24*G24</f>
        <v>0</v>
      </c>
      <c r="Y24" s="984"/>
      <c r="Z24" s="984">
        <f>V24*G24</f>
        <v>0</v>
      </c>
      <c r="AA24"/>
      <c r="AB24" s="984">
        <v>7920</v>
      </c>
    </row>
    <row r="25" spans="1:28" ht="15.75">
      <c r="A25" s="3"/>
      <c r="B25" s="855"/>
      <c r="C25" s="847"/>
      <c r="D25" s="842" t="s">
        <v>647</v>
      </c>
      <c r="E25" s="852">
        <f>5</f>
        <v>5</v>
      </c>
      <c r="F25" s="853">
        <v>0</v>
      </c>
      <c r="G25" s="854"/>
      <c r="H25" s="950"/>
      <c r="I25" s="950">
        <f t="shared" si="0"/>
        <v>0</v>
      </c>
      <c r="J25" s="1015"/>
      <c r="K25" s="1026"/>
      <c r="L25" s="1026"/>
      <c r="M25" s="1014"/>
      <c r="N25" s="855"/>
      <c r="O25" s="855"/>
      <c r="P25" s="855"/>
      <c r="Q25" s="855"/>
      <c r="R25" s="855"/>
      <c r="S25" s="855"/>
      <c r="T25" s="855"/>
      <c r="U25" s="1019"/>
      <c r="V25" s="1019"/>
      <c r="W25"/>
      <c r="X25" s="984"/>
      <c r="Y25" s="984"/>
      <c r="Z25" s="984"/>
      <c r="AA25"/>
      <c r="AB25" s="984"/>
    </row>
    <row r="26" spans="1:28" ht="15.75">
      <c r="B26" s="855"/>
      <c r="C26" s="847"/>
      <c r="D26" s="842" t="s">
        <v>648</v>
      </c>
      <c r="E26" s="852">
        <v>7</v>
      </c>
      <c r="F26" s="853">
        <v>0</v>
      </c>
      <c r="G26" s="854"/>
      <c r="H26" s="950"/>
      <c r="I26" s="950">
        <f t="shared" si="0"/>
        <v>0</v>
      </c>
      <c r="J26" s="1015"/>
      <c r="K26" s="1026"/>
      <c r="L26" s="1026"/>
      <c r="M26" s="1014"/>
      <c r="N26" s="855"/>
      <c r="O26" s="855"/>
      <c r="P26" s="855"/>
      <c r="Q26" s="855"/>
      <c r="R26" s="855"/>
      <c r="S26" s="855"/>
      <c r="T26" s="855"/>
      <c r="U26" s="1019"/>
      <c r="V26" s="1019"/>
      <c r="W26"/>
      <c r="X26" s="984"/>
      <c r="Y26" s="984"/>
      <c r="Z26" s="984"/>
      <c r="AA26"/>
      <c r="AB26" s="984"/>
    </row>
    <row r="27" spans="1:28" ht="15.75">
      <c r="A27" s="3"/>
      <c r="B27" s="855"/>
      <c r="C27" s="842" t="s">
        <v>769</v>
      </c>
      <c r="D27" s="842"/>
      <c r="E27" s="1027"/>
      <c r="F27" s="846"/>
      <c r="G27" s="1028">
        <v>0</v>
      </c>
      <c r="H27" s="950"/>
      <c r="I27" s="950">
        <f t="shared" si="0"/>
        <v>0</v>
      </c>
      <c r="J27" s="1015"/>
      <c r="K27" s="1029"/>
      <c r="L27" s="1029"/>
      <c r="M27" s="1014"/>
      <c r="N27" s="855"/>
      <c r="O27" s="855"/>
      <c r="P27" s="855"/>
      <c r="Q27" s="855"/>
      <c r="R27" s="855"/>
      <c r="S27" s="855"/>
      <c r="T27" s="855"/>
      <c r="U27" s="1019">
        <v>1</v>
      </c>
      <c r="V27" s="1019">
        <v>0</v>
      </c>
      <c r="W27"/>
      <c r="X27" s="984">
        <f>U27*G27</f>
        <v>0</v>
      </c>
      <c r="Y27" s="984"/>
      <c r="Z27" s="984">
        <f>V27*G27</f>
        <v>0</v>
      </c>
      <c r="AA27"/>
      <c r="AB27" s="984">
        <v>0</v>
      </c>
    </row>
    <row r="28" spans="1:28" ht="15.75" thickBot="1">
      <c r="A28" s="1326"/>
      <c r="B28" s="1327"/>
      <c r="C28" s="1328" t="s">
        <v>770</v>
      </c>
      <c r="D28" s="1329"/>
      <c r="E28" s="1330"/>
      <c r="F28" s="1331"/>
      <c r="G28" s="1332">
        <f>SUM(G18:G27)</f>
        <v>13305000</v>
      </c>
      <c r="H28" s="1333"/>
      <c r="I28" s="1325">
        <f t="shared" si="0"/>
        <v>65866.336633663363</v>
      </c>
      <c r="J28" s="1030"/>
      <c r="K28" s="1031"/>
      <c r="L28" s="1032"/>
      <c r="M28" s="1033"/>
      <c r="N28" s="868"/>
      <c r="O28" s="868"/>
      <c r="P28" s="868"/>
      <c r="Q28" s="868"/>
      <c r="R28" s="868"/>
      <c r="S28" s="868"/>
      <c r="T28" s="868"/>
      <c r="U28" s="1034"/>
      <c r="V28" s="1034"/>
      <c r="W28" s="1035"/>
      <c r="X28" s="1036">
        <f>SUM(X18:X27)</f>
        <v>13305000</v>
      </c>
      <c r="Y28" s="1036"/>
      <c r="Z28" s="1036">
        <f>SUM(Z18:Z27)</f>
        <v>0</v>
      </c>
      <c r="AA28" s="1035"/>
      <c r="AB28" s="1037">
        <v>153041.84</v>
      </c>
    </row>
    <row r="29" spans="1:28" ht="16.5" thickTop="1">
      <c r="A29" s="690"/>
      <c r="B29" s="855"/>
      <c r="C29" s="841" t="s">
        <v>90</v>
      </c>
      <c r="D29" s="842"/>
      <c r="E29" s="1042"/>
      <c r="F29" s="846"/>
      <c r="G29" s="1038"/>
      <c r="H29" s="1039"/>
      <c r="I29" s="950">
        <f t="shared" si="0"/>
        <v>0</v>
      </c>
      <c r="J29" s="1015"/>
      <c r="K29" s="915"/>
      <c r="L29" s="915"/>
      <c r="M29" s="1014"/>
      <c r="N29" s="855"/>
      <c r="O29" s="855"/>
      <c r="P29" s="855"/>
      <c r="Q29" s="855"/>
      <c r="R29" s="855"/>
      <c r="S29" s="855"/>
      <c r="T29" s="855"/>
      <c r="U29" s="1019"/>
      <c r="V29" s="1019"/>
      <c r="W29"/>
      <c r="X29" s="984"/>
      <c r="Y29" s="984"/>
      <c r="Z29" s="984"/>
      <c r="AA29"/>
      <c r="AB29" s="984"/>
    </row>
    <row r="30" spans="1:28" ht="15.75">
      <c r="A30" s="690"/>
      <c r="B30" s="855"/>
      <c r="C30" s="842" t="s">
        <v>707</v>
      </c>
      <c r="D30" s="842"/>
      <c r="E30" s="1056">
        <v>0</v>
      </c>
      <c r="F30" s="846"/>
      <c r="G30" s="1038">
        <v>0</v>
      </c>
      <c r="H30" s="1039"/>
      <c r="I30" s="950">
        <f t="shared" si="0"/>
        <v>0</v>
      </c>
      <c r="J30" s="1015"/>
      <c r="K30" s="1013"/>
      <c r="L30" s="1013"/>
      <c r="M30" s="1014"/>
      <c r="N30" s="855"/>
      <c r="O30" s="855"/>
      <c r="P30" s="1057"/>
      <c r="Q30" s="855"/>
      <c r="R30" s="855"/>
      <c r="S30" s="855"/>
      <c r="T30" s="855"/>
      <c r="U30" s="1019">
        <v>1</v>
      </c>
      <c r="V30" s="1019">
        <v>0</v>
      </c>
      <c r="W30"/>
      <c r="X30" s="984">
        <f>U30*G30</f>
        <v>0</v>
      </c>
      <c r="Y30" s="984"/>
      <c r="Z30" s="984">
        <f>V30*G30</f>
        <v>0</v>
      </c>
      <c r="AA30"/>
      <c r="AB30" s="984">
        <v>0</v>
      </c>
    </row>
    <row r="31" spans="1:28" ht="15.75">
      <c r="A31" s="690"/>
      <c r="B31" s="855"/>
      <c r="C31" s="842" t="s">
        <v>708</v>
      </c>
      <c r="D31" s="842"/>
      <c r="E31" s="844">
        <v>35</v>
      </c>
      <c r="F31" s="846"/>
      <c r="G31" s="1058">
        <f>E31*'Construction Calculation'!G11</f>
        <v>0</v>
      </c>
      <c r="H31" s="946"/>
      <c r="I31" s="950">
        <f t="shared" si="0"/>
        <v>0</v>
      </c>
      <c r="J31" s="1015"/>
      <c r="K31" s="1059"/>
      <c r="L31" s="945"/>
      <c r="M31" s="1556"/>
      <c r="N31" s="946"/>
      <c r="O31" s="946"/>
      <c r="P31" s="879"/>
      <c r="Q31" s="943"/>
      <c r="R31" s="896"/>
      <c r="S31" s="943"/>
      <c r="T31" s="855"/>
      <c r="U31" s="1019">
        <v>1</v>
      </c>
      <c r="V31" s="1019">
        <v>0</v>
      </c>
      <c r="W31"/>
      <c r="X31" s="984">
        <f>U31*G31</f>
        <v>0</v>
      </c>
      <c r="Y31" s="984"/>
      <c r="Z31" s="984">
        <f>V31*G31</f>
        <v>0</v>
      </c>
      <c r="AA31"/>
      <c r="AB31" s="984">
        <v>0</v>
      </c>
    </row>
    <row r="32" spans="1:28" ht="16.5" customHeight="1">
      <c r="A32" s="690"/>
      <c r="B32" s="855"/>
      <c r="C32" s="842" t="s">
        <v>94</v>
      </c>
      <c r="D32" s="842"/>
      <c r="E32" s="1043"/>
      <c r="F32" s="1044"/>
      <c r="G32" s="1038">
        <f>F33+F35</f>
        <v>64797148.25</v>
      </c>
      <c r="H32" s="1039"/>
      <c r="I32" s="950">
        <f t="shared" si="0"/>
        <v>320777.96163366339</v>
      </c>
      <c r="J32" s="1015"/>
      <c r="K32" s="1060"/>
      <c r="L32" s="1013"/>
      <c r="M32" s="1061"/>
      <c r="N32" s="1062"/>
      <c r="O32" s="1062"/>
      <c r="P32" s="879"/>
      <c r="Q32" s="943"/>
      <c r="R32" s="896"/>
      <c r="S32" s="943"/>
      <c r="T32" s="855"/>
      <c r="U32" s="1019">
        <v>1</v>
      </c>
      <c r="V32" s="1019">
        <v>0</v>
      </c>
      <c r="W32"/>
      <c r="X32" s="984">
        <f>F33+F35+(U32*F36)</f>
        <v>71276863.075000003</v>
      </c>
      <c r="Y32" s="984"/>
      <c r="Z32" s="984">
        <f>F34+(V32*F36)</f>
        <v>0</v>
      </c>
      <c r="AA32"/>
      <c r="AB32" s="984">
        <v>881388.24230769218</v>
      </c>
    </row>
    <row r="33" spans="1:28" ht="16.5" customHeight="1">
      <c r="A33" s="690"/>
      <c r="B33" s="855"/>
      <c r="C33" s="842"/>
      <c r="D33" s="842" t="s">
        <v>669</v>
      </c>
      <c r="E33" s="1063">
        <v>300</v>
      </c>
      <c r="F33" s="1064">
        <f>E33*'Construction Calculation'!C14</f>
        <v>59058000</v>
      </c>
      <c r="G33" s="1038"/>
      <c r="H33" s="1039"/>
      <c r="I33" s="950"/>
      <c r="J33" s="1015"/>
      <c r="K33" s="1016"/>
      <c r="L33" s="1016"/>
      <c r="M33" s="1065"/>
      <c r="N33" s="1066"/>
      <c r="O33" s="1066"/>
      <c r="P33" s="855"/>
      <c r="Q33" s="943"/>
      <c r="R33" s="855"/>
      <c r="S33" s="855"/>
      <c r="T33" s="855"/>
      <c r="U33" s="1019"/>
      <c r="V33" s="1019"/>
      <c r="W33"/>
      <c r="X33" s="984"/>
      <c r="Y33" s="984"/>
      <c r="Z33" s="984"/>
      <c r="AA33"/>
      <c r="AB33" s="984"/>
    </row>
    <row r="34" spans="1:28" ht="16.5" customHeight="1">
      <c r="A34" s="690"/>
      <c r="B34" s="855"/>
      <c r="C34" s="842"/>
      <c r="D34" s="842" t="s">
        <v>709</v>
      </c>
      <c r="E34" s="1063">
        <v>35</v>
      </c>
      <c r="F34" s="1064">
        <v>0</v>
      </c>
      <c r="G34" s="1038"/>
      <c r="H34" s="1039"/>
      <c r="I34" s="950">
        <f t="shared" si="0"/>
        <v>0</v>
      </c>
      <c r="J34" s="1015"/>
      <c r="K34" s="1067"/>
      <c r="L34" s="1067"/>
      <c r="M34" s="1014"/>
      <c r="N34" s="945"/>
      <c r="O34" s="855"/>
      <c r="P34" s="879"/>
      <c r="Q34" s="943"/>
      <c r="R34" s="855"/>
      <c r="S34" s="900"/>
      <c r="T34" s="855"/>
      <c r="U34" s="1019"/>
      <c r="V34" s="1019"/>
      <c r="W34"/>
      <c r="X34" s="984"/>
      <c r="Y34" s="984"/>
      <c r="Z34" s="984"/>
      <c r="AA34"/>
      <c r="AB34" s="984"/>
    </row>
    <row r="35" spans="1:28" ht="16.5" customHeight="1">
      <c r="A35" s="690"/>
      <c r="B35" s="855"/>
      <c r="C35" s="842"/>
      <c r="D35" s="842" t="s">
        <v>691</v>
      </c>
      <c r="E35" s="1068">
        <f>'Construction Calculation'!G49</f>
        <v>143</v>
      </c>
      <c r="F35" s="1064">
        <f>'Construction Calculation'!I55</f>
        <v>5739148.2500000009</v>
      </c>
      <c r="G35" s="1038">
        <f>0*F35</f>
        <v>0</v>
      </c>
      <c r="H35" s="1039"/>
      <c r="I35" s="950">
        <f t="shared" si="0"/>
        <v>0</v>
      </c>
      <c r="J35" s="1015"/>
      <c r="K35" s="1016"/>
      <c r="L35" s="1016"/>
      <c r="M35" s="983"/>
      <c r="N35" s="1316"/>
      <c r="O35" s="945"/>
      <c r="P35" s="855"/>
      <c r="Q35" s="1069"/>
      <c r="R35" s="855"/>
      <c r="S35" s="855"/>
      <c r="T35" s="1070"/>
      <c r="U35" s="1019"/>
      <c r="V35" s="1019"/>
      <c r="W35"/>
      <c r="X35" s="984"/>
      <c r="Y35" s="984"/>
      <c r="Z35" s="984"/>
      <c r="AA35"/>
      <c r="AB35" s="984"/>
    </row>
    <row r="36" spans="1:28" ht="16.5" customHeight="1">
      <c r="A36" s="690"/>
      <c r="B36" s="855"/>
      <c r="C36" s="847"/>
      <c r="D36" s="842" t="s">
        <v>710</v>
      </c>
      <c r="E36" s="1048">
        <v>0.1</v>
      </c>
      <c r="F36" s="1049">
        <f>E36*(G32+G31+G30)</f>
        <v>6479714.8250000002</v>
      </c>
      <c r="G36" s="854">
        <f>F36</f>
        <v>6479714.8250000002</v>
      </c>
      <c r="H36" s="950"/>
      <c r="I36" s="950">
        <f t="shared" si="0"/>
        <v>32077.796163366336</v>
      </c>
      <c r="J36" s="1015"/>
      <c r="K36" s="1016"/>
      <c r="L36" s="1016"/>
      <c r="M36" s="1014"/>
      <c r="N36" s="855"/>
      <c r="O36" s="855"/>
      <c r="P36" s="855"/>
      <c r="Q36" s="855"/>
      <c r="R36" s="855"/>
      <c r="S36" s="855"/>
      <c r="T36" s="855"/>
      <c r="U36" s="1019"/>
      <c r="V36" s="1019"/>
      <c r="W36"/>
      <c r="X36" s="984"/>
      <c r="Y36" s="984"/>
      <c r="Z36" s="984"/>
      <c r="AA36"/>
      <c r="AB36" s="984"/>
    </row>
    <row r="37" spans="1:28" ht="15.75">
      <c r="A37" s="3"/>
      <c r="B37" s="855"/>
      <c r="C37" s="842" t="s">
        <v>711</v>
      </c>
      <c r="D37" s="842"/>
      <c r="E37" s="1048">
        <v>7.0000000000000007E-2</v>
      </c>
      <c r="F37"/>
      <c r="G37" s="1071">
        <f>SUM($G$29:$G$32,$G$20,$G$21)*E37</f>
        <v>4535800.3775000004</v>
      </c>
      <c r="H37" s="1072"/>
      <c r="I37" s="950">
        <f t="shared" si="0"/>
        <v>22454.457314356438</v>
      </c>
      <c r="J37" s="1015"/>
      <c r="K37" s="1020"/>
      <c r="L37" s="1073"/>
      <c r="M37" s="1014"/>
      <c r="N37" s="1051"/>
      <c r="O37" s="1052"/>
      <c r="P37" s="855"/>
      <c r="Q37" s="855"/>
      <c r="R37" s="855"/>
      <c r="S37" s="855"/>
      <c r="T37" s="855"/>
      <c r="U37" s="1019">
        <v>1</v>
      </c>
      <c r="V37" s="1019">
        <v>0</v>
      </c>
      <c r="W37"/>
      <c r="X37" s="984">
        <f t="shared" ref="X37:X43" si="1">U37*G37</f>
        <v>4535800.3775000004</v>
      </c>
      <c r="Y37" s="984"/>
      <c r="Z37" s="984">
        <f t="shared" ref="Z37:Z43" si="2">V37*G37</f>
        <v>0</v>
      </c>
      <c r="AA37"/>
      <c r="AB37" s="984">
        <v>56088.342692307691</v>
      </c>
    </row>
    <row r="38" spans="1:28" ht="15.75">
      <c r="A38" s="690"/>
      <c r="B38" s="855"/>
      <c r="C38" s="842" t="s">
        <v>712</v>
      </c>
      <c r="D38" s="842"/>
      <c r="E38" s="1048">
        <v>0.05</v>
      </c>
      <c r="F38"/>
      <c r="G38" s="1071">
        <f>SUM($G$29:$G$32,$G$20,$G$21)*E38</f>
        <v>3239857.4125000001</v>
      </c>
      <c r="H38" s="1072"/>
      <c r="I38" s="950">
        <f t="shared" si="0"/>
        <v>16038.898081683168</v>
      </c>
      <c r="J38" s="1015"/>
      <c r="K38" s="1013"/>
      <c r="L38" s="1013"/>
      <c r="M38"/>
      <c r="N38" s="1051"/>
      <c r="O38" s="1052"/>
      <c r="P38" s="855"/>
      <c r="Q38" s="855"/>
      <c r="R38" s="855"/>
      <c r="S38" s="855"/>
      <c r="T38" s="855"/>
      <c r="U38" s="1019">
        <v>1</v>
      </c>
      <c r="V38" s="1019">
        <v>0</v>
      </c>
      <c r="W38"/>
      <c r="X38" s="984">
        <f t="shared" si="1"/>
        <v>3239857.4125000001</v>
      </c>
      <c r="Y38" s="984"/>
      <c r="Z38" s="984">
        <f t="shared" si="2"/>
        <v>0</v>
      </c>
      <c r="AA38"/>
      <c r="AB38" s="984">
        <v>40063.101923076923</v>
      </c>
    </row>
    <row r="39" spans="1:28" ht="15.75">
      <c r="A39" s="3"/>
      <c r="B39" s="855"/>
      <c r="C39" s="842" t="s">
        <v>713</v>
      </c>
      <c r="D39" s="842"/>
      <c r="E39" s="1048">
        <v>0</v>
      </c>
      <c r="F39"/>
      <c r="G39" s="1071">
        <f>SUM($G$29:$G$32,$G$20,$G$21)*E39</f>
        <v>0</v>
      </c>
      <c r="H39" s="1072"/>
      <c r="I39" s="950">
        <f t="shared" si="0"/>
        <v>0</v>
      </c>
      <c r="J39" s="1015"/>
      <c r="K39" s="1013"/>
      <c r="L39" s="1013"/>
      <c r="M39"/>
      <c r="N39" s="1051"/>
      <c r="O39" s="1052"/>
      <c r="P39" s="855"/>
      <c r="Q39" s="855"/>
      <c r="R39" s="855"/>
      <c r="S39" s="855"/>
      <c r="T39" s="855"/>
      <c r="U39" s="1019">
        <v>1</v>
      </c>
      <c r="V39" s="1019">
        <v>0</v>
      </c>
      <c r="W39"/>
      <c r="X39" s="984">
        <f t="shared" si="1"/>
        <v>0</v>
      </c>
      <c r="Y39" s="984"/>
      <c r="Z39" s="984">
        <f t="shared" si="2"/>
        <v>0</v>
      </c>
      <c r="AA39"/>
      <c r="AB39" s="984">
        <v>0</v>
      </c>
    </row>
    <row r="40" spans="1:28" ht="15.75">
      <c r="A40" s="3"/>
      <c r="B40" s="855"/>
      <c r="C40" s="842" t="s">
        <v>714</v>
      </c>
      <c r="D40" s="842"/>
      <c r="E40" s="1048">
        <v>1.4999999999999999E-2</v>
      </c>
      <c r="F40"/>
      <c r="G40" s="1071">
        <f>SUM($G$29:$G$32,$G$20,$G$21)*E40</f>
        <v>971957.22375</v>
      </c>
      <c r="H40" s="1072"/>
      <c r="I40" s="950">
        <f t="shared" si="0"/>
        <v>4811.6694245049503</v>
      </c>
      <c r="J40" s="1015"/>
      <c r="K40" s="1013"/>
      <c r="L40" s="1013"/>
      <c r="M40" s="1014"/>
      <c r="N40" s="1051"/>
      <c r="O40" s="1052"/>
      <c r="P40" s="855"/>
      <c r="Q40" s="855"/>
      <c r="R40" s="855"/>
      <c r="S40" s="855"/>
      <c r="T40" s="855"/>
      <c r="U40" s="1019">
        <v>1</v>
      </c>
      <c r="V40" s="1019">
        <v>0</v>
      </c>
      <c r="W40"/>
      <c r="X40" s="984">
        <f t="shared" si="1"/>
        <v>971957.22375</v>
      </c>
      <c r="Y40" s="984"/>
      <c r="Z40" s="984">
        <f t="shared" si="2"/>
        <v>0</v>
      </c>
      <c r="AA40"/>
      <c r="AB40" s="984">
        <v>12018.930576923076</v>
      </c>
    </row>
    <row r="41" spans="1:28" ht="15.75">
      <c r="A41" s="3"/>
      <c r="B41" s="855"/>
      <c r="C41" s="842" t="s">
        <v>715</v>
      </c>
      <c r="D41" s="842"/>
      <c r="E41" s="1048">
        <v>1.4999999999999999E-2</v>
      </c>
      <c r="F41" s="1074"/>
      <c r="G41" s="1071">
        <f>SUM($G$29:$G$33,$G$20,$G$21)*E41</f>
        <v>971957.22375</v>
      </c>
      <c r="H41" s="1072"/>
      <c r="I41" s="950">
        <f t="shared" si="0"/>
        <v>4811.6694245049503</v>
      </c>
      <c r="J41" s="1015"/>
      <c r="K41" s="1013"/>
      <c r="L41" s="1013"/>
      <c r="M41" s="1014"/>
      <c r="N41" s="855"/>
      <c r="O41" s="855"/>
      <c r="P41" s="855"/>
      <c r="Q41" s="855"/>
      <c r="R41" s="855"/>
      <c r="S41" s="855"/>
      <c r="T41" s="855"/>
      <c r="U41" s="1019">
        <v>1</v>
      </c>
      <c r="V41" s="1019">
        <v>0</v>
      </c>
      <c r="W41"/>
      <c r="X41" s="984">
        <f t="shared" si="1"/>
        <v>971957.22375</v>
      </c>
      <c r="Y41" s="984"/>
      <c r="Z41" s="984">
        <f t="shared" si="2"/>
        <v>0</v>
      </c>
      <c r="AA41"/>
      <c r="AB41" s="984">
        <v>12018.930576923076</v>
      </c>
    </row>
    <row r="42" spans="1:28" ht="15.75">
      <c r="A42" s="3"/>
      <c r="B42" s="855"/>
      <c r="C42" s="842" t="s">
        <v>224</v>
      </c>
      <c r="D42" s="842"/>
      <c r="E42" s="1048">
        <v>0</v>
      </c>
      <c r="F42" s="1075"/>
      <c r="G42" s="1071">
        <f>SUM($G$29:$G$32,$G$20,$G$21)*E42</f>
        <v>0</v>
      </c>
      <c r="H42" s="1072"/>
      <c r="I42" s="950">
        <f t="shared" si="0"/>
        <v>0</v>
      </c>
      <c r="J42" s="1015"/>
      <c r="K42" s="1013"/>
      <c r="L42" s="1013"/>
      <c r="M42" s="1014"/>
      <c r="N42" s="855"/>
      <c r="O42" s="855"/>
      <c r="P42" s="855"/>
      <c r="Q42" s="855"/>
      <c r="R42" s="855"/>
      <c r="S42" s="855"/>
      <c r="T42" s="855"/>
      <c r="U42" s="1019">
        <v>1</v>
      </c>
      <c r="V42" s="1019">
        <v>0</v>
      </c>
      <c r="W42"/>
      <c r="X42" s="984">
        <f t="shared" si="1"/>
        <v>0</v>
      </c>
      <c r="Y42" s="984"/>
      <c r="Z42" s="984">
        <f t="shared" si="2"/>
        <v>0</v>
      </c>
      <c r="AA42"/>
      <c r="AB42" s="984">
        <v>0</v>
      </c>
    </row>
    <row r="43" spans="1:28" ht="15.75">
      <c r="A43" s="3"/>
      <c r="B43" s="855"/>
      <c r="C43" s="847" t="s">
        <v>716</v>
      </c>
      <c r="D43"/>
      <c r="E43" s="1048">
        <v>0</v>
      </c>
      <c r="F43"/>
      <c r="G43" s="1071">
        <f>SUM($G$29:$G$32,$G$20,$G$21)*E43</f>
        <v>0</v>
      </c>
      <c r="H43" s="1072"/>
      <c r="I43" s="950">
        <f t="shared" si="0"/>
        <v>0</v>
      </c>
      <c r="J43" s="1015"/>
      <c r="K43" s="1045"/>
      <c r="L43" s="1045"/>
      <c r="M43" s="1014"/>
      <c r="N43"/>
      <c r="O43"/>
      <c r="P43" s="855"/>
      <c r="Q43" s="855"/>
      <c r="R43" s="855"/>
      <c r="S43" s="855"/>
      <c r="T43" s="855"/>
      <c r="U43" s="1019">
        <v>1</v>
      </c>
      <c r="V43" s="1019">
        <v>0</v>
      </c>
      <c r="W43"/>
      <c r="X43" s="984">
        <f t="shared" si="1"/>
        <v>0</v>
      </c>
      <c r="Y43" s="984"/>
      <c r="Z43" s="984">
        <f t="shared" si="2"/>
        <v>0</v>
      </c>
      <c r="AA43"/>
      <c r="AB43" s="984">
        <v>0</v>
      </c>
    </row>
    <row r="44" spans="1:28" ht="16.5" thickBot="1">
      <c r="A44" s="1317"/>
      <c r="B44" s="1318"/>
      <c r="C44" s="1319" t="s">
        <v>717</v>
      </c>
      <c r="D44" s="1320"/>
      <c r="E44" s="1321"/>
      <c r="F44" s="1322"/>
      <c r="G44" s="1323">
        <f>SUM(G30:G43)+G23+G24</f>
        <v>81146435.312499985</v>
      </c>
      <c r="H44" s="1324"/>
      <c r="I44" s="1325">
        <f t="shared" si="0"/>
        <v>401715.02629950485</v>
      </c>
      <c r="J44" s="1079"/>
      <c r="K44" s="1055"/>
      <c r="L44" s="1080"/>
      <c r="M44" s="1081"/>
      <c r="N44" s="855"/>
      <c r="O44" s="855"/>
      <c r="P44" s="855"/>
      <c r="Q44" s="855"/>
      <c r="R44" s="855"/>
      <c r="S44" s="855"/>
      <c r="T44" s="855"/>
      <c r="U44" s="1019"/>
      <c r="V44" s="1019"/>
      <c r="W44"/>
      <c r="X44" s="984">
        <f>SUM(X30:X43)+X23+X24</f>
        <v>81146435.312499985</v>
      </c>
      <c r="Y44" s="984"/>
      <c r="Z44" s="984">
        <f>SUM(Z30:Z43)+Z23+Z24</f>
        <v>0</v>
      </c>
      <c r="AA44"/>
      <c r="AB44" s="984">
        <v>1009497.5480769229</v>
      </c>
    </row>
    <row r="45" spans="1:28" ht="16.5" thickTop="1">
      <c r="A45" s="951"/>
      <c r="B45" s="855"/>
      <c r="C45" s="841" t="s">
        <v>718</v>
      </c>
      <c r="D45" s="842"/>
      <c r="E45" s="1082">
        <v>0</v>
      </c>
      <c r="F45" s="1076"/>
      <c r="G45" s="1077">
        <f>E45*G44</f>
        <v>0</v>
      </c>
      <c r="H45" s="1078"/>
      <c r="I45" s="950">
        <f t="shared" si="0"/>
        <v>0</v>
      </c>
      <c r="J45" s="1079"/>
      <c r="K45" s="1029"/>
      <c r="L45" s="1029"/>
      <c r="M45" s="1081"/>
      <c r="N45" s="855"/>
      <c r="O45" s="855"/>
      <c r="P45" s="855"/>
      <c r="Q45" s="946"/>
      <c r="R45" s="855"/>
      <c r="S45" s="855"/>
      <c r="T45" s="855"/>
      <c r="U45" s="1019">
        <v>1</v>
      </c>
      <c r="V45" s="1019">
        <v>0</v>
      </c>
      <c r="W45"/>
      <c r="X45" s="984">
        <f>U45*G45</f>
        <v>0</v>
      </c>
      <c r="Y45" s="984"/>
      <c r="Z45" s="984">
        <f>V45*G45</f>
        <v>0</v>
      </c>
      <c r="AA45"/>
      <c r="AB45" s="984">
        <v>0</v>
      </c>
    </row>
    <row r="46" spans="1:28" ht="15.75" thickBot="1">
      <c r="A46" s="1317"/>
      <c r="B46" s="1334"/>
      <c r="C46" s="1319" t="s">
        <v>719</v>
      </c>
      <c r="D46" s="1335"/>
      <c r="E46" s="1336"/>
      <c r="F46" s="1337"/>
      <c r="G46" s="1332">
        <f>SUM(G44:G45)</f>
        <v>81146435.312499985</v>
      </c>
      <c r="H46" s="1333"/>
      <c r="I46" s="1325">
        <f t="shared" si="0"/>
        <v>401715.02629950485</v>
      </c>
      <c r="J46" s="1030"/>
      <c r="K46" s="1029"/>
      <c r="L46" s="1029"/>
      <c r="M46" s="1083"/>
      <c r="N46" s="1084"/>
      <c r="O46" s="1084"/>
      <c r="P46" s="868"/>
      <c r="Q46" s="868"/>
      <c r="R46" s="868"/>
      <c r="S46" s="868"/>
      <c r="T46" s="868"/>
      <c r="U46" s="1034"/>
      <c r="V46" s="1034"/>
      <c r="W46" s="1035"/>
      <c r="X46" s="1037">
        <f>X44+X45</f>
        <v>81146435.312499985</v>
      </c>
      <c r="Y46" s="1037"/>
      <c r="Z46" s="1037">
        <f>Z44+Z45</f>
        <v>0</v>
      </c>
      <c r="AA46" s="1035"/>
      <c r="AB46" s="1037">
        <v>1009497.5480769229</v>
      </c>
    </row>
    <row r="47" spans="1:28" ht="16.5" thickTop="1">
      <c r="A47" s="3"/>
      <c r="B47" s="855"/>
      <c r="C47" s="841" t="s">
        <v>720</v>
      </c>
      <c r="D47" s="842"/>
      <c r="E47" s="1085">
        <v>0.1</v>
      </c>
      <c r="F47" s="1086">
        <v>0.15</v>
      </c>
      <c r="G47" s="1038">
        <f>(E47*G46)</f>
        <v>8114643.5312499991</v>
      </c>
      <c r="H47" s="1039"/>
      <c r="I47" s="950">
        <f t="shared" si="0"/>
        <v>40171.50262995049</v>
      </c>
      <c r="J47" s="1015"/>
      <c r="K47" s="1013"/>
      <c r="L47" s="1013"/>
      <c r="M47" s="1014"/>
      <c r="N47" s="1022"/>
      <c r="O47" s="1022"/>
      <c r="P47" s="855"/>
      <c r="Q47" s="855"/>
      <c r="R47" s="855"/>
      <c r="S47" s="855"/>
      <c r="T47" s="855"/>
      <c r="U47" s="1019">
        <v>1</v>
      </c>
      <c r="V47" s="1019">
        <v>0</v>
      </c>
      <c r="W47"/>
      <c r="X47" s="984">
        <f>U47*G47</f>
        <v>8114643.5312499991</v>
      </c>
      <c r="Y47" s="984"/>
      <c r="Z47" s="984">
        <f>V47*G47</f>
        <v>0</v>
      </c>
      <c r="AA47"/>
      <c r="AB47" s="984">
        <v>100949.7548076923</v>
      </c>
    </row>
    <row r="48" spans="1:28" ht="15.75">
      <c r="A48" s="3"/>
      <c r="B48" s="855"/>
      <c r="C48" s="949" t="s">
        <v>721</v>
      </c>
      <c r="D48" s="842"/>
      <c r="E48" s="1087"/>
      <c r="F48" s="1088"/>
      <c r="G48" s="1038"/>
      <c r="H48" s="1039"/>
      <c r="I48" s="950">
        <f t="shared" si="0"/>
        <v>0</v>
      </c>
      <c r="J48" s="1015"/>
      <c r="K48" s="1013"/>
      <c r="L48" s="1013"/>
      <c r="M48" s="1014"/>
      <c r="N48" s="855"/>
      <c r="O48" s="855"/>
      <c r="P48" s="1089"/>
      <c r="Q48" s="855"/>
      <c r="R48" s="855"/>
      <c r="S48" s="855"/>
      <c r="T48" s="855"/>
      <c r="U48" s="1019"/>
      <c r="V48" s="1019"/>
      <c r="W48"/>
      <c r="X48" s="984"/>
      <c r="Y48" s="984"/>
      <c r="Z48" s="984"/>
      <c r="AA48"/>
      <c r="AB48" s="984"/>
    </row>
    <row r="49" spans="1:28" ht="15.75">
      <c r="A49" s="3"/>
      <c r="B49" s="855"/>
      <c r="C49" s="1090"/>
      <c r="D49" s="842" t="s">
        <v>771</v>
      </c>
      <c r="E49" s="1047"/>
      <c r="F49" s="1091">
        <f>335*F9</f>
        <v>67670</v>
      </c>
      <c r="G49" s="1092">
        <f>F49</f>
        <v>67670</v>
      </c>
      <c r="H49" s="1093"/>
      <c r="I49" s="950">
        <f t="shared" si="0"/>
        <v>335</v>
      </c>
      <c r="J49" s="1094"/>
      <c r="K49" s="1045"/>
      <c r="L49" s="1046"/>
      <c r="M49" s="1014"/>
      <c r="N49"/>
      <c r="O49"/>
      <c r="P49" s="1095"/>
      <c r="Q49" s="855"/>
      <c r="R49" s="855"/>
      <c r="S49" s="855"/>
      <c r="T49" s="855"/>
      <c r="U49" s="1019"/>
      <c r="V49" s="1019"/>
      <c r="W49"/>
      <c r="X49" s="984"/>
      <c r="Y49" s="984"/>
      <c r="Z49" s="984"/>
      <c r="AA49"/>
      <c r="AB49" s="984"/>
    </row>
    <row r="50" spans="1:28" ht="15.75">
      <c r="A50" s="3"/>
      <c r="B50" s="855"/>
      <c r="C50" s="1090"/>
      <c r="D50" s="842" t="s">
        <v>772</v>
      </c>
      <c r="E50" s="1047">
        <v>0</v>
      </c>
      <c r="F50" s="1091">
        <f>368*F9</f>
        <v>74336</v>
      </c>
      <c r="G50" s="1092">
        <f>F50</f>
        <v>74336</v>
      </c>
      <c r="H50" s="1093"/>
      <c r="I50" s="950">
        <f t="shared" si="0"/>
        <v>368</v>
      </c>
      <c r="J50" s="1094"/>
      <c r="K50" s="1045"/>
      <c r="L50" s="1013"/>
      <c r="M50" s="1014"/>
      <c r="N50"/>
      <c r="O50"/>
      <c r="P50" s="855"/>
      <c r="Q50" s="855"/>
      <c r="R50" s="855"/>
      <c r="S50" s="855"/>
      <c r="T50" s="855"/>
      <c r="U50" s="1019"/>
      <c r="V50" s="1019"/>
      <c r="W50"/>
      <c r="X50" s="984"/>
      <c r="Y50" s="984"/>
      <c r="Z50" s="984"/>
      <c r="AA50"/>
      <c r="AB50" s="984"/>
    </row>
    <row r="51" spans="1:28" ht="15.75">
      <c r="A51" s="3"/>
      <c r="B51" s="855"/>
      <c r="C51" s="949"/>
      <c r="D51" s="842" t="s">
        <v>773</v>
      </c>
      <c r="E51" s="1096">
        <v>0</v>
      </c>
      <c r="F51" s="1097">
        <v>1225</v>
      </c>
      <c r="G51" s="1092">
        <f>F51</f>
        <v>1225</v>
      </c>
      <c r="H51" s="1039"/>
      <c r="I51" s="950">
        <f t="shared" si="0"/>
        <v>6.064356435643564</v>
      </c>
      <c r="J51" s="1015"/>
      <c r="K51" s="1045"/>
      <c r="L51" s="1013"/>
      <c r="M51" s="1014"/>
      <c r="N51" s="855"/>
      <c r="O51" s="855"/>
      <c r="P51" s="855"/>
      <c r="Q51" s="855"/>
      <c r="R51" s="855"/>
      <c r="S51" s="855"/>
      <c r="T51" s="855"/>
      <c r="U51" s="1019"/>
      <c r="V51" s="1019"/>
      <c r="W51"/>
      <c r="X51" s="984"/>
      <c r="Y51" s="984"/>
      <c r="Z51" s="984"/>
      <c r="AA51"/>
      <c r="AB51" s="984"/>
    </row>
    <row r="52" spans="1:28">
      <c r="A52" s="3"/>
      <c r="B52" s="868"/>
      <c r="C52" s="949" t="s">
        <v>774</v>
      </c>
      <c r="D52" s="841"/>
      <c r="E52" s="1098"/>
      <c r="F52" s="1099"/>
      <c r="G52" s="1100">
        <f>SUM(F49:F51)</f>
        <v>143231</v>
      </c>
      <c r="H52" s="1101"/>
      <c r="I52" s="950">
        <f t="shared" si="0"/>
        <v>709.06435643564362</v>
      </c>
      <c r="J52" s="1102"/>
      <c r="K52" s="1103"/>
      <c r="L52" s="1029"/>
      <c r="M52" s="1104"/>
      <c r="N52" s="868"/>
      <c r="O52" s="868"/>
      <c r="P52" s="868"/>
      <c r="Q52" s="868"/>
      <c r="R52" s="868"/>
      <c r="S52" s="868"/>
      <c r="T52" s="868"/>
      <c r="U52" s="1034">
        <v>1</v>
      </c>
      <c r="V52" s="1034">
        <v>0</v>
      </c>
      <c r="W52" s="1035"/>
      <c r="X52" s="1037">
        <f>U52*G52</f>
        <v>143231</v>
      </c>
      <c r="Y52" s="1037"/>
      <c r="Z52" s="1037">
        <f>V52*G52</f>
        <v>0</v>
      </c>
      <c r="AA52" s="1035"/>
      <c r="AB52" s="1037">
        <v>2470.94</v>
      </c>
    </row>
    <row r="53" spans="1:28" ht="15.75">
      <c r="A53" s="3"/>
      <c r="B53" s="855"/>
      <c r="C53" s="841" t="s">
        <v>775</v>
      </c>
      <c r="D53" s="842"/>
      <c r="E53" s="1105"/>
      <c r="F53" s="1076"/>
      <c r="G53" s="1038"/>
      <c r="H53" s="1039"/>
      <c r="I53" s="950">
        <f t="shared" si="0"/>
        <v>0</v>
      </c>
      <c r="J53" s="1106"/>
      <c r="K53" s="1103"/>
      <c r="L53" s="1013"/>
      <c r="M53" s="1014"/>
      <c r="N53" s="855"/>
      <c r="O53" s="855"/>
      <c r="P53" s="855"/>
      <c r="Q53" s="855"/>
      <c r="R53" s="855"/>
      <c r="S53" s="855"/>
      <c r="T53" s="855"/>
      <c r="U53" s="1019"/>
      <c r="V53" s="1019"/>
      <c r="W53"/>
      <c r="X53" s="984"/>
      <c r="Y53" s="984"/>
      <c r="Z53" s="984"/>
      <c r="AA53"/>
      <c r="AB53" s="984"/>
    </row>
    <row r="54" spans="1:28" ht="15.75">
      <c r="A54" s="3"/>
      <c r="B54" s="855"/>
      <c r="C54" s="842" t="s">
        <v>385</v>
      </c>
      <c r="D54" s="842"/>
      <c r="E54" s="1107"/>
      <c r="F54" s="1076"/>
      <c r="G54" s="1038">
        <f>SUM(F55:F56)</f>
        <v>2139800</v>
      </c>
      <c r="H54" s="1039"/>
      <c r="I54" s="950">
        <f t="shared" si="0"/>
        <v>10593.069306930693</v>
      </c>
      <c r="J54" s="1015"/>
      <c r="K54" s="1108"/>
      <c r="L54" s="1059"/>
      <c r="M54" s="1014"/>
      <c r="N54" s="855"/>
      <c r="O54" s="855"/>
      <c r="P54" s="946"/>
      <c r="Q54" s="855"/>
      <c r="R54" s="855"/>
      <c r="S54" s="855"/>
      <c r="T54" s="855"/>
      <c r="U54" s="1019">
        <v>1</v>
      </c>
      <c r="V54" s="1019">
        <v>0</v>
      </c>
      <c r="W54"/>
      <c r="X54" s="984">
        <f>G54</f>
        <v>2139800</v>
      </c>
      <c r="Y54" s="984"/>
      <c r="Z54" s="984"/>
      <c r="AA54"/>
      <c r="AB54" s="984">
        <v>40636.275750000001</v>
      </c>
    </row>
    <row r="55" spans="1:28" ht="15.75">
      <c r="A55" s="3"/>
      <c r="B55" s="855"/>
      <c r="C55" s="842"/>
      <c r="D55" s="842" t="s">
        <v>776</v>
      </c>
      <c r="E55" s="847"/>
      <c r="F55" s="1109">
        <v>163800</v>
      </c>
      <c r="G55" s="1110"/>
      <c r="H55" s="1111"/>
      <c r="I55" s="950">
        <f t="shared" si="0"/>
        <v>0</v>
      </c>
      <c r="J55" s="1106"/>
      <c r="K55" s="1112"/>
      <c r="L55" s="1013"/>
      <c r="M55" s="1104" t="s">
        <v>1089</v>
      </c>
      <c r="N55" s="855"/>
      <c r="O55" s="855"/>
      <c r="P55" s="946"/>
      <c r="Q55" s="855"/>
      <c r="R55" s="855"/>
      <c r="S55" s="855"/>
      <c r="T55" s="855"/>
      <c r="U55" s="1019"/>
      <c r="V55" s="1019"/>
      <c r="W55"/>
      <c r="X55" s="984"/>
      <c r="Y55" s="984"/>
      <c r="Z55" s="984"/>
      <c r="AA55"/>
      <c r="AB55" s="984"/>
    </row>
    <row r="56" spans="1:28" ht="15.75">
      <c r="A56" s="3"/>
      <c r="B56" s="855"/>
      <c r="C56" s="842"/>
      <c r="D56" s="842" t="s">
        <v>385</v>
      </c>
      <c r="E56" s="1082">
        <v>0.06</v>
      </c>
      <c r="F56" s="1044">
        <f>M56</f>
        <v>1976000</v>
      </c>
      <c r="G56" s="1110"/>
      <c r="H56" s="1111"/>
      <c r="I56" s="950">
        <f>G56/$F$9</f>
        <v>0</v>
      </c>
      <c r="J56" s="1106"/>
      <c r="K56" s="1113" t="s">
        <v>984</v>
      </c>
      <c r="L56" s="1114"/>
      <c r="M56" s="1670">
        <f>SUM(M57:M58)</f>
        <v>1976000</v>
      </c>
      <c r="N56" s="945"/>
      <c r="O56" s="945"/>
      <c r="P56" s="946"/>
      <c r="Q56" s="855"/>
      <c r="R56" s="855"/>
      <c r="S56" s="855"/>
      <c r="T56" s="855"/>
      <c r="U56" s="1019"/>
      <c r="V56" s="1019"/>
      <c r="W56"/>
      <c r="X56" s="984"/>
      <c r="Y56" s="984"/>
      <c r="Z56" s="984"/>
      <c r="AA56"/>
      <c r="AB56" s="984"/>
    </row>
    <row r="57" spans="1:28" ht="15.75">
      <c r="A57" s="3"/>
      <c r="B57" s="855"/>
      <c r="C57" s="842" t="s">
        <v>777</v>
      </c>
      <c r="D57" s="842"/>
      <c r="E57" s="1115">
        <v>6.5000000000000002E-2</v>
      </c>
      <c r="F57" s="1044"/>
      <c r="G57" s="1116">
        <f>E57*F56</f>
        <v>128440</v>
      </c>
      <c r="H57" s="1117"/>
      <c r="I57" s="950">
        <f t="shared" si="0"/>
        <v>635.8415841584158</v>
      </c>
      <c r="J57" s="1015"/>
      <c r="K57" s="1118"/>
      <c r="L57" s="1119"/>
      <c r="M57" s="1120">
        <f>(5000*F9)*1.6</f>
        <v>1616000</v>
      </c>
      <c r="N57" s="945"/>
      <c r="O57" s="945"/>
      <c r="P57" s="946"/>
      <c r="Q57" s="855"/>
      <c r="R57" s="855"/>
      <c r="S57" s="855"/>
      <c r="T57" s="855"/>
      <c r="U57" s="1121">
        <v>1</v>
      </c>
      <c r="V57" s="1019">
        <f>1-U57</f>
        <v>0</v>
      </c>
      <c r="W57"/>
      <c r="X57" s="984">
        <f>U57*G57</f>
        <v>128440</v>
      </c>
      <c r="Y57" s="984"/>
      <c r="Z57" s="984">
        <f>V57*G57</f>
        <v>0</v>
      </c>
      <c r="AA57"/>
      <c r="AB57" s="984">
        <v>2428.4179237500002</v>
      </c>
    </row>
    <row r="58" spans="1:28" ht="15.75">
      <c r="A58" s="3"/>
      <c r="B58" s="855"/>
      <c r="C58" s="842" t="s">
        <v>778</v>
      </c>
      <c r="D58" s="842"/>
      <c r="E58" s="1122"/>
      <c r="F58" s="1044"/>
      <c r="G58" s="1123">
        <v>30000</v>
      </c>
      <c r="H58" s="1124"/>
      <c r="I58" s="950">
        <f t="shared" si="0"/>
        <v>148.51485148514851</v>
      </c>
      <c r="J58" s="1015"/>
      <c r="K58" s="1125"/>
      <c r="L58" s="1045"/>
      <c r="M58" s="1014">
        <f>24*15000</f>
        <v>360000</v>
      </c>
      <c r="N58" s="855"/>
      <c r="O58" s="855"/>
      <c r="P58" s="855"/>
      <c r="Q58" s="855"/>
      <c r="R58" s="855"/>
      <c r="S58" s="855"/>
      <c r="T58" s="855"/>
      <c r="U58" s="1019">
        <v>1</v>
      </c>
      <c r="V58" s="1019">
        <v>0</v>
      </c>
      <c r="W58"/>
      <c r="X58" s="984">
        <f>U58*G58</f>
        <v>30000</v>
      </c>
      <c r="Y58" s="984"/>
      <c r="Z58" s="984">
        <f>V58*G58</f>
        <v>0</v>
      </c>
      <c r="AA58"/>
      <c r="AB58" s="984">
        <v>600</v>
      </c>
    </row>
    <row r="59" spans="1:28">
      <c r="A59" s="951"/>
      <c r="B59" s="868"/>
      <c r="C59" s="949" t="s">
        <v>966</v>
      </c>
      <c r="D59" s="841"/>
      <c r="E59" s="1053"/>
      <c r="F59" s="1126"/>
      <c r="G59" s="1127">
        <f>SUM(G54:G58)-SUM(F75:F76,G78:G79,G67:G69)</f>
        <v>1904373.9117187499</v>
      </c>
      <c r="H59" s="1128"/>
      <c r="I59" s="950">
        <f t="shared" si="0"/>
        <v>9427.5936223700483</v>
      </c>
      <c r="J59" s="1102"/>
      <c r="K59" s="1129"/>
      <c r="L59" s="1130"/>
      <c r="M59" s="1131"/>
      <c r="N59" s="868"/>
      <c r="O59" s="868"/>
      <c r="P59" s="868"/>
      <c r="Q59" s="868"/>
      <c r="R59" s="868"/>
      <c r="S59" s="868"/>
      <c r="T59" s="868"/>
      <c r="U59" s="1034"/>
      <c r="V59" s="1034"/>
      <c r="W59" s="1035"/>
      <c r="X59" s="1037">
        <f>SUM(X54:X58)</f>
        <v>2298240</v>
      </c>
      <c r="Y59" s="1037"/>
      <c r="Z59" s="1037">
        <f>SUM(Z54:Z58)</f>
        <v>0</v>
      </c>
      <c r="AA59" s="1035"/>
      <c r="AB59" s="1037">
        <v>43664.693673750007</v>
      </c>
    </row>
    <row r="60" spans="1:28" ht="15.75" hidden="1">
      <c r="A60" s="3"/>
      <c r="B60" s="855"/>
      <c r="C60" s="841" t="s">
        <v>967</v>
      </c>
      <c r="D60" s="842"/>
      <c r="E60" s="1107"/>
      <c r="F60" s="1044"/>
      <c r="G60" s="1110"/>
      <c r="H60" s="1111"/>
      <c r="I60" s="950">
        <f t="shared" si="0"/>
        <v>0</v>
      </c>
      <c r="J60" s="1106"/>
      <c r="K60" s="1103" t="s">
        <v>779</v>
      </c>
      <c r="L60" s="1029"/>
      <c r="M60" s="1014"/>
      <c r="N60" s="855"/>
      <c r="O60" s="855"/>
      <c r="P60" s="855"/>
      <c r="Q60" s="855"/>
      <c r="R60" s="855"/>
      <c r="S60" s="855"/>
      <c r="T60" s="855"/>
      <c r="U60" s="1019"/>
      <c r="V60" s="1019"/>
      <c r="W60"/>
      <c r="X60" s="984"/>
      <c r="Y60" s="984"/>
      <c r="Z60" s="984"/>
      <c r="AA60"/>
      <c r="AB60" s="984"/>
    </row>
    <row r="61" spans="1:28" ht="15.75" hidden="1">
      <c r="A61" s="951"/>
      <c r="B61" s="855"/>
      <c r="C61" s="842" t="s">
        <v>385</v>
      </c>
      <c r="D61" s="842"/>
      <c r="E61" s="1107"/>
      <c r="F61" s="1076"/>
      <c r="G61" s="1038">
        <v>0</v>
      </c>
      <c r="H61" s="1039"/>
      <c r="I61" s="950">
        <f t="shared" si="0"/>
        <v>0</v>
      </c>
      <c r="J61" s="1015"/>
      <c r="K61" s="1112"/>
      <c r="L61" s="1013"/>
      <c r="M61" s="1014"/>
      <c r="N61" s="855"/>
      <c r="O61" s="855"/>
      <c r="P61" s="855"/>
      <c r="Q61" s="855"/>
      <c r="R61" s="855"/>
      <c r="S61" s="855"/>
      <c r="T61" s="855"/>
      <c r="U61" s="1019">
        <f>1-V61</f>
        <v>0</v>
      </c>
      <c r="V61" s="1121">
        <v>1</v>
      </c>
      <c r="W61"/>
      <c r="X61" s="984">
        <f>U61*G61</f>
        <v>0</v>
      </c>
      <c r="Y61" s="984"/>
      <c r="Z61" s="984">
        <f>V61*G61</f>
        <v>0</v>
      </c>
      <c r="AA61"/>
      <c r="AB61" s="984">
        <v>0</v>
      </c>
    </row>
    <row r="62" spans="1:28" ht="15.75" hidden="1">
      <c r="A62" s="951"/>
      <c r="B62" s="855"/>
      <c r="C62" s="842"/>
      <c r="D62" s="842" t="s">
        <v>776</v>
      </c>
      <c r="E62" s="1107"/>
      <c r="F62" s="1109">
        <v>0</v>
      </c>
      <c r="G62" s="1110"/>
      <c r="H62" s="1111"/>
      <c r="I62" s="950">
        <f t="shared" si="0"/>
        <v>0</v>
      </c>
      <c r="J62" s="1106"/>
      <c r="K62" s="1112"/>
      <c r="L62" s="1013"/>
      <c r="M62" s="1014"/>
      <c r="N62" s="855"/>
      <c r="O62" s="855"/>
      <c r="P62" s="855"/>
      <c r="Q62" s="855"/>
      <c r="R62" s="855"/>
      <c r="S62" s="855"/>
      <c r="T62" s="855"/>
      <c r="U62" s="1019"/>
      <c r="V62" s="1019"/>
      <c r="W62"/>
      <c r="X62" s="984"/>
      <c r="Y62" s="984"/>
      <c r="Z62" s="984"/>
      <c r="AA62"/>
      <c r="AB62" s="984"/>
    </row>
    <row r="63" spans="1:28" ht="15.75" hidden="1">
      <c r="A63" s="951"/>
      <c r="B63" s="855"/>
      <c r="C63" s="842"/>
      <c r="D63" s="842" t="s">
        <v>385</v>
      </c>
      <c r="E63" s="1132">
        <v>0.06</v>
      </c>
      <c r="F63" s="1044">
        <v>0</v>
      </c>
      <c r="G63" s="1110"/>
      <c r="H63" s="1111"/>
      <c r="I63" s="950">
        <f t="shared" si="0"/>
        <v>0</v>
      </c>
      <c r="J63" s="1106"/>
      <c r="K63" s="1112"/>
      <c r="L63" s="1013"/>
      <c r="M63" s="1014"/>
      <c r="N63" s="855"/>
      <c r="O63" s="855"/>
      <c r="P63" s="855"/>
      <c r="Q63" s="855"/>
      <c r="R63" s="855"/>
      <c r="S63" s="855"/>
      <c r="T63" s="855"/>
      <c r="U63" s="1019"/>
      <c r="V63" s="1019"/>
      <c r="W63"/>
      <c r="X63" s="984"/>
      <c r="Y63" s="984"/>
      <c r="Z63" s="984"/>
      <c r="AA63"/>
      <c r="AB63" s="984"/>
    </row>
    <row r="64" spans="1:28" ht="15.75" hidden="1">
      <c r="A64" s="951"/>
      <c r="B64" s="855"/>
      <c r="C64" s="842" t="s">
        <v>777</v>
      </c>
      <c r="D64" s="842"/>
      <c r="E64" s="1122">
        <v>0.15</v>
      </c>
      <c r="F64" s="1040"/>
      <c r="G64" s="1041">
        <f>+E64*F63</f>
        <v>0</v>
      </c>
      <c r="H64" s="1042"/>
      <c r="I64" s="950">
        <f t="shared" si="0"/>
        <v>0</v>
      </c>
      <c r="J64" s="1015"/>
      <c r="K64" s="1112"/>
      <c r="L64" s="1013"/>
      <c r="M64" s="1014"/>
      <c r="N64" s="855"/>
      <c r="O64" s="855"/>
      <c r="P64" s="855"/>
      <c r="Q64" s="855"/>
      <c r="R64" s="855"/>
      <c r="S64" s="855"/>
      <c r="T64" s="855"/>
      <c r="U64" s="1019">
        <f>1-V64</f>
        <v>0</v>
      </c>
      <c r="V64" s="1121">
        <v>1</v>
      </c>
      <c r="W64"/>
      <c r="X64" s="984">
        <f>U64*G64</f>
        <v>0</v>
      </c>
      <c r="Y64" s="984"/>
      <c r="Z64" s="984">
        <f>V64*G64</f>
        <v>0</v>
      </c>
      <c r="AA64"/>
      <c r="AB64" s="984">
        <v>0</v>
      </c>
    </row>
    <row r="65" spans="1:28" hidden="1">
      <c r="A65" s="951"/>
      <c r="B65" s="868"/>
      <c r="C65" s="949" t="s">
        <v>780</v>
      </c>
      <c r="D65" s="841"/>
      <c r="E65" s="1053"/>
      <c r="F65" s="1054"/>
      <c r="G65" s="1100">
        <f>SUM(G61:G64)</f>
        <v>0</v>
      </c>
      <c r="H65" s="1101"/>
      <c r="I65" s="950">
        <f t="shared" si="0"/>
        <v>0</v>
      </c>
      <c r="J65" s="1102"/>
      <c r="K65" s="1129"/>
      <c r="L65" s="1130"/>
      <c r="M65" s="1131"/>
      <c r="N65" s="868"/>
      <c r="O65" s="868"/>
      <c r="P65" s="868"/>
      <c r="Q65" s="868"/>
      <c r="R65" s="868"/>
      <c r="S65" s="868"/>
      <c r="T65" s="868"/>
      <c r="U65" s="1034"/>
      <c r="V65" s="1034"/>
      <c r="W65" s="1035"/>
      <c r="X65" s="1037">
        <f>SUM(X61:X64)</f>
        <v>0</v>
      </c>
      <c r="Y65" s="1037"/>
      <c r="Z65" s="1037">
        <f>SUM(Z61:Z64)</f>
        <v>0</v>
      </c>
      <c r="AA65" s="1035"/>
      <c r="AB65" s="1037">
        <v>0</v>
      </c>
    </row>
    <row r="66" spans="1:28" ht="15.75">
      <c r="A66" s="951"/>
      <c r="B66" s="855"/>
      <c r="C66" s="949" t="s">
        <v>368</v>
      </c>
      <c r="D66" s="842"/>
      <c r="E66" s="1107"/>
      <c r="F66" s="1076"/>
      <c r="G66" s="1038"/>
      <c r="H66" s="1039"/>
      <c r="I66" s="950">
        <f t="shared" si="0"/>
        <v>0</v>
      </c>
      <c r="J66" s="1015"/>
      <c r="K66" s="1112"/>
      <c r="L66" s="1013"/>
      <c r="M66" s="1014"/>
      <c r="N66" s="855"/>
      <c r="O66" s="855"/>
      <c r="P66" s="855"/>
      <c r="Q66" s="855"/>
      <c r="R66" s="855"/>
      <c r="S66" s="855"/>
      <c r="T66" s="855"/>
      <c r="U66" s="1019"/>
      <c r="V66" s="1019"/>
      <c r="W66"/>
      <c r="X66" s="984"/>
      <c r="Y66" s="984"/>
      <c r="Z66" s="984"/>
      <c r="AA66"/>
      <c r="AB66" s="984"/>
    </row>
    <row r="67" spans="1:28" ht="15.75">
      <c r="A67" s="951"/>
      <c r="B67" s="855"/>
      <c r="C67" s="842" t="s">
        <v>781</v>
      </c>
      <c r="D67" s="847"/>
      <c r="E67" s="1133">
        <v>2.5000000000000001E-3</v>
      </c>
      <c r="F67" s="1088"/>
      <c r="G67" s="1038">
        <f>(E67*G46)</f>
        <v>202866.08828124998</v>
      </c>
      <c r="H67" s="1039"/>
      <c r="I67" s="950">
        <f t="shared" si="0"/>
        <v>1004.2875657487623</v>
      </c>
      <c r="J67" s="1134"/>
      <c r="K67" s="1135" t="s">
        <v>782</v>
      </c>
      <c r="L67" s="1016"/>
      <c r="M67" s="1014"/>
      <c r="N67" s="855"/>
      <c r="O67" s="855"/>
      <c r="P67" s="855"/>
      <c r="Q67" s="855"/>
      <c r="R67" s="855"/>
      <c r="S67" s="855"/>
      <c r="T67" s="855"/>
      <c r="U67" s="1019">
        <v>1</v>
      </c>
      <c r="V67" s="1019">
        <v>0</v>
      </c>
      <c r="W67"/>
      <c r="X67" s="984">
        <f>U67*G67</f>
        <v>202866.08828124998</v>
      </c>
      <c r="Y67" s="984"/>
      <c r="Z67" s="984">
        <f>V67*G67</f>
        <v>0</v>
      </c>
      <c r="AA67"/>
      <c r="AB67" s="984">
        <v>2523.7438701923074</v>
      </c>
    </row>
    <row r="68" spans="1:28" ht="15.75">
      <c r="A68" s="3"/>
      <c r="B68" s="855"/>
      <c r="C68" s="842" t="s">
        <v>783</v>
      </c>
      <c r="D68" s="847"/>
      <c r="E68" s="1136">
        <v>0</v>
      </c>
      <c r="F68" s="1088"/>
      <c r="G68" s="1137">
        <v>7000</v>
      </c>
      <c r="H68" s="1138"/>
      <c r="I68" s="950">
        <f t="shared" si="0"/>
        <v>34.653465346534652</v>
      </c>
      <c r="J68" s="1134"/>
      <c r="K68" s="1113"/>
      <c r="L68" s="1114"/>
      <c r="M68" s="1014"/>
      <c r="N68" s="855"/>
      <c r="O68" s="855"/>
      <c r="P68" s="855"/>
      <c r="Q68" s="855"/>
      <c r="R68" s="855"/>
      <c r="S68" s="855"/>
      <c r="T68" s="855"/>
      <c r="U68" s="1019">
        <v>1</v>
      </c>
      <c r="V68" s="1019">
        <v>0</v>
      </c>
      <c r="W68"/>
      <c r="X68" s="984">
        <f>U68*G68</f>
        <v>7000</v>
      </c>
      <c r="Y68" s="984"/>
      <c r="Z68" s="984">
        <f>V68*G68</f>
        <v>0</v>
      </c>
      <c r="AA68"/>
      <c r="AB68" s="984">
        <v>140</v>
      </c>
    </row>
    <row r="69" spans="1:28" ht="15.75">
      <c r="A69" s="951"/>
      <c r="B69" s="855"/>
      <c r="C69" s="842" t="s">
        <v>395</v>
      </c>
      <c r="D69" s="847"/>
      <c r="E69" s="1139"/>
      <c r="F69" s="1088"/>
      <c r="G69" s="1041">
        <f>F70+F71+F72+F73</f>
        <v>95000</v>
      </c>
      <c r="H69" s="1042"/>
      <c r="I69" s="950">
        <f t="shared" si="0"/>
        <v>470.29702970297029</v>
      </c>
      <c r="J69" s="1015"/>
      <c r="K69" s="1112"/>
      <c r="L69" s="1013"/>
      <c r="M69" s="1014"/>
      <c r="N69" s="855"/>
      <c r="O69" s="855"/>
      <c r="P69" s="855"/>
      <c r="Q69" s="855"/>
      <c r="R69" s="855"/>
      <c r="S69" s="855"/>
      <c r="T69" s="855"/>
      <c r="U69" s="1019">
        <v>1</v>
      </c>
      <c r="V69" s="1019">
        <v>0</v>
      </c>
      <c r="W69"/>
      <c r="X69" s="984">
        <f>U69*G69</f>
        <v>95000</v>
      </c>
      <c r="Y69" s="984"/>
      <c r="Z69" s="984">
        <f>V69*G69</f>
        <v>0</v>
      </c>
      <c r="AA69"/>
      <c r="AB69" s="984">
        <v>1900</v>
      </c>
    </row>
    <row r="70" spans="1:28" ht="15.75">
      <c r="A70" s="3"/>
      <c r="B70" s="855"/>
      <c r="C70" s="842"/>
      <c r="D70" s="842" t="s">
        <v>784</v>
      </c>
      <c r="E70" s="1139"/>
      <c r="F70" s="1140">
        <v>0</v>
      </c>
      <c r="G70" s="1141"/>
      <c r="H70"/>
      <c r="I70" s="950">
        <f t="shared" si="0"/>
        <v>0</v>
      </c>
      <c r="J70" s="1015"/>
      <c r="K70" s="1142" t="s">
        <v>785</v>
      </c>
      <c r="L70" s="1046"/>
      <c r="M70" s="1014"/>
      <c r="N70" s="855"/>
      <c r="O70" s="855"/>
      <c r="P70" s="855"/>
      <c r="Q70" s="855"/>
      <c r="R70" s="855"/>
      <c r="S70" s="855"/>
      <c r="T70" s="855"/>
      <c r="U70" s="1019"/>
      <c r="V70" s="1019"/>
      <c r="W70"/>
      <c r="X70" s="984"/>
      <c r="Y70" s="984"/>
      <c r="Z70" s="984"/>
      <c r="AA70"/>
      <c r="AB70" s="984"/>
    </row>
    <row r="71" spans="1:28" ht="15.75">
      <c r="A71" s="951"/>
      <c r="B71" s="855"/>
      <c r="C71"/>
      <c r="D71" s="842" t="s">
        <v>786</v>
      </c>
      <c r="E71" s="1139"/>
      <c r="F71" s="1140">
        <v>8000</v>
      </c>
      <c r="G71" s="1141"/>
      <c r="H71"/>
      <c r="I71" s="950">
        <f t="shared" si="0"/>
        <v>0</v>
      </c>
      <c r="J71" s="1015"/>
      <c r="K71" s="1143"/>
      <c r="L71" s="1046"/>
      <c r="M71" s="1014"/>
      <c r="N71" s="855"/>
      <c r="O71" s="855"/>
      <c r="P71" s="855"/>
      <c r="Q71" s="855"/>
      <c r="R71" s="855"/>
      <c r="S71" s="855"/>
      <c r="T71" s="855"/>
      <c r="U71" s="1019"/>
      <c r="V71" s="1019"/>
      <c r="W71"/>
      <c r="X71" s="984"/>
      <c r="Y71" s="984"/>
      <c r="Z71" s="984"/>
      <c r="AA71"/>
      <c r="AB71" s="984"/>
    </row>
    <row r="72" spans="1:28" ht="15.75">
      <c r="A72" s="951"/>
      <c r="B72" s="855"/>
      <c r="C72"/>
      <c r="D72" s="842" t="s">
        <v>787</v>
      </c>
      <c r="E72" s="1139"/>
      <c r="F72" s="1140">
        <v>42000</v>
      </c>
      <c r="G72" s="1141"/>
      <c r="H72"/>
      <c r="I72" s="950">
        <f t="shared" si="0"/>
        <v>0</v>
      </c>
      <c r="J72" s="1015"/>
      <c r="K72" s="1143"/>
      <c r="L72" s="1046"/>
      <c r="M72" s="1014"/>
      <c r="N72" s="855"/>
      <c r="O72" s="855"/>
      <c r="P72" s="855"/>
      <c r="Q72" s="855"/>
      <c r="R72" s="855"/>
      <c r="S72" s="855"/>
      <c r="T72" s="855"/>
      <c r="U72" s="1019"/>
      <c r="V72" s="1019"/>
      <c r="W72"/>
      <c r="X72" s="984"/>
      <c r="Y72" s="984"/>
      <c r="Z72" s="984"/>
      <c r="AA72"/>
      <c r="AB72" s="984"/>
    </row>
    <row r="73" spans="1:28" ht="15.75">
      <c r="A73" s="951"/>
      <c r="B73" s="855"/>
      <c r="C73"/>
      <c r="D73" s="842" t="s">
        <v>773</v>
      </c>
      <c r="E73" s="1139"/>
      <c r="F73" s="1140">
        <v>45000</v>
      </c>
      <c r="G73" s="1141"/>
      <c r="H73"/>
      <c r="I73" s="950">
        <f t="shared" si="0"/>
        <v>0</v>
      </c>
      <c r="J73" s="1015"/>
      <c r="K73" s="1125"/>
      <c r="L73" s="1046"/>
      <c r="M73" s="1014"/>
      <c r="N73" s="855"/>
      <c r="O73" s="855"/>
      <c r="P73" s="855"/>
      <c r="Q73" s="855"/>
      <c r="R73" s="855"/>
      <c r="S73" s="855"/>
      <c r="T73" s="855"/>
      <c r="U73" s="1019"/>
      <c r="V73" s="1019"/>
      <c r="W73"/>
      <c r="X73" s="984"/>
      <c r="Y73" s="984"/>
      <c r="Z73" s="984"/>
      <c r="AA73"/>
      <c r="AB73" s="984"/>
    </row>
    <row r="74" spans="1:28" ht="15.75">
      <c r="A74" s="3"/>
      <c r="B74" s="855"/>
      <c r="C74" s="842" t="s">
        <v>104</v>
      </c>
      <c r="D74" s="847"/>
      <c r="E74" s="1144"/>
      <c r="F74" s="1088"/>
      <c r="G74" s="1038">
        <f>SUM(F75:F76)</f>
        <v>25000</v>
      </c>
      <c r="H74" s="1039"/>
      <c r="I74" s="950">
        <f t="shared" si="0"/>
        <v>123.76237623762377</v>
      </c>
      <c r="J74" s="1015"/>
      <c r="K74" s="1103"/>
      <c r="L74" s="1013"/>
      <c r="M74" s="1014"/>
      <c r="N74" s="855"/>
      <c r="O74" s="855"/>
      <c r="P74" s="855"/>
      <c r="Q74" s="855"/>
      <c r="R74" s="855"/>
      <c r="S74" s="855"/>
      <c r="T74" s="855"/>
      <c r="U74" s="1019">
        <v>1</v>
      </c>
      <c r="V74" s="1019">
        <v>0</v>
      </c>
      <c r="W74"/>
      <c r="X74" s="984">
        <f>U74*G74</f>
        <v>25000</v>
      </c>
      <c r="Y74" s="984"/>
      <c r="Z74" s="984">
        <f>V74*G74</f>
        <v>0</v>
      </c>
      <c r="AA74"/>
      <c r="AB74" s="984">
        <v>500</v>
      </c>
    </row>
    <row r="75" spans="1:28" ht="15.75">
      <c r="A75" s="951"/>
      <c r="B75" s="855"/>
      <c r="C75" s="847"/>
      <c r="D75" s="842" t="s">
        <v>788</v>
      </c>
      <c r="E75" s="1144"/>
      <c r="F75" s="1097">
        <v>20000</v>
      </c>
      <c r="G75" s="1038"/>
      <c r="H75" s="1039"/>
      <c r="I75" s="950">
        <f t="shared" si="0"/>
        <v>0</v>
      </c>
      <c r="J75" s="1015"/>
      <c r="K75" s="1145"/>
      <c r="L75" s="1067"/>
      <c r="M75" s="1014"/>
      <c r="N75" s="855"/>
      <c r="O75" s="855"/>
      <c r="P75" s="855"/>
      <c r="Q75" s="855"/>
      <c r="R75" s="855"/>
      <c r="S75" s="855"/>
      <c r="T75" s="855"/>
      <c r="U75" s="1019"/>
      <c r="V75" s="1019"/>
      <c r="W75"/>
      <c r="X75" s="984"/>
      <c r="Y75" s="984"/>
      <c r="Z75" s="984"/>
      <c r="AA75"/>
      <c r="AB75" s="984"/>
    </row>
    <row r="76" spans="1:28" ht="15.75">
      <c r="A76" s="3"/>
      <c r="B76" s="855"/>
      <c r="C76" s="847"/>
      <c r="D76" s="842" t="s">
        <v>789</v>
      </c>
      <c r="E76" s="1144"/>
      <c r="F76" s="1097">
        <v>5000</v>
      </c>
      <c r="G76" s="1038"/>
      <c r="H76" s="1039"/>
      <c r="I76" s="950">
        <f t="shared" si="0"/>
        <v>0</v>
      </c>
      <c r="J76" s="1015"/>
      <c r="K76" s="1145"/>
      <c r="L76" s="1067"/>
      <c r="M76" s="1014"/>
      <c r="N76" s="855"/>
      <c r="O76" s="855"/>
      <c r="P76" s="855"/>
      <c r="Q76" s="855"/>
      <c r="R76" s="855"/>
      <c r="S76" s="855"/>
      <c r="T76" s="855"/>
      <c r="U76" s="1019"/>
      <c r="V76" s="1019"/>
      <c r="W76"/>
      <c r="X76" s="984"/>
      <c r="Y76" s="984"/>
      <c r="Z76" s="984"/>
      <c r="AA76"/>
      <c r="AB76" s="984"/>
    </row>
    <row r="77" spans="1:28" ht="15.75">
      <c r="A77" s="951"/>
      <c r="B77" s="855"/>
      <c r="C77" s="847"/>
      <c r="D77" s="842" t="s">
        <v>790</v>
      </c>
      <c r="E77" s="1144"/>
      <c r="F77" s="1097">
        <v>0</v>
      </c>
      <c r="G77" s="1038"/>
      <c r="H77" s="1039"/>
      <c r="I77" s="950">
        <f t="shared" si="0"/>
        <v>0</v>
      </c>
      <c r="J77" s="1015"/>
      <c r="K77" s="1112"/>
      <c r="L77" s="1013"/>
      <c r="M77" s="1014"/>
      <c r="N77" s="855"/>
      <c r="O77" s="855"/>
      <c r="P77" s="855"/>
      <c r="Q77" s="855"/>
      <c r="R77" s="855"/>
      <c r="S77" s="855"/>
      <c r="T77" s="855"/>
      <c r="U77" s="1019"/>
      <c r="V77" s="1019"/>
      <c r="W77"/>
      <c r="X77" s="984"/>
      <c r="Y77" s="984"/>
      <c r="Z77" s="984"/>
      <c r="AA77"/>
      <c r="AB77" s="984"/>
    </row>
    <row r="78" spans="1:28" ht="15.75">
      <c r="A78" s="951"/>
      <c r="B78" s="855"/>
      <c r="C78" s="842" t="s">
        <v>791</v>
      </c>
      <c r="D78" s="847"/>
      <c r="E78" s="1107"/>
      <c r="F78" s="1044"/>
      <c r="G78" s="1028">
        <v>30000</v>
      </c>
      <c r="H78" s="1146"/>
      <c r="I78" s="950">
        <f t="shared" si="0"/>
        <v>148.51485148514851</v>
      </c>
      <c r="J78" s="1134"/>
      <c r="K78" s="1145"/>
      <c r="L78" s="1016"/>
      <c r="M78" s="1014"/>
      <c r="N78" s="855"/>
      <c r="O78" s="855"/>
      <c r="P78" s="855"/>
      <c r="Q78" s="855"/>
      <c r="R78" s="855"/>
      <c r="S78" s="855"/>
      <c r="T78" s="855"/>
      <c r="U78" s="1019">
        <v>1</v>
      </c>
      <c r="V78" s="1019">
        <v>0</v>
      </c>
      <c r="W78"/>
      <c r="X78" s="984">
        <f>U78*G78</f>
        <v>30000</v>
      </c>
      <c r="Y78" s="984"/>
      <c r="Z78" s="984">
        <f>V78*G78</f>
        <v>0</v>
      </c>
      <c r="AA78"/>
      <c r="AB78" s="984">
        <v>600</v>
      </c>
    </row>
    <row r="79" spans="1:28" ht="15.75">
      <c r="A79" s="951"/>
      <c r="B79" s="855"/>
      <c r="C79" s="842" t="s">
        <v>792</v>
      </c>
      <c r="D79" s="847"/>
      <c r="E79" s="1107"/>
      <c r="F79" s="1044"/>
      <c r="G79" s="1028">
        <v>34000</v>
      </c>
      <c r="H79" s="1146"/>
      <c r="I79" s="950">
        <f t="shared" si="0"/>
        <v>168.31683168316832</v>
      </c>
      <c r="J79" s="1015"/>
      <c r="K79" s="1147" t="s">
        <v>793</v>
      </c>
      <c r="L79" s="1067"/>
      <c r="M79" s="1014"/>
      <c r="N79" s="855"/>
      <c r="O79" s="855"/>
      <c r="P79" s="855" t="s">
        <v>794</v>
      </c>
      <c r="Q79" s="855"/>
      <c r="R79" s="855"/>
      <c r="S79" s="855"/>
      <c r="T79" s="855"/>
      <c r="U79" s="1019">
        <v>1</v>
      </c>
      <c r="V79" s="1019">
        <v>0</v>
      </c>
      <c r="W79"/>
      <c r="X79" s="984">
        <f>U79*G79</f>
        <v>34000</v>
      </c>
      <c r="Y79" s="984"/>
      <c r="Z79" s="984">
        <f>V79*G79</f>
        <v>0</v>
      </c>
      <c r="AA79"/>
      <c r="AB79" s="984">
        <v>680</v>
      </c>
    </row>
    <row r="80" spans="1:28">
      <c r="A80" s="951"/>
      <c r="B80" s="868"/>
      <c r="C80" s="949" t="s">
        <v>795</v>
      </c>
      <c r="D80" s="841"/>
      <c r="E80" s="1098"/>
      <c r="F80" s="1099"/>
      <c r="G80" s="1100">
        <f>SUM(G67:G79)</f>
        <v>393866.08828124998</v>
      </c>
      <c r="H80" s="1101"/>
      <c r="I80" s="950">
        <f t="shared" si="0"/>
        <v>1949.8321202042077</v>
      </c>
      <c r="J80" s="1102"/>
      <c r="K80" s="1129"/>
      <c r="L80" s="1130"/>
      <c r="M80" s="1131"/>
      <c r="N80" s="868"/>
      <c r="O80" s="868"/>
      <c r="P80" s="868"/>
      <c r="Q80" s="868"/>
      <c r="R80" s="868"/>
      <c r="S80" s="868"/>
      <c r="T80" s="868"/>
      <c r="U80" s="1034"/>
      <c r="V80" s="1034"/>
      <c r="W80" s="1035"/>
      <c r="X80" s="1037">
        <f>SUM(X67:X79)</f>
        <v>393866.08828124998</v>
      </c>
      <c r="Y80" s="1037"/>
      <c r="Z80" s="1037">
        <f>SUM(Z67:Z79)</f>
        <v>0</v>
      </c>
      <c r="AA80" s="1035"/>
      <c r="AB80" s="1037">
        <v>6343.7438701923074</v>
      </c>
    </row>
    <row r="81" spans="1:28" ht="15.75">
      <c r="A81" s="3"/>
      <c r="B81" s="855"/>
      <c r="C81" s="949" t="s">
        <v>796</v>
      </c>
      <c r="D81" s="842"/>
      <c r="E81" s="1087"/>
      <c r="F81" s="1088"/>
      <c r="G81" s="1038"/>
      <c r="H81" s="1039"/>
      <c r="I81" s="950">
        <f t="shared" si="0"/>
        <v>0</v>
      </c>
      <c r="J81" s="1015"/>
      <c r="K81" s="1148"/>
      <c r="L81" s="1149"/>
      <c r="M81" s="1134"/>
      <c r="N81" s="855"/>
      <c r="O81" s="855"/>
      <c r="P81" s="855"/>
      <c r="Q81" s="880"/>
      <c r="R81" s="855"/>
      <c r="S81" s="855"/>
      <c r="T81" s="855"/>
      <c r="U81" s="1019"/>
      <c r="V81" s="1019"/>
      <c r="W81"/>
      <c r="X81" s="984"/>
      <c r="Y81" s="984"/>
      <c r="Z81" s="984"/>
      <c r="AA81"/>
      <c r="AB81" s="984"/>
    </row>
    <row r="82" spans="1:28" ht="15.75">
      <c r="A82" s="951"/>
      <c r="B82" s="855"/>
      <c r="C82" s="842" t="s">
        <v>797</v>
      </c>
      <c r="D82" s="842"/>
      <c r="E82" s="1087"/>
      <c r="F82" s="1088"/>
      <c r="G82" s="1110">
        <v>0</v>
      </c>
      <c r="H82" s="1111"/>
      <c r="I82" s="950">
        <f t="shared" si="0"/>
        <v>0</v>
      </c>
      <c r="J82" s="1094"/>
      <c r="K82" s="1112"/>
      <c r="L82" s="1013"/>
      <c r="M82" s="1014"/>
      <c r="N82" s="855"/>
      <c r="O82" s="855"/>
      <c r="P82" s="855"/>
      <c r="Q82" s="880"/>
      <c r="R82" s="855"/>
      <c r="S82" s="855"/>
      <c r="T82" s="855"/>
      <c r="U82" s="1019">
        <v>1</v>
      </c>
      <c r="V82" s="1019">
        <v>0</v>
      </c>
      <c r="W82"/>
      <c r="X82" s="984">
        <f>U82*G82</f>
        <v>0</v>
      </c>
      <c r="Y82" s="984"/>
      <c r="Z82" s="984">
        <f>V82*G82</f>
        <v>0</v>
      </c>
      <c r="AA82"/>
      <c r="AB82" s="984">
        <v>0</v>
      </c>
    </row>
    <row r="83" spans="1:28" ht="15.75">
      <c r="A83" s="3"/>
      <c r="B83" s="855"/>
      <c r="C83" s="847"/>
      <c r="D83" s="842" t="s">
        <v>968</v>
      </c>
      <c r="E83" s="1150">
        <v>4.08</v>
      </c>
      <c r="F83" s="1044">
        <v>0</v>
      </c>
      <c r="G83" s="1110"/>
      <c r="H83" s="1111"/>
      <c r="I83" s="950">
        <f t="shared" ref="I83:I146" si="3">G83/$F$9</f>
        <v>0</v>
      </c>
      <c r="J83" s="1094"/>
      <c r="K83" s="1151"/>
      <c r="L83" s="1152"/>
      <c r="M83" s="1014"/>
      <c r="N83" s="855"/>
      <c r="O83" s="855"/>
      <c r="P83" s="855"/>
      <c r="Q83" s="880"/>
      <c r="R83" s="855"/>
      <c r="S83" s="855"/>
      <c r="T83" s="855"/>
      <c r="U83" s="1019"/>
      <c r="V83" s="1019"/>
      <c r="W83"/>
      <c r="X83" s="984"/>
      <c r="Y83" s="984"/>
      <c r="Z83" s="984"/>
      <c r="AA83"/>
      <c r="AB83" s="984"/>
    </row>
    <row r="84" spans="1:28" ht="15.75">
      <c r="A84" s="951"/>
      <c r="B84" s="855"/>
      <c r="C84" s="847"/>
      <c r="D84" s="842"/>
      <c r="E84" s="1150"/>
      <c r="F84" s="1044"/>
      <c r="G84" s="1110"/>
      <c r="H84" s="1111"/>
      <c r="I84" s="950">
        <f t="shared" si="3"/>
        <v>0</v>
      </c>
      <c r="J84" s="1094"/>
      <c r="K84" s="1151"/>
      <c r="L84" s="1152"/>
      <c r="M84" s="1014"/>
      <c r="N84" s="855"/>
      <c r="O84" s="855"/>
      <c r="P84" s="855"/>
      <c r="Q84" s="880"/>
      <c r="R84" s="855"/>
      <c r="S84" s="855"/>
      <c r="T84" s="855"/>
      <c r="U84" s="1019"/>
      <c r="V84" s="1019"/>
      <c r="W84"/>
      <c r="X84" s="984"/>
      <c r="Y84" s="984"/>
      <c r="Z84" s="984"/>
      <c r="AA84"/>
      <c r="AB84" s="984"/>
    </row>
    <row r="85" spans="1:28" ht="15.75">
      <c r="A85" s="951"/>
      <c r="B85" s="855"/>
      <c r="C85" s="847"/>
      <c r="D85" s="842"/>
      <c r="E85" s="1150"/>
      <c r="F85" s="1044"/>
      <c r="G85" s="1110"/>
      <c r="H85" s="1111"/>
      <c r="I85" s="950">
        <f t="shared" si="3"/>
        <v>0</v>
      </c>
      <c r="J85" s="1094"/>
      <c r="K85" s="1151"/>
      <c r="L85" s="1152"/>
      <c r="M85" s="1014"/>
      <c r="N85" s="855"/>
      <c r="O85" s="855"/>
      <c r="P85" s="855"/>
      <c r="Q85" s="880"/>
      <c r="R85" s="855"/>
      <c r="S85" s="855"/>
      <c r="T85" s="855"/>
      <c r="U85" s="1019"/>
      <c r="V85" s="1019"/>
      <c r="W85"/>
      <c r="X85" s="984"/>
      <c r="Y85" s="984"/>
      <c r="Z85" s="984"/>
      <c r="AA85"/>
      <c r="AB85" s="984"/>
    </row>
    <row r="86" spans="1:28" ht="15.75">
      <c r="A86" s="3"/>
      <c r="B86" s="855"/>
      <c r="C86" s="847"/>
      <c r="D86" s="842"/>
      <c r="E86" s="1150"/>
      <c r="F86" s="1044"/>
      <c r="G86" s="1110"/>
      <c r="H86" s="1111"/>
      <c r="I86" s="950">
        <f t="shared" si="3"/>
        <v>0</v>
      </c>
      <c r="J86" s="1094"/>
      <c r="K86" s="1151"/>
      <c r="L86" s="1152"/>
      <c r="M86" s="1014"/>
      <c r="N86" s="855"/>
      <c r="O86" s="855"/>
      <c r="P86" s="855"/>
      <c r="Q86" s="880"/>
      <c r="R86" s="855"/>
      <c r="S86" s="855"/>
      <c r="T86" s="855"/>
      <c r="U86" s="1019"/>
      <c r="V86" s="1019"/>
      <c r="W86"/>
      <c r="X86" s="984"/>
      <c r="Y86" s="984"/>
      <c r="Z86" s="984"/>
      <c r="AA86"/>
      <c r="AB86" s="984"/>
    </row>
    <row r="87" spans="1:28" ht="15.75">
      <c r="A87" s="951"/>
      <c r="B87" s="855"/>
      <c r="C87" s="847"/>
      <c r="D87" s="842"/>
      <c r="E87" s="1150"/>
      <c r="F87" s="1044"/>
      <c r="G87" s="1110"/>
      <c r="H87" s="1111"/>
      <c r="I87" s="950">
        <f t="shared" si="3"/>
        <v>0</v>
      </c>
      <c r="J87" s="1094"/>
      <c r="K87" s="1151"/>
      <c r="L87" s="1152"/>
      <c r="M87" s="1014"/>
      <c r="N87" s="855"/>
      <c r="O87" s="855"/>
      <c r="P87" s="855"/>
      <c r="Q87" s="880"/>
      <c r="R87" s="855"/>
      <c r="S87" s="855"/>
      <c r="T87" s="855"/>
      <c r="U87" s="1019"/>
      <c r="V87" s="1019"/>
      <c r="W87"/>
      <c r="X87" s="984"/>
      <c r="Y87" s="984"/>
      <c r="Z87" s="984"/>
      <c r="AA87"/>
      <c r="AB87" s="984"/>
    </row>
    <row r="88" spans="1:28" ht="15.75">
      <c r="A88" s="3"/>
      <c r="B88" s="855"/>
      <c r="C88" s="847"/>
      <c r="D88" s="842"/>
      <c r="E88" s="1153"/>
      <c r="F88" s="1044">
        <v>0</v>
      </c>
      <c r="G88" s="1110"/>
      <c r="H88" s="1111"/>
      <c r="I88" s="950">
        <f t="shared" si="3"/>
        <v>0</v>
      </c>
      <c r="J88" s="1094"/>
      <c r="K88" s="1154"/>
      <c r="L88" s="1024"/>
      <c r="M88" s="1014"/>
      <c r="N88" s="855"/>
      <c r="O88" s="855"/>
      <c r="P88" s="855"/>
      <c r="Q88" s="880"/>
      <c r="R88" s="855"/>
      <c r="S88" s="855"/>
      <c r="T88" s="855"/>
      <c r="U88" s="1019"/>
      <c r="V88" s="1019"/>
      <c r="W88"/>
      <c r="X88" s="984"/>
      <c r="Y88" s="984"/>
      <c r="Z88" s="984"/>
      <c r="AA88"/>
      <c r="AB88" s="984"/>
    </row>
    <row r="89" spans="1:28" ht="15.75">
      <c r="A89" s="951"/>
      <c r="B89" s="855"/>
      <c r="C89" s="847"/>
      <c r="D89" s="842"/>
      <c r="E89" s="1155">
        <v>0</v>
      </c>
      <c r="F89" s="1044">
        <v>0</v>
      </c>
      <c r="G89" s="1110"/>
      <c r="H89" s="1111"/>
      <c r="I89" s="950">
        <f t="shared" si="3"/>
        <v>0</v>
      </c>
      <c r="J89" s="1094"/>
      <c r="K89" s="1112"/>
      <c r="L89" s="1013"/>
      <c r="M89" s="1014"/>
      <c r="N89" s="855"/>
      <c r="O89" s="855"/>
      <c r="P89" s="855"/>
      <c r="Q89" s="880"/>
      <c r="R89" s="855"/>
      <c r="S89" s="855"/>
      <c r="T89" s="855"/>
      <c r="U89" s="1019"/>
      <c r="V89" s="1019"/>
      <c r="W89"/>
      <c r="X89" s="984"/>
      <c r="Y89" s="984"/>
      <c r="Z89" s="984"/>
      <c r="AA89"/>
      <c r="AB89" s="984"/>
    </row>
    <row r="90" spans="1:28" ht="15.75">
      <c r="A90" s="951"/>
      <c r="B90" s="855"/>
      <c r="C90" s="847" t="s">
        <v>413</v>
      </c>
      <c r="D90" s="842"/>
      <c r="E90" s="847"/>
      <c r="F90" s="1044"/>
      <c r="G90" s="1110">
        <f>SUM(F91:F96)</f>
        <v>3256436</v>
      </c>
      <c r="H90" s="1111"/>
      <c r="I90" s="950">
        <f t="shared" si="3"/>
        <v>16120.970297029702</v>
      </c>
      <c r="J90" s="1094"/>
      <c r="K90" s="1125">
        <v>0</v>
      </c>
      <c r="L90" s="1045"/>
      <c r="M90" s="1014"/>
      <c r="N90" s="855"/>
      <c r="O90" s="855"/>
      <c r="P90" s="868" t="s">
        <v>798</v>
      </c>
      <c r="Q90" s="880"/>
      <c r="R90" s="855"/>
      <c r="S90" s="855"/>
      <c r="T90" s="855"/>
      <c r="U90" s="1019">
        <v>1</v>
      </c>
      <c r="V90" s="1019">
        <v>0</v>
      </c>
      <c r="W90"/>
      <c r="X90" s="984">
        <f>U90*G90</f>
        <v>3256436</v>
      </c>
      <c r="Y90" s="984"/>
      <c r="Z90" s="984">
        <f>V90*G90</f>
        <v>0</v>
      </c>
      <c r="AA90"/>
      <c r="AB90" s="984">
        <v>50624</v>
      </c>
    </row>
    <row r="91" spans="1:28" ht="15.75">
      <c r="A91" s="3"/>
      <c r="B91" s="855"/>
      <c r="C91" s="847"/>
      <c r="D91" s="842" t="s">
        <v>799</v>
      </c>
      <c r="E91" s="1087"/>
      <c r="F91" s="1156">
        <v>51432</v>
      </c>
      <c r="G91" s="1110">
        <v>100000</v>
      </c>
      <c r="H91" s="1111"/>
      <c r="I91" s="950">
        <f t="shared" si="3"/>
        <v>495.04950495049508</v>
      </c>
      <c r="J91" s="1094"/>
      <c r="K91" s="1143" t="s">
        <v>800</v>
      </c>
      <c r="L91" s="1046"/>
      <c r="M91" s="1672">
        <f>'Permit Fee Breakdown'!F17</f>
        <v>7491</v>
      </c>
      <c r="N91" s="855"/>
      <c r="O91" s="855"/>
      <c r="P91" t="s">
        <v>801</v>
      </c>
      <c r="Q91" s="880"/>
      <c r="R91" s="855"/>
      <c r="S91" s="855"/>
      <c r="T91" s="855"/>
      <c r="U91" s="1019"/>
      <c r="V91" s="1019"/>
      <c r="W91"/>
      <c r="X91" s="984">
        <f>G91</f>
        <v>100000</v>
      </c>
      <c r="Y91" s="984"/>
      <c r="Z91" s="984"/>
      <c r="AA91"/>
      <c r="AB91" s="984"/>
    </row>
    <row r="92" spans="1:28" ht="15.75">
      <c r="A92" s="951"/>
      <c r="B92" s="855"/>
      <c r="C92" s="847"/>
      <c r="D92" s="842" t="s">
        <v>802</v>
      </c>
      <c r="E92" s="1087"/>
      <c r="F92" s="1158">
        <v>11500</v>
      </c>
      <c r="G92" s="1110"/>
      <c r="H92" s="1111"/>
      <c r="I92" s="950">
        <f t="shared" si="3"/>
        <v>0</v>
      </c>
      <c r="J92" s="1094"/>
      <c r="K92" s="1143"/>
      <c r="L92" s="1046"/>
      <c r="M92" s="1014"/>
      <c r="N92" s="855"/>
      <c r="O92" s="855"/>
      <c r="P92" s="855"/>
      <c r="Q92" s="880"/>
      <c r="R92" s="855"/>
      <c r="S92" s="855"/>
      <c r="T92" s="855"/>
      <c r="U92" s="1019"/>
      <c r="V92" s="1019"/>
      <c r="W92"/>
      <c r="X92" s="984"/>
      <c r="Y92" s="984"/>
      <c r="Z92" s="984"/>
      <c r="AA92"/>
      <c r="AB92" s="984"/>
    </row>
    <row r="93" spans="1:28" ht="15.75">
      <c r="A93" s="3"/>
      <c r="B93" s="855"/>
      <c r="C93" s="847"/>
      <c r="D93" s="842" t="s">
        <v>803</v>
      </c>
      <c r="E93" s="1159"/>
      <c r="F93" s="1160">
        <v>285455</v>
      </c>
      <c r="G93" s="1110"/>
      <c r="H93" s="1111"/>
      <c r="I93" s="950">
        <f t="shared" si="3"/>
        <v>0</v>
      </c>
      <c r="J93" s="1094"/>
      <c r="K93" s="1143"/>
      <c r="L93" s="1046"/>
      <c r="M93" s="1014"/>
      <c r="N93" s="855"/>
      <c r="O93" s="855"/>
      <c r="P93" s="855"/>
      <c r="Q93" s="855"/>
      <c r="R93" s="855"/>
      <c r="S93" s="855"/>
      <c r="T93" s="855"/>
      <c r="U93" s="1019"/>
      <c r="V93" s="1019"/>
      <c r="W93"/>
      <c r="X93" s="984"/>
      <c r="Y93" s="984"/>
      <c r="Z93" s="984"/>
      <c r="AA93"/>
      <c r="AB93" s="984"/>
    </row>
    <row r="94" spans="1:28" ht="15.75">
      <c r="A94" s="951"/>
      <c r="B94" s="855"/>
      <c r="C94" s="847"/>
      <c r="D94" s="1161" t="s">
        <v>535</v>
      </c>
      <c r="E94" s="847"/>
      <c r="F94" s="1158">
        <f>M94</f>
        <v>2380974</v>
      </c>
      <c r="G94" s="1110"/>
      <c r="H94" s="1111"/>
      <c r="I94" s="950">
        <f t="shared" si="3"/>
        <v>0</v>
      </c>
      <c r="J94" s="1094"/>
      <c r="K94" s="1143" t="s">
        <v>800</v>
      </c>
      <c r="L94" s="1046"/>
      <c r="M94" s="1672">
        <f>11787*F9</f>
        <v>2380974</v>
      </c>
      <c r="N94" s="855"/>
      <c r="O94" s="855"/>
      <c r="P94" s="1157" t="s">
        <v>801</v>
      </c>
      <c r="Q94" s="855"/>
      <c r="R94" s="855"/>
      <c r="S94" s="855"/>
      <c r="T94" s="855"/>
      <c r="U94" s="1019"/>
      <c r="V94" s="1019"/>
      <c r="W94"/>
      <c r="X94" s="984"/>
      <c r="Y94" s="984"/>
      <c r="Z94" s="984"/>
      <c r="AA94"/>
      <c r="AB94" s="984"/>
    </row>
    <row r="95" spans="1:28" ht="15.75">
      <c r="A95" s="951"/>
      <c r="B95" s="855"/>
      <c r="C95" s="847"/>
      <c r="D95" s="842" t="s">
        <v>804</v>
      </c>
      <c r="E95" s="1153">
        <v>2600</v>
      </c>
      <c r="F95" s="1160">
        <f>E95*F9</f>
        <v>525200</v>
      </c>
      <c r="G95" s="1110"/>
      <c r="H95" s="1111"/>
      <c r="I95" s="950">
        <f t="shared" si="3"/>
        <v>0</v>
      </c>
      <c r="J95" s="1094"/>
      <c r="K95" s="1143"/>
      <c r="L95" s="1046"/>
      <c r="M95" s="1014"/>
      <c r="N95" s="855"/>
      <c r="O95" s="855"/>
      <c r="P95" s="855"/>
      <c r="Q95" s="1162"/>
      <c r="R95" s="855"/>
      <c r="S95" s="855"/>
      <c r="T95" s="855"/>
      <c r="U95" s="1019"/>
      <c r="V95" s="1019"/>
      <c r="W95"/>
      <c r="X95" s="984"/>
      <c r="Y95" s="984"/>
      <c r="Z95" s="984"/>
      <c r="AA95"/>
      <c r="AB95" s="984"/>
    </row>
    <row r="96" spans="1:28" ht="15.75">
      <c r="A96" s="951"/>
      <c r="B96" s="855"/>
      <c r="C96" s="847"/>
      <c r="D96" s="842" t="s">
        <v>805</v>
      </c>
      <c r="E96" s="1082">
        <v>0</v>
      </c>
      <c r="F96" s="1163">
        <v>1875</v>
      </c>
      <c r="G96" s="1110"/>
      <c r="H96" s="1111"/>
      <c r="I96" s="950">
        <f t="shared" si="3"/>
        <v>0</v>
      </c>
      <c r="J96" s="1094"/>
      <c r="K96" s="1164"/>
      <c r="L96" s="1165"/>
      <c r="M96" s="1014"/>
      <c r="N96" s="855"/>
      <c r="O96" s="855"/>
      <c r="P96" s="855"/>
      <c r="Q96" s="1162"/>
      <c r="R96" s="855"/>
      <c r="S96" s="855"/>
      <c r="T96" s="855"/>
      <c r="U96" s="1019"/>
      <c r="V96" s="1019"/>
      <c r="W96"/>
      <c r="X96" s="984"/>
      <c r="Y96" s="984"/>
      <c r="Z96" s="984"/>
      <c r="AA96"/>
      <c r="AB96" s="984"/>
    </row>
    <row r="97" spans="1:28">
      <c r="A97" s="951"/>
      <c r="B97" s="868"/>
      <c r="C97" s="949" t="s">
        <v>806</v>
      </c>
      <c r="D97" s="841"/>
      <c r="E97" s="1098"/>
      <c r="F97" s="1099"/>
      <c r="G97" s="1100">
        <f>SUM(G82:G96)</f>
        <v>3356436</v>
      </c>
      <c r="H97" s="1101"/>
      <c r="I97" s="950">
        <f t="shared" si="3"/>
        <v>16616.019801980197</v>
      </c>
      <c r="J97" s="1102"/>
      <c r="K97" s="1166">
        <f>I97/I250</f>
        <v>2.5921617146288652E-2</v>
      </c>
      <c r="L97" s="1130"/>
      <c r="M97" s="1104"/>
      <c r="N97" s="868"/>
      <c r="O97" s="868"/>
      <c r="P97" s="868"/>
      <c r="Q97" s="1167"/>
      <c r="R97" s="868"/>
      <c r="S97" s="868"/>
      <c r="T97" s="868"/>
      <c r="U97" s="1034"/>
      <c r="V97" s="1034"/>
      <c r="W97" s="1035"/>
      <c r="X97" s="1037">
        <f>SUM(X82:X96)</f>
        <v>3356436</v>
      </c>
      <c r="Y97" s="1037"/>
      <c r="Z97" s="1037">
        <f>SUM(Z82:Z96)</f>
        <v>0</v>
      </c>
      <c r="AA97" s="1035"/>
      <c r="AB97" s="1037">
        <v>52624</v>
      </c>
    </row>
    <row r="98" spans="1:28" ht="15.75">
      <c r="A98" s="951"/>
      <c r="B98" s="855"/>
      <c r="C98" s="949" t="s">
        <v>807</v>
      </c>
      <c r="D98" s="842"/>
      <c r="E98" s="1087"/>
      <c r="F98" s="1088"/>
      <c r="G98" s="1110"/>
      <c r="H98" s="1111"/>
      <c r="I98" s="950">
        <f t="shared" si="3"/>
        <v>0</v>
      </c>
      <c r="J98" s="1094"/>
      <c r="K98" s="1112"/>
      <c r="L98" s="1013"/>
      <c r="M98" s="1014"/>
      <c r="N98" s="855"/>
      <c r="O98" s="855"/>
      <c r="P98" s="855"/>
      <c r="Q98" s="855"/>
      <c r="R98" s="855"/>
      <c r="S98" s="855"/>
      <c r="T98" s="855"/>
      <c r="U98" s="1019"/>
      <c r="V98" s="1019"/>
      <c r="W98"/>
      <c r="X98" s="984"/>
      <c r="Y98" s="984"/>
      <c r="Z98" s="984"/>
      <c r="AA98"/>
      <c r="AB98" s="984"/>
    </row>
    <row r="99" spans="1:28" ht="15.75">
      <c r="A99" s="951"/>
      <c r="B99" s="855"/>
      <c r="C99" s="842" t="s">
        <v>808</v>
      </c>
      <c r="D99" s="842"/>
      <c r="E99" s="1087"/>
      <c r="F99" s="1088"/>
      <c r="G99" s="1110">
        <f>SUM(F100:F101)</f>
        <v>0</v>
      </c>
      <c r="H99" s="1111"/>
      <c r="I99" s="950">
        <f t="shared" si="3"/>
        <v>0</v>
      </c>
      <c r="J99" s="1094"/>
      <c r="K99" s="1112"/>
      <c r="L99" s="1013"/>
      <c r="M99" s="1014"/>
      <c r="N99" s="855"/>
      <c r="O99" s="855"/>
      <c r="P99" s="855"/>
      <c r="Q99" s="855"/>
      <c r="R99" s="855"/>
      <c r="S99" s="855"/>
      <c r="T99" s="855"/>
      <c r="U99" s="1019">
        <v>1</v>
      </c>
      <c r="V99" s="1019">
        <v>0</v>
      </c>
      <c r="W99"/>
      <c r="X99" s="984">
        <f>U99*G99</f>
        <v>0</v>
      </c>
      <c r="Y99" s="984"/>
      <c r="Z99" s="984">
        <f>V99*G99</f>
        <v>0</v>
      </c>
      <c r="AA99"/>
      <c r="AB99" s="984">
        <v>0</v>
      </c>
    </row>
    <row r="100" spans="1:28" ht="15.75">
      <c r="A100" s="951"/>
      <c r="B100" s="855"/>
      <c r="C100" s="847"/>
      <c r="D100" s="842" t="s">
        <v>809</v>
      </c>
      <c r="E100" s="1117"/>
      <c r="F100" s="1064">
        <v>0</v>
      </c>
      <c r="G100" s="1110"/>
      <c r="H100" s="1111"/>
      <c r="I100" s="950">
        <f t="shared" si="3"/>
        <v>0</v>
      </c>
      <c r="J100" s="1094"/>
      <c r="K100" s="1125"/>
      <c r="L100" s="1045"/>
      <c r="M100" s="1014"/>
      <c r="N100" s="855"/>
      <c r="O100" s="855"/>
      <c r="P100" s="855"/>
      <c r="Q100" s="1162"/>
      <c r="R100" s="855"/>
      <c r="S100" s="855"/>
      <c r="T100" s="855"/>
      <c r="U100" s="1019"/>
      <c r="V100" s="1019"/>
      <c r="W100"/>
      <c r="X100" s="984"/>
      <c r="Y100" s="984"/>
      <c r="Z100" s="984"/>
      <c r="AA100"/>
      <c r="AB100" s="984"/>
    </row>
    <row r="101" spans="1:28" ht="15.75">
      <c r="A101" s="951"/>
      <c r="B101" s="855"/>
      <c r="C101" s="847"/>
      <c r="D101" s="842" t="s">
        <v>810</v>
      </c>
      <c r="E101" s="847"/>
      <c r="F101" s="1064">
        <v>0</v>
      </c>
      <c r="G101" s="1110"/>
      <c r="H101" s="1111"/>
      <c r="I101" s="950">
        <f t="shared" si="3"/>
        <v>0</v>
      </c>
      <c r="J101" s="1094"/>
      <c r="K101" s="1125" t="s">
        <v>811</v>
      </c>
      <c r="L101" s="1045"/>
      <c r="M101" s="1014" t="s">
        <v>581</v>
      </c>
      <c r="N101" s="855"/>
      <c r="O101" s="855"/>
      <c r="P101" s="855"/>
      <c r="Q101" s="855"/>
      <c r="R101" s="855"/>
      <c r="S101" s="855"/>
      <c r="T101" s="855"/>
      <c r="U101" s="1019"/>
      <c r="V101" s="1019"/>
      <c r="W101"/>
      <c r="X101" s="984"/>
      <c r="Y101" s="984"/>
      <c r="Z101" s="984"/>
      <c r="AA101"/>
      <c r="AB101" s="984"/>
    </row>
    <row r="102" spans="1:28" s="518" customFormat="1" ht="15.75">
      <c r="B102" s="855"/>
      <c r="C102" s="847" t="s">
        <v>812</v>
      </c>
      <c r="D102" s="842"/>
      <c r="E102" s="847"/>
      <c r="F102" s="1044"/>
      <c r="G102" s="1110">
        <f>SUM(F103:F105)</f>
        <v>307801.188158968</v>
      </c>
      <c r="H102" s="1111"/>
      <c r="I102" s="950">
        <f t="shared" si="3"/>
        <v>1523.7682582127129</v>
      </c>
      <c r="J102" s="1094"/>
      <c r="K102" s="1112"/>
      <c r="L102" s="1013"/>
      <c r="M102" s="1168" t="s">
        <v>813</v>
      </c>
      <c r="N102" s="1169" t="s">
        <v>814</v>
      </c>
      <c r="O102" s="1169"/>
      <c r="P102" s="855"/>
      <c r="Q102" s="855"/>
      <c r="R102" s="855"/>
      <c r="S102" s="855"/>
      <c r="T102" s="855"/>
      <c r="U102" s="1019">
        <v>1</v>
      </c>
      <c r="V102" s="1019">
        <v>0</v>
      </c>
      <c r="W102"/>
      <c r="X102" s="984">
        <f>U102*G102</f>
        <v>307801.188158968</v>
      </c>
      <c r="Y102" s="984"/>
      <c r="Z102" s="984">
        <f>V102*G102</f>
        <v>0</v>
      </c>
      <c r="AA102"/>
      <c r="AB102" s="984">
        <v>300</v>
      </c>
    </row>
    <row r="103" spans="1:28" ht="15.75">
      <c r="A103" s="951"/>
      <c r="B103" s="855"/>
      <c r="C103" s="847"/>
      <c r="D103" s="842" t="s">
        <v>809</v>
      </c>
      <c r="E103" s="1671">
        <v>0.05</v>
      </c>
      <c r="F103" s="1170">
        <f>E103*N103</f>
        <v>292801.188158968</v>
      </c>
      <c r="G103" s="1110"/>
      <c r="H103" s="1111"/>
      <c r="I103" s="950">
        <f t="shared" si="3"/>
        <v>0</v>
      </c>
      <c r="J103" s="1094"/>
      <c r="K103" s="1112" t="s">
        <v>815</v>
      </c>
      <c r="L103" s="1013"/>
      <c r="M103" s="1171">
        <f>(0.7*G234)+(0.9*(SUM(G97,G59,)+(0.5*G120)))</f>
        <v>5968918.3546248619</v>
      </c>
      <c r="N103" s="1172">
        <v>5856023.76317936</v>
      </c>
      <c r="O103" s="1173"/>
      <c r="P103" s="855"/>
      <c r="Q103" s="855"/>
      <c r="R103" s="855"/>
      <c r="S103" s="855"/>
      <c r="T103" s="855"/>
      <c r="U103" s="1019"/>
      <c r="V103" s="1019"/>
      <c r="W103"/>
      <c r="X103" s="984"/>
      <c r="Y103" s="984"/>
      <c r="Z103" s="984"/>
      <c r="AA103"/>
      <c r="AB103" s="984"/>
    </row>
    <row r="104" spans="1:28" s="517" customFormat="1" ht="15.75">
      <c r="A104" s="951"/>
      <c r="B104" s="855"/>
      <c r="C104" s="847"/>
      <c r="D104" s="842" t="s">
        <v>816</v>
      </c>
      <c r="E104" s="847"/>
      <c r="F104" s="1170"/>
      <c r="G104" s="1110"/>
      <c r="H104" s="1111"/>
      <c r="I104" s="950">
        <f t="shared" si="3"/>
        <v>0</v>
      </c>
      <c r="J104" s="1094"/>
      <c r="K104" s="1112"/>
      <c r="L104" s="1013"/>
      <c r="M104" s="1171">
        <v>0</v>
      </c>
      <c r="N104" s="1172">
        <v>0</v>
      </c>
      <c r="O104" s="1173"/>
      <c r="P104" s="855"/>
      <c r="Q104" s="855"/>
      <c r="R104" s="855"/>
      <c r="S104" s="855"/>
      <c r="T104" s="855"/>
      <c r="U104" s="1019"/>
      <c r="V104" s="1019"/>
      <c r="W104"/>
      <c r="X104" s="984"/>
      <c r="Y104" s="984"/>
      <c r="Z104" s="984"/>
      <c r="AA104"/>
      <c r="AB104" s="984"/>
    </row>
    <row r="105" spans="1:28" ht="15.75">
      <c r="A105" s="951"/>
      <c r="B105" s="855"/>
      <c r="C105" s="847"/>
      <c r="D105" s="842" t="s">
        <v>817</v>
      </c>
      <c r="E105" s="847"/>
      <c r="F105" s="1091">
        <v>15000</v>
      </c>
      <c r="G105" s="1110"/>
      <c r="H105" s="1111"/>
      <c r="I105" s="950">
        <f t="shared" si="3"/>
        <v>0</v>
      </c>
      <c r="J105" s="1094"/>
      <c r="K105" s="1103"/>
      <c r="L105" s="1029"/>
      <c r="M105" s="1014"/>
      <c r="N105" s="855"/>
      <c r="O105" s="855"/>
      <c r="P105" s="855"/>
      <c r="Q105" s="855"/>
      <c r="R105" s="855"/>
      <c r="S105" s="855"/>
      <c r="T105" s="855"/>
      <c r="U105" s="1019"/>
      <c r="V105" s="1019"/>
      <c r="W105"/>
      <c r="X105" s="984"/>
      <c r="Y105" s="984"/>
      <c r="Z105" s="984"/>
      <c r="AA105"/>
      <c r="AB105" s="984"/>
    </row>
    <row r="106" spans="1:28" ht="15.75">
      <c r="A106" s="951"/>
      <c r="B106" s="855"/>
      <c r="C106" s="847" t="s">
        <v>818</v>
      </c>
      <c r="D106" s="842"/>
      <c r="E106" s="847"/>
      <c r="F106" s="1044"/>
      <c r="G106" s="1110">
        <f>SUM(F107:F109)</f>
        <v>0</v>
      </c>
      <c r="H106" s="1111"/>
      <c r="I106" s="950">
        <f t="shared" si="3"/>
        <v>0</v>
      </c>
      <c r="J106" s="1094"/>
      <c r="K106" s="1112"/>
      <c r="L106" s="1013"/>
      <c r="M106" s="1014"/>
      <c r="N106" s="855"/>
      <c r="O106" s="855"/>
      <c r="P106" s="855"/>
      <c r="Q106" s="855"/>
      <c r="R106" s="855"/>
      <c r="S106" s="855"/>
      <c r="T106" s="855"/>
      <c r="U106" s="1019">
        <v>1</v>
      </c>
      <c r="V106" s="1019">
        <v>0</v>
      </c>
      <c r="W106"/>
      <c r="X106" s="984">
        <f>U106*G106</f>
        <v>0</v>
      </c>
      <c r="Y106" s="984"/>
      <c r="Z106" s="984">
        <f>V106*G106</f>
        <v>0</v>
      </c>
      <c r="AA106"/>
      <c r="AB106" s="984">
        <v>0</v>
      </c>
    </row>
    <row r="107" spans="1:28" ht="15.75">
      <c r="A107" s="951"/>
      <c r="B107" s="855"/>
      <c r="C107" s="847"/>
      <c r="D107" s="842" t="s">
        <v>809</v>
      </c>
      <c r="E107" s="847"/>
      <c r="F107" s="1170">
        <f>N107</f>
        <v>0</v>
      </c>
      <c r="G107" s="1110"/>
      <c r="H107" s="1111"/>
      <c r="I107" s="950">
        <f t="shared" si="3"/>
        <v>0</v>
      </c>
      <c r="J107" s="1094"/>
      <c r="K107" s="1112" t="s">
        <v>815</v>
      </c>
      <c r="L107" s="1013"/>
      <c r="M107" s="1171"/>
      <c r="N107" s="1172"/>
      <c r="O107" s="1173"/>
      <c r="P107" s="855"/>
      <c r="Q107" s="855"/>
      <c r="R107" s="855"/>
      <c r="S107" s="855"/>
      <c r="T107" s="855"/>
      <c r="U107" s="1019"/>
      <c r="V107" s="1019"/>
      <c r="W107"/>
      <c r="X107" s="984"/>
      <c r="Y107" s="984"/>
      <c r="Z107" s="984"/>
      <c r="AA107"/>
      <c r="AB107" s="984"/>
    </row>
    <row r="108" spans="1:28" ht="15.75">
      <c r="A108" s="951"/>
      <c r="B108" s="855"/>
      <c r="C108" s="847"/>
      <c r="D108" s="842" t="s">
        <v>816</v>
      </c>
      <c r="E108" s="847"/>
      <c r="F108" s="1170">
        <f>N108</f>
        <v>0</v>
      </c>
      <c r="G108" s="1110"/>
      <c r="H108" s="1111"/>
      <c r="I108" s="950">
        <f t="shared" si="3"/>
        <v>0</v>
      </c>
      <c r="J108" s="1094"/>
      <c r="K108" s="1112"/>
      <c r="L108" s="1013"/>
      <c r="M108" s="1171"/>
      <c r="N108" s="1172">
        <v>0</v>
      </c>
      <c r="O108" s="1173"/>
      <c r="P108" s="855"/>
      <c r="Q108" s="855"/>
      <c r="R108" s="855"/>
      <c r="S108" s="855"/>
      <c r="T108" s="855"/>
      <c r="U108" s="1019"/>
      <c r="V108" s="1019"/>
      <c r="W108"/>
      <c r="X108" s="984"/>
      <c r="Y108" s="984"/>
      <c r="Z108" s="984"/>
      <c r="AA108"/>
      <c r="AB108" s="984"/>
    </row>
    <row r="109" spans="1:28" ht="15.75">
      <c r="A109" s="951"/>
      <c r="B109" s="855"/>
      <c r="C109" s="847"/>
      <c r="D109" s="842" t="s">
        <v>817</v>
      </c>
      <c r="E109" s="847"/>
      <c r="F109" s="1091"/>
      <c r="G109" s="1110"/>
      <c r="H109" s="1111"/>
      <c r="I109" s="950">
        <f t="shared" si="3"/>
        <v>0</v>
      </c>
      <c r="J109" s="1094"/>
      <c r="K109" s="1103"/>
      <c r="L109" s="1029"/>
      <c r="M109" s="1014"/>
      <c r="N109" s="855"/>
      <c r="O109" s="855"/>
      <c r="P109" s="855"/>
      <c r="Q109" s="855"/>
      <c r="R109" s="855"/>
      <c r="S109" s="855"/>
      <c r="T109" s="855"/>
      <c r="U109" s="1019"/>
      <c r="V109" s="1019"/>
      <c r="W109"/>
      <c r="X109" s="984"/>
      <c r="Y109" s="984"/>
      <c r="Z109" s="984"/>
      <c r="AA109"/>
      <c r="AB109" s="984"/>
    </row>
    <row r="110" spans="1:28" ht="15.75">
      <c r="A110" s="951"/>
      <c r="B110" s="855"/>
      <c r="C110" s="847" t="s">
        <v>819</v>
      </c>
      <c r="D110" s="842"/>
      <c r="E110" s="847"/>
      <c r="F110" s="1044"/>
      <c r="G110" s="1110">
        <f>SUM(F111:F113)</f>
        <v>0</v>
      </c>
      <c r="H110" s="1111"/>
      <c r="I110" s="950">
        <f t="shared" si="3"/>
        <v>0</v>
      </c>
      <c r="J110" s="1094"/>
      <c r="K110" s="1103"/>
      <c r="L110" s="1029"/>
      <c r="M110" s="1014"/>
      <c r="N110" s="855"/>
      <c r="O110" s="855"/>
      <c r="P110" s="855"/>
      <c r="Q110" s="855"/>
      <c r="R110" s="855"/>
      <c r="S110" s="855"/>
      <c r="T110" s="855"/>
      <c r="U110" s="1019">
        <v>1</v>
      </c>
      <c r="V110" s="1019">
        <v>0</v>
      </c>
      <c r="W110"/>
      <c r="X110" s="984">
        <f>U110*G110</f>
        <v>0</v>
      </c>
      <c r="Y110" s="984"/>
      <c r="Z110" s="984">
        <f>V110*G110</f>
        <v>0</v>
      </c>
      <c r="AA110"/>
      <c r="AB110" s="984">
        <v>0</v>
      </c>
    </row>
    <row r="111" spans="1:28" ht="15.75">
      <c r="A111" s="951"/>
      <c r="B111" s="855"/>
      <c r="C111" s="847"/>
      <c r="D111" s="842" t="s">
        <v>809</v>
      </c>
      <c r="E111" s="847"/>
      <c r="F111" s="1170">
        <f>N111</f>
        <v>0</v>
      </c>
      <c r="G111" s="1110"/>
      <c r="H111" s="1111"/>
      <c r="I111" s="950">
        <f t="shared" si="3"/>
        <v>0</v>
      </c>
      <c r="J111" s="1094"/>
      <c r="K111" s="1103"/>
      <c r="L111" s="1029"/>
      <c r="M111" s="1171"/>
      <c r="N111" s="1172"/>
      <c r="O111" s="1173"/>
      <c r="P111" s="855"/>
      <c r="Q111" s="855"/>
      <c r="R111" s="855"/>
      <c r="S111" s="855"/>
      <c r="T111" s="855"/>
      <c r="U111" s="1019"/>
      <c r="V111" s="1019"/>
      <c r="W111"/>
      <c r="X111" s="984"/>
      <c r="Y111" s="984"/>
      <c r="Z111" s="984"/>
      <c r="AA111"/>
      <c r="AB111" s="984"/>
    </row>
    <row r="112" spans="1:28" ht="15.75">
      <c r="A112" s="951"/>
      <c r="B112" s="855"/>
      <c r="C112" s="847"/>
      <c r="D112" s="842" t="s">
        <v>816</v>
      </c>
      <c r="E112" s="847"/>
      <c r="F112" s="1170">
        <f>N112</f>
        <v>0</v>
      </c>
      <c r="G112" s="1110"/>
      <c r="H112" s="1111"/>
      <c r="I112" s="950">
        <f t="shared" si="3"/>
        <v>0</v>
      </c>
      <c r="J112" s="1094"/>
      <c r="K112" s="1103"/>
      <c r="L112" s="1029"/>
      <c r="M112" s="1171"/>
      <c r="N112" s="1172"/>
      <c r="O112" s="1173"/>
      <c r="P112" s="855"/>
      <c r="Q112" s="855"/>
      <c r="R112" s="855"/>
      <c r="S112" s="855"/>
      <c r="T112" s="855"/>
      <c r="U112" s="1019"/>
      <c r="V112" s="1019"/>
      <c r="W112"/>
      <c r="X112" s="984"/>
      <c r="Y112" s="984"/>
      <c r="Z112" s="984"/>
      <c r="AA112"/>
      <c r="AB112" s="984"/>
    </row>
    <row r="113" spans="1:28" ht="15.75">
      <c r="A113" s="951"/>
      <c r="B113" s="855"/>
      <c r="C113" s="847"/>
      <c r="D113" s="842" t="s">
        <v>817</v>
      </c>
      <c r="E113" s="847"/>
      <c r="F113" s="1091"/>
      <c r="G113" s="1110"/>
      <c r="H113" s="1111"/>
      <c r="I113" s="950">
        <f t="shared" si="3"/>
        <v>0</v>
      </c>
      <c r="J113" s="1094"/>
      <c r="K113" s="1108"/>
      <c r="L113" s="1059"/>
      <c r="M113" s="1014"/>
      <c r="N113" s="855"/>
      <c r="O113" s="855"/>
      <c r="P113" s="855"/>
      <c r="Q113" s="855"/>
      <c r="R113" s="855"/>
      <c r="S113" s="855"/>
      <c r="T113" s="855"/>
      <c r="U113" s="1019"/>
      <c r="V113" s="1019"/>
      <c r="W113"/>
      <c r="X113" s="984"/>
      <c r="Y113" s="984"/>
      <c r="Z113" s="984"/>
      <c r="AA113"/>
      <c r="AB113" s="984"/>
    </row>
    <row r="114" spans="1:28">
      <c r="A114" s="951"/>
      <c r="B114" s="868"/>
      <c r="C114" s="949" t="s">
        <v>820</v>
      </c>
      <c r="D114" s="841"/>
      <c r="E114" s="1053"/>
      <c r="F114" s="1054"/>
      <c r="G114" s="1100">
        <f>SUM(G99:G110)</f>
        <v>307801.188158968</v>
      </c>
      <c r="H114" s="1101"/>
      <c r="I114" s="950">
        <f t="shared" si="3"/>
        <v>1523.7682582127129</v>
      </c>
      <c r="J114" s="1102"/>
      <c r="K114" s="1129"/>
      <c r="L114" s="1130"/>
      <c r="M114" s="1104"/>
      <c r="N114" s="868"/>
      <c r="O114" s="868"/>
      <c r="P114" s="868"/>
      <c r="Q114" s="868"/>
      <c r="R114" s="868"/>
      <c r="S114" s="868"/>
      <c r="T114" s="868"/>
      <c r="U114" s="1034"/>
      <c r="V114" s="1034"/>
      <c r="W114" s="1035"/>
      <c r="X114" s="1037">
        <f>SUM(X99:X113)</f>
        <v>307801.188158968</v>
      </c>
      <c r="Y114" s="1037"/>
      <c r="Z114" s="1037">
        <f>SUM(Z99:Z113)</f>
        <v>0</v>
      </c>
      <c r="AA114" s="1035"/>
      <c r="AB114" s="1037">
        <v>300</v>
      </c>
    </row>
    <row r="115" spans="1:28" ht="15.75">
      <c r="A115" s="951"/>
      <c r="B115" s="855"/>
      <c r="C115" s="841" t="s">
        <v>821</v>
      </c>
      <c r="D115" s="842"/>
      <c r="E115" s="1107"/>
      <c r="F115" s="1044"/>
      <c r="G115" s="1038"/>
      <c r="H115" s="1039"/>
      <c r="I115" s="950">
        <f>G115/$F$9</f>
        <v>0</v>
      </c>
      <c r="J115" s="1106"/>
      <c r="K115" s="1112"/>
      <c r="L115" s="1013"/>
      <c r="M115" s="1168" t="s">
        <v>813</v>
      </c>
      <c r="N115" s="1169" t="s">
        <v>814</v>
      </c>
      <c r="O115" s="1169"/>
      <c r="P115" s="855"/>
      <c r="Q115" s="855"/>
      <c r="R115" s="855"/>
      <c r="S115" s="855"/>
      <c r="T115" s="855"/>
      <c r="U115" s="1019"/>
      <c r="V115" s="1019"/>
      <c r="W115"/>
      <c r="X115" s="984"/>
      <c r="Y115" s="984"/>
      <c r="Z115" s="984"/>
      <c r="AA115"/>
      <c r="AB115" s="984"/>
    </row>
    <row r="116" spans="1:28" ht="23.25">
      <c r="A116" s="3"/>
      <c r="B116" s="855"/>
      <c r="C116" s="888" t="s">
        <v>108</v>
      </c>
      <c r="D116" s="888"/>
      <c r="E116" s="1174"/>
      <c r="F116" s="1175"/>
      <c r="G116" s="1176">
        <f>N116</f>
        <v>5865967.482485503</v>
      </c>
      <c r="H116" s="1177"/>
      <c r="I116" s="950">
        <f t="shared" si="3"/>
        <v>29039.4429826015</v>
      </c>
      <c r="J116" s="1178"/>
      <c r="K116" s="1179" t="s">
        <v>822</v>
      </c>
      <c r="L116" s="1073"/>
      <c r="M116" s="1180">
        <f>0.5*Data!C20*Data!C17/12*Data!C19</f>
        <v>5865967.482485503</v>
      </c>
      <c r="N116" s="1181">
        <v>5865967.482485503</v>
      </c>
      <c r="O116" s="1182"/>
      <c r="P116" s="855"/>
      <c r="Q116" s="855"/>
      <c r="R116" s="855"/>
      <c r="S116" s="855"/>
      <c r="T116" s="855"/>
      <c r="U116" s="1019">
        <v>1</v>
      </c>
      <c r="V116" s="1019">
        <v>0</v>
      </c>
      <c r="W116"/>
      <c r="X116" s="984">
        <f t="shared" ref="X116:X121" si="4">U116*G116</f>
        <v>5865967.482485503</v>
      </c>
      <c r="Y116" s="984"/>
      <c r="Z116" s="984">
        <f t="shared" ref="Z116:Z121" si="5">V116*G116</f>
        <v>0</v>
      </c>
      <c r="AA116"/>
      <c r="AB116" s="984">
        <v>89376.706491925477</v>
      </c>
    </row>
    <row r="117" spans="1:28" ht="15.75">
      <c r="A117" s="951"/>
      <c r="B117" s="855"/>
      <c r="C117" s="842" t="s">
        <v>823</v>
      </c>
      <c r="D117" s="842"/>
      <c r="E117" s="1107"/>
      <c r="F117" s="1044"/>
      <c r="G117" s="1183">
        <f>N117</f>
        <v>832052.1251752486</v>
      </c>
      <c r="H117" s="1094"/>
      <c r="I117" s="950">
        <f t="shared" si="3"/>
        <v>4119.0699266101419</v>
      </c>
      <c r="J117" s="1015"/>
      <c r="K117" s="1184" t="s">
        <v>824</v>
      </c>
      <c r="L117" s="1185"/>
      <c r="M117" s="1186">
        <f>0.01*Data!C20</f>
        <v>832052.1251752486</v>
      </c>
      <c r="N117" s="1172">
        <v>832052.1251752486</v>
      </c>
      <c r="O117" s="1173"/>
      <c r="P117" s="855"/>
      <c r="Q117" s="855"/>
      <c r="R117" s="855"/>
      <c r="S117" s="855"/>
      <c r="T117" s="855"/>
      <c r="U117" s="1019">
        <v>1</v>
      </c>
      <c r="V117" s="1019">
        <v>0</v>
      </c>
      <c r="W117"/>
      <c r="X117" s="984">
        <f t="shared" si="4"/>
        <v>832052.1251752486</v>
      </c>
      <c r="Y117" s="984"/>
      <c r="Z117" s="984">
        <f t="shared" si="5"/>
        <v>0</v>
      </c>
      <c r="AA117"/>
      <c r="AB117" s="984">
        <v>10621.546977765647</v>
      </c>
    </row>
    <row r="118" spans="1:28" ht="15.75">
      <c r="A118" s="3"/>
      <c r="B118" s="855"/>
      <c r="C118" s="842" t="s">
        <v>825</v>
      </c>
      <c r="D118" s="842"/>
      <c r="E118" s="1107"/>
      <c r="F118" s="1044"/>
      <c r="G118" s="1183"/>
      <c r="H118" s="1094"/>
      <c r="I118" s="950">
        <f t="shared" si="3"/>
        <v>0</v>
      </c>
      <c r="J118" s="1015"/>
      <c r="K118" s="1112" t="s">
        <v>826</v>
      </c>
      <c r="L118" s="1013"/>
      <c r="M118" s="1186">
        <v>0</v>
      </c>
      <c r="N118" s="1172">
        <v>0</v>
      </c>
      <c r="O118" s="1173"/>
      <c r="P118" s="1187" t="s">
        <v>827</v>
      </c>
      <c r="Q118" s="1188">
        <v>5000</v>
      </c>
      <c r="R118" s="855"/>
      <c r="S118" s="855"/>
      <c r="T118" s="855"/>
      <c r="U118" s="1121">
        <v>1</v>
      </c>
      <c r="V118" s="1019">
        <f>1-U118</f>
        <v>0</v>
      </c>
      <c r="W118"/>
      <c r="X118" s="984">
        <f t="shared" si="4"/>
        <v>0</v>
      </c>
      <c r="Y118" s="984"/>
      <c r="Z118" s="984">
        <f t="shared" si="5"/>
        <v>0</v>
      </c>
      <c r="AA118"/>
      <c r="AB118" s="984">
        <v>0</v>
      </c>
    </row>
    <row r="119" spans="1:28" ht="15.75">
      <c r="A119" s="951"/>
      <c r="B119" s="855"/>
      <c r="C119" s="842" t="s">
        <v>828</v>
      </c>
      <c r="D119" s="842"/>
      <c r="E119" s="1107"/>
      <c r="F119" s="1044"/>
      <c r="G119" s="1183"/>
      <c r="H119" s="1094"/>
      <c r="I119" s="950">
        <f t="shared" si="3"/>
        <v>0</v>
      </c>
      <c r="J119" s="1015"/>
      <c r="K119" s="1112"/>
      <c r="L119" s="1013"/>
      <c r="M119" s="1189"/>
      <c r="N119" s="1173"/>
      <c r="O119" s="1173"/>
      <c r="P119" s="855"/>
      <c r="Q119" s="855"/>
      <c r="R119" s="855"/>
      <c r="S119" s="855"/>
      <c r="T119" s="855"/>
      <c r="U119" s="1121">
        <v>1</v>
      </c>
      <c r="V119" s="1019">
        <f>1-U119</f>
        <v>0</v>
      </c>
      <c r="W119"/>
      <c r="X119" s="984">
        <f t="shared" si="4"/>
        <v>0</v>
      </c>
      <c r="Y119" s="984"/>
      <c r="Z119" s="984">
        <f t="shared" si="5"/>
        <v>0</v>
      </c>
      <c r="AA119"/>
      <c r="AB119" s="984">
        <v>0</v>
      </c>
    </row>
    <row r="120" spans="1:28" ht="15.75">
      <c r="A120" s="3"/>
      <c r="B120" s="855"/>
      <c r="C120" s="842" t="s">
        <v>829</v>
      </c>
      <c r="D120" s="842"/>
      <c r="E120" s="1190">
        <f>'Tax Calc'!E3</f>
        <v>1.199398E-2</v>
      </c>
      <c r="F120"/>
      <c r="G120" s="1038">
        <f>'Tax Calc'!C15</f>
        <v>393702.39350000001</v>
      </c>
      <c r="H120" s="1039"/>
      <c r="I120" s="950">
        <f t="shared" si="3"/>
        <v>1949.0217500000001</v>
      </c>
      <c r="J120" s="1015"/>
      <c r="K120" s="1112" t="s">
        <v>987</v>
      </c>
      <c r="L120" s="1013"/>
      <c r="M120" s="1191"/>
      <c r="N120" s="1192"/>
      <c r="O120" s="1173"/>
      <c r="P120" s="855"/>
      <c r="Q120" s="855"/>
      <c r="R120" s="855"/>
      <c r="S120" s="855"/>
      <c r="T120" s="855"/>
      <c r="U120" s="1019">
        <v>1</v>
      </c>
      <c r="V120" s="1019">
        <v>0</v>
      </c>
      <c r="W120"/>
      <c r="X120" s="984">
        <f t="shared" si="4"/>
        <v>393702.39350000001</v>
      </c>
      <c r="Y120" s="984"/>
      <c r="Z120" s="984">
        <f t="shared" si="5"/>
        <v>0</v>
      </c>
      <c r="AA120"/>
      <c r="AB120" s="984">
        <v>4336.4786413080001</v>
      </c>
    </row>
    <row r="121" spans="1:28" ht="15.75">
      <c r="A121" s="951"/>
      <c r="B121" s="855"/>
      <c r="C121" s="842" t="s">
        <v>407</v>
      </c>
      <c r="D121" s="842"/>
      <c r="E121" s="1050"/>
      <c r="F121" s="1044"/>
      <c r="G121" s="1116">
        <f>SUM(F122:F124)</f>
        <v>1111905.2766952969</v>
      </c>
      <c r="H121" s="1117"/>
      <c r="I121" s="950">
        <f t="shared" si="3"/>
        <v>5504.4815677984998</v>
      </c>
      <c r="J121" s="1094"/>
      <c r="K121" s="1125"/>
      <c r="L121" s="1045"/>
      <c r="M121" s="1191"/>
      <c r="N121" s="1192"/>
      <c r="O121" s="1173"/>
      <c r="P121" s="855"/>
      <c r="Q121" s="855"/>
      <c r="R121" s="855"/>
      <c r="S121" s="855"/>
      <c r="T121" s="855"/>
      <c r="U121" s="1019">
        <v>1</v>
      </c>
      <c r="V121" s="1019">
        <v>0</v>
      </c>
      <c r="W121"/>
      <c r="X121" s="984">
        <f t="shared" si="4"/>
        <v>1111905.2766952969</v>
      </c>
      <c r="Y121" s="984"/>
      <c r="Z121" s="984">
        <f t="shared" si="5"/>
        <v>0</v>
      </c>
      <c r="AA121"/>
      <c r="AB121" s="984">
        <v>14170.166926939903</v>
      </c>
    </row>
    <row r="122" spans="1:28" ht="15.75">
      <c r="A122" s="3"/>
      <c r="B122" s="855"/>
      <c r="C122" s="842"/>
      <c r="D122" s="842" t="s">
        <v>830</v>
      </c>
      <c r="E122" s="847"/>
      <c r="F122" s="1091">
        <v>0</v>
      </c>
      <c r="G122" s="1110"/>
      <c r="H122" s="1111"/>
      <c r="I122" s="950">
        <f t="shared" si="3"/>
        <v>0</v>
      </c>
      <c r="J122" s="1094"/>
      <c r="K122" s="1125"/>
      <c r="L122" s="1045"/>
      <c r="M122" s="1191"/>
      <c r="N122" s="1192"/>
      <c r="O122" s="1173"/>
      <c r="P122" s="855"/>
      <c r="Q122" s="855"/>
      <c r="R122" s="855"/>
      <c r="S122" s="855"/>
      <c r="T122" s="855"/>
      <c r="U122" s="1019"/>
      <c r="V122" s="1019"/>
      <c r="W122"/>
      <c r="X122" s="984"/>
      <c r="Y122" s="984"/>
      <c r="Z122" s="984"/>
      <c r="AA122"/>
      <c r="AB122" s="984"/>
    </row>
    <row r="123" spans="1:28" ht="15.75">
      <c r="A123" s="3"/>
      <c r="B123" s="855"/>
      <c r="C123" s="842"/>
      <c r="D123" s="842" t="s">
        <v>831</v>
      </c>
      <c r="E123" s="1193"/>
      <c r="F123" s="1194">
        <f>'Insurance Estimator'!E19*1.35</f>
        <v>1111905.2766952969</v>
      </c>
      <c r="G123" s="1110"/>
      <c r="H123" s="1111"/>
      <c r="I123" s="950">
        <f t="shared" si="3"/>
        <v>0</v>
      </c>
      <c r="J123" s="1094"/>
      <c r="K123" s="1195" t="s">
        <v>832</v>
      </c>
      <c r="L123" s="1152"/>
      <c r="M123" s="1191"/>
      <c r="N123" s="1192"/>
      <c r="O123" s="1173"/>
      <c r="P123" s="855"/>
      <c r="Q123" s="855"/>
      <c r="R123" s="855"/>
      <c r="S123" s="855"/>
      <c r="T123" s="855"/>
      <c r="U123" s="1019"/>
      <c r="V123" s="1019"/>
      <c r="W123"/>
      <c r="X123" s="984"/>
      <c r="Y123" s="984"/>
      <c r="Z123" s="984"/>
      <c r="AA123"/>
      <c r="AB123" s="984"/>
    </row>
    <row r="124" spans="1:28" ht="15.75">
      <c r="A124" s="3"/>
      <c r="B124" s="855"/>
      <c r="C124" s="842"/>
      <c r="D124" s="842" t="s">
        <v>833</v>
      </c>
      <c r="E124" s="1107"/>
      <c r="F124" s="1044">
        <v>0</v>
      </c>
      <c r="G124" s="1110"/>
      <c r="H124" s="1111"/>
      <c r="I124" s="950">
        <f t="shared" si="3"/>
        <v>0</v>
      </c>
      <c r="J124" s="1094"/>
      <c r="K124" s="1125" t="s">
        <v>832</v>
      </c>
      <c r="L124" s="1045"/>
      <c r="M124" s="1191"/>
      <c r="N124" s="1192"/>
      <c r="O124" s="1173"/>
      <c r="P124" s="855"/>
      <c r="Q124" s="855"/>
      <c r="R124" s="855"/>
      <c r="S124" s="855"/>
      <c r="T124" s="855"/>
      <c r="U124" s="1019"/>
      <c r="V124" s="1019"/>
      <c r="W124"/>
      <c r="X124" s="984"/>
      <c r="Y124" s="984"/>
      <c r="Z124" s="984"/>
      <c r="AA124"/>
      <c r="AB124" s="984"/>
    </row>
    <row r="125" spans="1:28" ht="15.75">
      <c r="A125" s="951"/>
      <c r="B125" s="855"/>
      <c r="C125" s="842" t="s">
        <v>834</v>
      </c>
      <c r="D125" s="842"/>
      <c r="E125" s="1107"/>
      <c r="F125" s="1044"/>
      <c r="G125" s="1110">
        <f>SUM(F126:F127)</f>
        <v>134807.81877628728</v>
      </c>
      <c r="H125" s="1111"/>
      <c r="I125" s="950">
        <f t="shared" si="3"/>
        <v>667.36543948657072</v>
      </c>
      <c r="J125" s="1094"/>
      <c r="K125" s="1112"/>
      <c r="L125" s="1013"/>
      <c r="M125" s="1168" t="s">
        <v>813</v>
      </c>
      <c r="N125" s="1169" t="s">
        <v>814</v>
      </c>
      <c r="O125" s="1169"/>
      <c r="P125" s="855"/>
      <c r="Q125" s="855"/>
      <c r="R125" s="855"/>
      <c r="S125" s="855"/>
      <c r="T125" s="855"/>
      <c r="U125" s="1019">
        <v>1</v>
      </c>
      <c r="V125" s="1019">
        <v>0</v>
      </c>
      <c r="W125"/>
      <c r="X125" s="984">
        <f>U125*G125</f>
        <v>134807.81877628728</v>
      </c>
      <c r="Y125" s="984"/>
      <c r="Z125" s="984">
        <f>V125*G125</f>
        <v>0</v>
      </c>
      <c r="AA125"/>
      <c r="AB125" s="984">
        <v>1793.2320466648466</v>
      </c>
    </row>
    <row r="126" spans="1:28" ht="15.75">
      <c r="A126" s="951"/>
      <c r="B126" s="855"/>
      <c r="C126" s="842"/>
      <c r="D126" s="842" t="s">
        <v>835</v>
      </c>
      <c r="E126" s="1196">
        <v>1.5E-3</v>
      </c>
      <c r="F126" s="1044">
        <f>N126</f>
        <v>124807.81877628728</v>
      </c>
      <c r="G126" s="1110"/>
      <c r="H126" s="1111"/>
      <c r="I126" s="950">
        <f t="shared" si="3"/>
        <v>0</v>
      </c>
      <c r="J126" s="1094"/>
      <c r="K126" s="1103"/>
      <c r="L126" s="1029"/>
      <c r="M126" s="1186">
        <f>+E126*Data!C20</f>
        <v>124807.81877628728</v>
      </c>
      <c r="N126" s="1172">
        <v>124807.81877628728</v>
      </c>
      <c r="O126" s="1173"/>
      <c r="P126" s="855"/>
      <c r="Q126" s="855"/>
      <c r="R126" s="855"/>
      <c r="S126" s="855"/>
      <c r="T126" s="855"/>
      <c r="U126" s="1019"/>
      <c r="V126" s="1019"/>
      <c r="W126"/>
      <c r="X126" s="984"/>
      <c r="Y126" s="984"/>
      <c r="Z126" s="984"/>
      <c r="AA126"/>
      <c r="AB126" s="984"/>
    </row>
    <row r="127" spans="1:28" ht="15.75">
      <c r="A127" s="951"/>
      <c r="B127" s="855"/>
      <c r="C127" s="842"/>
      <c r="D127" s="842" t="s">
        <v>836</v>
      </c>
      <c r="E127" s="1107"/>
      <c r="F127" s="1091">
        <v>10000</v>
      </c>
      <c r="G127" s="1110"/>
      <c r="H127" s="1111"/>
      <c r="I127" s="950">
        <f t="shared" si="3"/>
        <v>0</v>
      </c>
      <c r="J127" s="1094"/>
      <c r="K127" s="1103"/>
      <c r="L127" s="1029"/>
      <c r="M127" s="1191"/>
      <c r="N127" s="1192"/>
      <c r="O127" s="1173"/>
      <c r="P127" s="855"/>
      <c r="Q127" s="855"/>
      <c r="R127" s="855"/>
      <c r="S127" s="855"/>
      <c r="T127" s="855"/>
      <c r="U127" s="1019"/>
      <c r="V127" s="1019"/>
      <c r="W127"/>
      <c r="X127" s="984"/>
      <c r="Y127" s="984"/>
      <c r="Z127" s="984"/>
      <c r="AA127"/>
      <c r="AB127" s="984"/>
    </row>
    <row r="128" spans="1:28" ht="15.75">
      <c r="A128" s="951"/>
      <c r="B128" s="855"/>
      <c r="C128" s="842" t="s">
        <v>837</v>
      </c>
      <c r="D128" s="842"/>
      <c r="E128" s="1107"/>
      <c r="F128" s="1044"/>
      <c r="G128" s="1110">
        <f>SUM(F129:F131)</f>
        <v>15400</v>
      </c>
      <c r="H128" s="1111"/>
      <c r="I128" s="950">
        <f t="shared" si="3"/>
        <v>76.237623762376231</v>
      </c>
      <c r="J128" s="1094"/>
      <c r="K128" s="1197"/>
      <c r="L128" s="1198"/>
      <c r="M128" s="1191"/>
      <c r="N128" s="1192"/>
      <c r="O128" s="1173"/>
      <c r="P128" s="855"/>
      <c r="Q128" s="855"/>
      <c r="R128" s="855"/>
      <c r="S128" s="855"/>
      <c r="T128" s="855"/>
      <c r="U128" s="1019">
        <v>1</v>
      </c>
      <c r="V128" s="1019">
        <v>0</v>
      </c>
      <c r="W128"/>
      <c r="X128" s="984">
        <f>U128*G128</f>
        <v>15400</v>
      </c>
      <c r="Y128" s="984"/>
      <c r="Z128" s="984">
        <f>V128*G128</f>
        <v>0</v>
      </c>
      <c r="AA128"/>
      <c r="AB128" s="984">
        <v>308</v>
      </c>
    </row>
    <row r="129" spans="2:28" ht="15.75">
      <c r="B129" s="855"/>
      <c r="C129" s="842"/>
      <c r="D129" s="842" t="s">
        <v>838</v>
      </c>
      <c r="E129" s="1107"/>
      <c r="F129" s="1091">
        <v>10000</v>
      </c>
      <c r="G129" s="1110"/>
      <c r="H129" s="1111"/>
      <c r="I129" s="950">
        <f t="shared" si="3"/>
        <v>0</v>
      </c>
      <c r="J129" s="1094"/>
      <c r="K129" s="1125"/>
      <c r="L129" s="1045"/>
      <c r="M129" s="1191"/>
      <c r="N129" s="1192"/>
      <c r="O129" s="1173"/>
      <c r="P129" s="855"/>
      <c r="Q129" s="855"/>
      <c r="R129" s="855"/>
      <c r="S129" s="855"/>
      <c r="T129" s="855"/>
      <c r="U129" s="1019"/>
      <c r="V129" s="1019"/>
      <c r="W129"/>
      <c r="X129" s="984"/>
      <c r="Y129" s="984"/>
      <c r="Z129" s="984"/>
      <c r="AA129"/>
      <c r="AB129" s="984"/>
    </row>
    <row r="130" spans="2:28" ht="15.75">
      <c r="B130" s="855"/>
      <c r="C130" s="842"/>
      <c r="D130" s="842" t="s">
        <v>839</v>
      </c>
      <c r="E130" s="1199">
        <v>600</v>
      </c>
      <c r="F130" s="1044">
        <v>2400</v>
      </c>
      <c r="G130" s="1110"/>
      <c r="H130" s="1111"/>
      <c r="I130" s="950">
        <f t="shared" si="3"/>
        <v>0</v>
      </c>
      <c r="J130" s="1094"/>
      <c r="K130" s="1112"/>
      <c r="L130" s="1013"/>
      <c r="M130" s="1191"/>
      <c r="N130" s="1192"/>
      <c r="O130" s="1173"/>
      <c r="P130" s="855"/>
      <c r="Q130" s="855"/>
      <c r="R130" s="855"/>
      <c r="S130" s="855"/>
      <c r="T130" s="855"/>
      <c r="U130" s="1019"/>
      <c r="V130" s="1019"/>
      <c r="W130"/>
      <c r="X130" s="984"/>
      <c r="Y130" s="984"/>
      <c r="Z130" s="984"/>
      <c r="AA130"/>
      <c r="AB130" s="984"/>
    </row>
    <row r="131" spans="2:28" ht="15.75">
      <c r="B131" s="855"/>
      <c r="C131" s="842"/>
      <c r="D131" s="842" t="s">
        <v>840</v>
      </c>
      <c r="E131" s="1107"/>
      <c r="F131" s="1091">
        <v>3000</v>
      </c>
      <c r="G131" s="1110"/>
      <c r="H131" s="1111"/>
      <c r="I131" s="950">
        <f t="shared" si="3"/>
        <v>0</v>
      </c>
      <c r="J131" s="1094"/>
      <c r="K131" s="1112"/>
      <c r="L131" s="1013"/>
      <c r="M131" s="1191"/>
      <c r="N131" s="1192"/>
      <c r="O131" s="1173"/>
      <c r="P131" s="855"/>
      <c r="Q131" s="855"/>
      <c r="R131" s="855"/>
      <c r="S131" s="855"/>
      <c r="T131" s="855"/>
      <c r="U131" s="1019"/>
      <c r="V131" s="1019"/>
      <c r="W131"/>
      <c r="X131" s="984"/>
      <c r="Y131" s="984"/>
      <c r="Z131" s="984"/>
      <c r="AA131"/>
      <c r="AB131" s="984"/>
    </row>
    <row r="132" spans="2:28" ht="23.25">
      <c r="B132" s="855"/>
      <c r="C132" s="888" t="s">
        <v>841</v>
      </c>
      <c r="D132" s="888"/>
      <c r="E132" s="1200" t="s">
        <v>842</v>
      </c>
      <c r="F132" s="1201">
        <v>0</v>
      </c>
      <c r="G132" s="1202"/>
      <c r="H132" s="1203"/>
      <c r="I132" s="950">
        <f t="shared" si="3"/>
        <v>0</v>
      </c>
      <c r="J132" s="1177"/>
      <c r="K132" s="1204" t="s">
        <v>843</v>
      </c>
      <c r="L132" s="1205"/>
      <c r="M132" s="1168"/>
      <c r="N132" s="1169" t="s">
        <v>814</v>
      </c>
      <c r="O132" s="1169"/>
      <c r="P132" t="s">
        <v>844</v>
      </c>
      <c r="Q132" s="1206" t="s">
        <v>845</v>
      </c>
      <c r="R132" s="855"/>
      <c r="S132" s="855"/>
      <c r="T132" s="855"/>
      <c r="U132" s="1121">
        <v>1</v>
      </c>
      <c r="V132" s="1019">
        <f>1-U132</f>
        <v>0</v>
      </c>
      <c r="W132"/>
      <c r="X132" s="984">
        <f>U132*G132</f>
        <v>0</v>
      </c>
      <c r="Y132" s="984"/>
      <c r="Z132" s="984">
        <f>V132*G132</f>
        <v>0</v>
      </c>
      <c r="AA132"/>
      <c r="AB132" s="984">
        <v>0</v>
      </c>
    </row>
    <row r="133" spans="2:28" ht="15.75" hidden="1">
      <c r="B133" s="855"/>
      <c r="C133" s="855"/>
      <c r="D133" s="855"/>
      <c r="E133" s="1207"/>
      <c r="F133" s="1208"/>
      <c r="G133" s="1209"/>
      <c r="H133" s="855"/>
      <c r="I133" s="950">
        <f t="shared" si="3"/>
        <v>0</v>
      </c>
      <c r="J133" s="855"/>
      <c r="K133" s="1210" t="s">
        <v>846</v>
      </c>
      <c r="L133" s="1211"/>
      <c r="M133" s="1212"/>
      <c r="N133" s="1213">
        <v>0</v>
      </c>
      <c r="O133" s="1182"/>
      <c r="P133" s="1214">
        <v>27500</v>
      </c>
      <c r="Q133" s="1215">
        <f>0.0025*Data!E55</f>
        <v>0</v>
      </c>
      <c r="R133" s="855"/>
      <c r="S133" s="855"/>
      <c r="T133" s="855"/>
      <c r="U133" s="1019"/>
      <c r="V133" s="1019"/>
      <c r="W133"/>
      <c r="X133" s="984"/>
      <c r="Y133" s="984"/>
      <c r="Z133" s="984"/>
      <c r="AA133"/>
      <c r="AB133" s="984"/>
    </row>
    <row r="134" spans="2:28" ht="15.75" hidden="1">
      <c r="B134" s="855"/>
      <c r="C134" s="847"/>
      <c r="D134" s="847"/>
      <c r="E134" s="1216"/>
      <c r="F134" s="1208"/>
      <c r="G134" s="1217"/>
      <c r="H134" s="847"/>
      <c r="I134" s="950">
        <f t="shared" si="3"/>
        <v>0</v>
      </c>
      <c r="J134" s="847"/>
      <c r="K134" s="1218" t="s">
        <v>847</v>
      </c>
      <c r="L134" s="1219"/>
      <c r="M134" s="1220"/>
      <c r="N134" s="1221">
        <v>0</v>
      </c>
      <c r="O134" s="1222"/>
      <c r="P134" s="1223">
        <v>5000</v>
      </c>
      <c r="Q134" s="1224">
        <v>6000</v>
      </c>
      <c r="R134" s="855"/>
      <c r="S134" s="855"/>
      <c r="T134" s="855"/>
      <c r="U134" s="1019"/>
      <c r="V134" s="1019"/>
      <c r="W134"/>
      <c r="X134" s="984"/>
      <c r="Y134" s="984"/>
      <c r="Z134" s="984"/>
      <c r="AA134"/>
      <c r="AB134" s="984"/>
    </row>
    <row r="135" spans="2:28" ht="15.75" hidden="1">
      <c r="B135" s="855"/>
      <c r="C135" s="847"/>
      <c r="D135" s="847"/>
      <c r="E135" s="847"/>
      <c r="F135" s="1208"/>
      <c r="G135" s="1217"/>
      <c r="H135" s="847"/>
      <c r="I135" s="950">
        <f t="shared" si="3"/>
        <v>0</v>
      </c>
      <c r="J135" s="847"/>
      <c r="K135" s="1218" t="s">
        <v>848</v>
      </c>
      <c r="L135" s="1219"/>
      <c r="M135" s="1168"/>
      <c r="N135" s="1221">
        <v>0</v>
      </c>
      <c r="O135" s="1169"/>
      <c r="P135" s="1188">
        <v>75000</v>
      </c>
      <c r="Q135" s="1224">
        <v>75000</v>
      </c>
      <c r="R135" s="855"/>
      <c r="S135" s="855"/>
      <c r="T135" s="855"/>
      <c r="U135" s="1019"/>
      <c r="V135" s="1019"/>
      <c r="W135"/>
      <c r="X135" s="984"/>
      <c r="Y135" s="984"/>
      <c r="Z135" s="984"/>
      <c r="AA135"/>
      <c r="AB135" s="984"/>
    </row>
    <row r="136" spans="2:28" ht="15.75" hidden="1">
      <c r="B136" s="855"/>
      <c r="C136" s="847"/>
      <c r="D136" s="847"/>
      <c r="E136" s="1225"/>
      <c r="F136" s="1226"/>
      <c r="G136" s="1217"/>
      <c r="H136" s="847"/>
      <c r="I136" s="950">
        <f t="shared" si="3"/>
        <v>0</v>
      </c>
      <c r="J136" s="847"/>
      <c r="K136" s="1218" t="s">
        <v>849</v>
      </c>
      <c r="L136" s="1219"/>
      <c r="M136" s="1227"/>
      <c r="N136" s="1228"/>
      <c r="O136" s="1229"/>
      <c r="P136" s="1222"/>
      <c r="Q136" s="1230"/>
      <c r="R136" s="855"/>
      <c r="S136" s="855"/>
      <c r="T136" s="855"/>
      <c r="U136" s="1019"/>
      <c r="V136" s="1019"/>
      <c r="W136"/>
      <c r="X136" s="984"/>
      <c r="Y136" s="984"/>
      <c r="Z136" s="984"/>
      <c r="AA136"/>
      <c r="AB136" s="984"/>
    </row>
    <row r="137" spans="2:28" ht="15.75" hidden="1">
      <c r="B137" s="855"/>
      <c r="C137" s="847"/>
      <c r="D137" s="847"/>
      <c r="E137" s="847"/>
      <c r="F137" s="1226"/>
      <c r="G137" s="1217"/>
      <c r="H137" s="847"/>
      <c r="I137" s="950">
        <f t="shared" si="3"/>
        <v>0</v>
      </c>
      <c r="J137" s="847"/>
      <c r="K137" s="1218" t="s">
        <v>850</v>
      </c>
      <c r="L137" s="1219"/>
      <c r="M137" s="1220"/>
      <c r="N137" s="1228"/>
      <c r="O137" s="1229"/>
      <c r="P137" s="1222"/>
      <c r="Q137" s="1230"/>
      <c r="R137" s="855"/>
      <c r="S137" s="855"/>
      <c r="T137" s="855"/>
      <c r="U137" s="1019"/>
      <c r="V137" s="1019"/>
      <c r="W137"/>
      <c r="X137" s="984"/>
      <c r="Y137" s="984"/>
      <c r="Z137" s="984"/>
      <c r="AA137"/>
      <c r="AB137" s="984"/>
    </row>
    <row r="138" spans="2:28" ht="15.75" hidden="1">
      <c r="B138" s="855"/>
      <c r="C138" s="847"/>
      <c r="D138" s="847"/>
      <c r="E138" s="847"/>
      <c r="F138" s="1208"/>
      <c r="G138" s="1217"/>
      <c r="H138" s="847"/>
      <c r="I138" s="950">
        <f t="shared" si="3"/>
        <v>0</v>
      </c>
      <c r="J138" s="847"/>
      <c r="K138" s="1218" t="s">
        <v>851</v>
      </c>
      <c r="L138" s="1219"/>
      <c r="M138" s="1231"/>
      <c r="N138" s="1232"/>
      <c r="O138" s="1231"/>
      <c r="P138" s="1222"/>
      <c r="Q138" s="1224">
        <v>5000</v>
      </c>
      <c r="R138" s="855"/>
      <c r="S138" s="855"/>
      <c r="T138" s="855"/>
      <c r="U138" s="1019"/>
      <c r="V138" s="1019"/>
      <c r="W138"/>
      <c r="X138" s="984"/>
      <c r="Y138" s="984"/>
      <c r="Z138" s="984"/>
      <c r="AA138"/>
      <c r="AB138" s="984"/>
    </row>
    <row r="139" spans="2:28" ht="15.75" hidden="1">
      <c r="B139" s="855"/>
      <c r="C139" s="847"/>
      <c r="D139" s="847"/>
      <c r="E139" s="847"/>
      <c r="F139" s="1208"/>
      <c r="G139" s="1217"/>
      <c r="H139" s="847"/>
      <c r="I139" s="950">
        <f t="shared" si="3"/>
        <v>0</v>
      </c>
      <c r="J139" s="847"/>
      <c r="K139" s="1218" t="s">
        <v>852</v>
      </c>
      <c r="L139" s="1219"/>
      <c r="M139" s="1231"/>
      <c r="N139" s="1232"/>
      <c r="O139" s="1231"/>
      <c r="P139" s="1222"/>
      <c r="Q139" s="1224">
        <v>35000</v>
      </c>
      <c r="R139" s="855"/>
      <c r="S139" s="855"/>
      <c r="T139" s="855"/>
      <c r="U139" s="1019"/>
      <c r="V139" s="1019"/>
      <c r="W139"/>
      <c r="X139" s="984"/>
      <c r="Y139" s="984"/>
      <c r="Z139" s="984"/>
      <c r="AA139"/>
      <c r="AB139" s="984"/>
    </row>
    <row r="140" spans="2:28" ht="15.75" hidden="1">
      <c r="B140" s="855"/>
      <c r="C140" s="847"/>
      <c r="D140" s="847"/>
      <c r="E140" s="847"/>
      <c r="F140" s="1233"/>
      <c r="G140" s="1217"/>
      <c r="H140" s="847"/>
      <c r="I140" s="950">
        <f t="shared" si="3"/>
        <v>0</v>
      </c>
      <c r="J140" s="847"/>
      <c r="K140" s="1218" t="s">
        <v>853</v>
      </c>
      <c r="L140" s="1219"/>
      <c r="M140" s="1231"/>
      <c r="N140" s="1234"/>
      <c r="O140" s="1231"/>
      <c r="P140" s="1222"/>
      <c r="Q140" s="1230"/>
      <c r="R140" s="855"/>
      <c r="S140" s="855"/>
      <c r="T140" s="855"/>
      <c r="U140" s="1019"/>
      <c r="V140" s="1019"/>
      <c r="W140"/>
      <c r="X140" s="984"/>
      <c r="Y140" s="984"/>
      <c r="Z140" s="984"/>
      <c r="AA140"/>
      <c r="AB140" s="984"/>
    </row>
    <row r="141" spans="2:28" ht="15.75" hidden="1">
      <c r="B141" s="855"/>
      <c r="C141" s="847"/>
      <c r="D141" s="847"/>
      <c r="E141" s="847"/>
      <c r="F141" s="1233"/>
      <c r="G141" s="1217"/>
      <c r="H141" s="847"/>
      <c r="I141" s="950">
        <f t="shared" si="3"/>
        <v>0</v>
      </c>
      <c r="J141" s="847"/>
      <c r="K141" s="1218" t="s">
        <v>854</v>
      </c>
      <c r="L141" s="1219"/>
      <c r="M141" s="1231"/>
      <c r="N141" s="1234"/>
      <c r="O141" s="1231"/>
      <c r="P141" s="1235"/>
      <c r="Q141" s="1230"/>
      <c r="R141" s="855"/>
      <c r="S141" s="855"/>
      <c r="T141" s="855"/>
      <c r="U141" s="1019"/>
      <c r="V141" s="1019"/>
      <c r="W141"/>
      <c r="X141" s="984"/>
      <c r="Y141" s="984"/>
      <c r="Z141" s="984"/>
      <c r="AA141"/>
      <c r="AB141" s="984"/>
    </row>
    <row r="142" spans="2:28" ht="15.75" hidden="1">
      <c r="B142" s="855"/>
      <c r="C142" s="847"/>
      <c r="D142" s="847"/>
      <c r="E142" s="847"/>
      <c r="F142" s="1233"/>
      <c r="G142" s="1217"/>
      <c r="H142" s="847"/>
      <c r="I142" s="950">
        <f t="shared" si="3"/>
        <v>0</v>
      </c>
      <c r="J142" s="847"/>
      <c r="K142" s="1218" t="s">
        <v>855</v>
      </c>
      <c r="L142" s="1219"/>
      <c r="M142" s="1231"/>
      <c r="N142" s="1234"/>
      <c r="O142" s="1231"/>
      <c r="P142" s="1235"/>
      <c r="Q142" s="1230"/>
      <c r="R142" s="855"/>
      <c r="S142" s="855"/>
      <c r="T142" s="855"/>
      <c r="U142" s="1019"/>
      <c r="V142" s="1019"/>
      <c r="W142"/>
      <c r="X142" s="984"/>
      <c r="Y142" s="984"/>
      <c r="Z142" s="984"/>
      <c r="AA142"/>
      <c r="AB142" s="984"/>
    </row>
    <row r="143" spans="2:28" ht="15.75" hidden="1">
      <c r="B143" s="855"/>
      <c r="C143" s="847"/>
      <c r="D143" s="847"/>
      <c r="E143" s="847"/>
      <c r="F143" s="1233"/>
      <c r="G143" s="1217"/>
      <c r="H143" s="847"/>
      <c r="I143" s="950">
        <f t="shared" si="3"/>
        <v>0</v>
      </c>
      <c r="J143" s="847"/>
      <c r="K143" s="1218" t="s">
        <v>855</v>
      </c>
      <c r="L143" s="1219"/>
      <c r="M143" s="1231"/>
      <c r="N143" s="1234"/>
      <c r="O143" s="1231"/>
      <c r="P143" s="1235"/>
      <c r="Q143" s="1230"/>
      <c r="R143" s="855"/>
      <c r="S143" s="855"/>
      <c r="T143" s="855"/>
      <c r="U143" s="1019"/>
      <c r="V143" s="1019"/>
      <c r="W143"/>
      <c r="X143" s="984"/>
      <c r="Y143" s="984"/>
      <c r="Z143" s="984"/>
      <c r="AA143"/>
      <c r="AB143" s="984"/>
    </row>
    <row r="144" spans="2:28" ht="15.75" hidden="1">
      <c r="B144" s="855"/>
      <c r="C144" s="847"/>
      <c r="D144" s="847"/>
      <c r="E144" s="847"/>
      <c r="F144" s="1208"/>
      <c r="G144" s="1217"/>
      <c r="H144" s="847"/>
      <c r="I144" s="950">
        <f t="shared" si="3"/>
        <v>0</v>
      </c>
      <c r="J144" s="847"/>
      <c r="K144" s="1218" t="s">
        <v>856</v>
      </c>
      <c r="L144" s="1219"/>
      <c r="M144" s="1231"/>
      <c r="N144" s="1232"/>
      <c r="O144" s="1231"/>
      <c r="P144" s="1235"/>
      <c r="Q144" s="1224"/>
      <c r="R144" s="855"/>
      <c r="S144" s="855"/>
      <c r="T144" s="855"/>
      <c r="U144" s="1019"/>
      <c r="V144" s="1019"/>
      <c r="W144"/>
      <c r="X144" s="984"/>
      <c r="Y144" s="984"/>
      <c r="Z144" s="984"/>
      <c r="AA144"/>
      <c r="AB144" s="984"/>
    </row>
    <row r="145" spans="2:28" ht="15.75" hidden="1">
      <c r="B145" s="855"/>
      <c r="C145" s="847"/>
      <c r="D145" s="847"/>
      <c r="E145" s="847"/>
      <c r="F145" s="1233"/>
      <c r="G145" s="1217"/>
      <c r="H145" s="847"/>
      <c r="I145" s="950">
        <f t="shared" si="3"/>
        <v>0</v>
      </c>
      <c r="J145" s="847"/>
      <c r="K145" s="1218" t="s">
        <v>857</v>
      </c>
      <c r="L145" s="1219"/>
      <c r="M145" s="1236"/>
      <c r="N145" s="1234"/>
      <c r="O145" s="1231"/>
      <c r="P145" s="1235"/>
      <c r="Q145" s="1230"/>
      <c r="R145" s="855"/>
      <c r="S145" s="855"/>
      <c r="T145" s="855"/>
      <c r="U145" s="1019"/>
      <c r="V145" s="1019"/>
      <c r="W145"/>
      <c r="X145" s="984"/>
      <c r="Y145" s="984"/>
      <c r="Z145" s="984"/>
      <c r="AA145"/>
      <c r="AB145" s="984"/>
    </row>
    <row r="146" spans="2:28" ht="15.75" hidden="1">
      <c r="B146" s="855"/>
      <c r="C146" s="847"/>
      <c r="D146" s="847"/>
      <c r="E146" s="1216"/>
      <c r="F146" s="1208"/>
      <c r="G146" s="1217"/>
      <c r="H146" s="847"/>
      <c r="I146" s="950">
        <f t="shared" si="3"/>
        <v>0</v>
      </c>
      <c r="J146" s="847"/>
      <c r="K146" s="1218" t="s">
        <v>858</v>
      </c>
      <c r="L146" s="1219"/>
      <c r="M146" s="1237"/>
      <c r="N146" s="1238"/>
      <c r="O146" s="1239"/>
      <c r="P146" s="1240"/>
      <c r="Q146" s="1241"/>
      <c r="R146" s="855"/>
      <c r="S146" s="855"/>
      <c r="T146" s="855"/>
      <c r="U146" s="1019"/>
      <c r="V146" s="1019"/>
      <c r="W146"/>
      <c r="X146" s="984"/>
      <c r="Y146" s="984"/>
      <c r="Z146" s="984"/>
      <c r="AA146"/>
      <c r="AB146" s="984"/>
    </row>
    <row r="147" spans="2:28" ht="15.75" hidden="1">
      <c r="B147" s="855"/>
      <c r="C147" s="847"/>
      <c r="D147" s="847"/>
      <c r="E147" s="847"/>
      <c r="F147" s="1208"/>
      <c r="G147" s="1217"/>
      <c r="H147" s="847"/>
      <c r="I147" s="950">
        <f t="shared" ref="I147:I222" si="6">G147/$F$9</f>
        <v>0</v>
      </c>
      <c r="J147" s="847"/>
      <c r="K147" s="1218" t="s">
        <v>859</v>
      </c>
      <c r="L147" s="1219"/>
      <c r="M147"/>
      <c r="N147" s="1221"/>
      <c r="O147"/>
      <c r="P147" s="1188"/>
      <c r="Q147" s="1224"/>
      <c r="R147" s="855"/>
      <c r="S147" s="855"/>
      <c r="T147" s="855"/>
      <c r="U147" s="1019"/>
      <c r="V147" s="1019"/>
      <c r="W147"/>
      <c r="X147" s="984"/>
      <c r="Y147" s="984"/>
      <c r="Z147" s="984"/>
      <c r="AA147"/>
      <c r="AB147" s="984"/>
    </row>
    <row r="148" spans="2:28">
      <c r="B148" s="868"/>
      <c r="C148" s="949" t="s">
        <v>860</v>
      </c>
      <c r="D148" s="841"/>
      <c r="E148" s="1053"/>
      <c r="F148" s="1126"/>
      <c r="G148" s="1127">
        <f>SUM(G116:G147)</f>
        <v>8353835.0966323363</v>
      </c>
      <c r="H148" s="1128"/>
      <c r="I148" s="950">
        <f t="shared" si="6"/>
        <v>41355.619290259092</v>
      </c>
      <c r="J148" s="1242"/>
      <c r="K148" s="1129"/>
      <c r="L148" s="1130"/>
      <c r="M148" s="1131" t="s">
        <v>1037</v>
      </c>
      <c r="N148" s="868"/>
      <c r="O148" s="868"/>
      <c r="P148" s="868"/>
      <c r="Q148" s="1243"/>
      <c r="R148" s="868"/>
      <c r="S148" s="868"/>
      <c r="T148" s="868"/>
      <c r="U148" s="1034"/>
      <c r="V148" s="1034"/>
      <c r="W148" s="1035"/>
      <c r="X148" s="1037">
        <f>SUM(X116:X147)</f>
        <v>8353835.0966323363</v>
      </c>
      <c r="Y148" s="1037"/>
      <c r="Z148" s="1037">
        <f>SUM(Z116:Z147)</f>
        <v>0</v>
      </c>
      <c r="AA148" s="1035"/>
      <c r="AB148" s="1037">
        <v>120606.13108460387</v>
      </c>
    </row>
    <row r="149" spans="2:28">
      <c r="B149" s="868"/>
      <c r="C149" s="841" t="s">
        <v>996</v>
      </c>
      <c r="D149" s="842"/>
      <c r="E149" s="1107"/>
      <c r="F149" s="1044"/>
      <c r="G149" s="1110"/>
      <c r="H149" s="1111"/>
      <c r="I149" s="950">
        <f>G149/$F$9</f>
        <v>0</v>
      </c>
      <c r="J149" s="1094"/>
      <c r="K149" s="1112"/>
      <c r="L149" s="1013"/>
      <c r="M149" s="1104" t="s">
        <v>813</v>
      </c>
      <c r="N149" s="868" t="s">
        <v>963</v>
      </c>
      <c r="O149" s="868"/>
      <c r="P149" s="868"/>
      <c r="Q149" s="1427"/>
      <c r="R149" s="868"/>
      <c r="S149" s="868"/>
      <c r="T149" s="868"/>
      <c r="U149" s="1034"/>
      <c r="V149" s="1034"/>
      <c r="W149" s="1035"/>
      <c r="X149" s="1037"/>
      <c r="Y149" s="1037"/>
      <c r="Z149" s="1037"/>
      <c r="AA149" s="1035"/>
      <c r="AB149" s="1037"/>
    </row>
    <row r="150" spans="2:28">
      <c r="B150" s="868"/>
      <c r="C150" s="842"/>
      <c r="D150" s="842"/>
      <c r="E150" s="1107"/>
      <c r="F150" s="1044"/>
      <c r="G150" s="1110">
        <f>N150</f>
        <v>0</v>
      </c>
      <c r="H150" s="1111"/>
      <c r="I150" s="950"/>
      <c r="J150" s="1094"/>
      <c r="K150" s="1112"/>
      <c r="L150" s="1013"/>
      <c r="M150" s="1558"/>
      <c r="N150" s="1344">
        <v>0</v>
      </c>
      <c r="O150" s="868"/>
      <c r="P150" s="868"/>
      <c r="Q150" s="1427"/>
      <c r="R150" s="868"/>
      <c r="S150" s="868"/>
      <c r="T150" s="868"/>
      <c r="U150" s="1034"/>
      <c r="V150" s="1034"/>
      <c r="W150" s="1035"/>
      <c r="X150" s="1037"/>
      <c r="Y150" s="1037"/>
      <c r="Z150" s="1037"/>
      <c r="AA150" s="1035"/>
      <c r="AB150" s="1037"/>
    </row>
    <row r="151" spans="2:28">
      <c r="B151" s="868"/>
      <c r="C151" s="842" t="s">
        <v>861</v>
      </c>
      <c r="D151" s="842"/>
      <c r="E151" s="1087"/>
      <c r="F151" s="1044"/>
      <c r="G151" s="1110">
        <f>N151</f>
        <v>750203.48484821711</v>
      </c>
      <c r="H151" s="1093"/>
      <c r="I151" s="950">
        <f t="shared" ref="I151:I158" si="7">G151/$F$9</f>
        <v>3713.8786378624609</v>
      </c>
      <c r="J151" s="1094"/>
      <c r="K151" s="1244" t="s">
        <v>862</v>
      </c>
      <c r="L151" s="1245"/>
      <c r="M151" s="1558">
        <f>Data!C31*Data!C30</f>
        <v>0</v>
      </c>
      <c r="N151" s="1345">
        <v>750203.48484821711</v>
      </c>
      <c r="O151" s="868"/>
      <c r="P151" s="868"/>
      <c r="Q151" s="1427"/>
      <c r="R151" s="868"/>
      <c r="S151" s="868"/>
      <c r="T151" s="868"/>
      <c r="U151" s="1034"/>
      <c r="V151" s="1034"/>
      <c r="W151" s="1035"/>
      <c r="X151" s="1037"/>
      <c r="Y151" s="1037"/>
      <c r="Z151" s="1037"/>
      <c r="AA151" s="1035"/>
      <c r="AB151" s="1037"/>
    </row>
    <row r="152" spans="2:28">
      <c r="B152" s="868"/>
      <c r="C152" s="842" t="s">
        <v>863</v>
      </c>
      <c r="D152" s="842"/>
      <c r="E152" s="1107"/>
      <c r="F152" s="1044"/>
      <c r="G152" s="1110">
        <f>SUM(F153:F154)</f>
        <v>0</v>
      </c>
      <c r="H152" s="1111"/>
      <c r="I152" s="950">
        <f t="shared" si="7"/>
        <v>0</v>
      </c>
      <c r="J152" s="1094"/>
      <c r="K152" s="1103"/>
      <c r="L152" s="1029"/>
      <c r="M152" s="1014"/>
      <c r="N152" s="855"/>
      <c r="O152" s="868"/>
      <c r="P152" s="868"/>
      <c r="Q152" s="1427"/>
      <c r="R152" s="868"/>
      <c r="S152" s="868"/>
      <c r="T152" s="868"/>
      <c r="U152" s="1034"/>
      <c r="V152" s="1034"/>
      <c r="W152" s="1035"/>
      <c r="X152" s="1037"/>
      <c r="Y152" s="1037"/>
      <c r="Z152" s="1037"/>
      <c r="AA152" s="1035"/>
      <c r="AB152" s="1037"/>
    </row>
    <row r="153" spans="2:28">
      <c r="B153" s="868"/>
      <c r="C153" s="842"/>
      <c r="D153" s="842" t="s">
        <v>835</v>
      </c>
      <c r="E153" s="1107"/>
      <c r="F153" s="1091">
        <v>0</v>
      </c>
      <c r="G153" s="1110"/>
      <c r="H153" s="1111"/>
      <c r="I153" s="950">
        <f t="shared" si="7"/>
        <v>0</v>
      </c>
      <c r="J153" s="1094"/>
      <c r="K153" s="1108"/>
      <c r="L153" s="1059"/>
      <c r="M153" s="1014"/>
      <c r="N153" s="855"/>
      <c r="O153" s="868"/>
      <c r="P153" s="868"/>
      <c r="Q153" s="1427"/>
      <c r="R153" s="868"/>
      <c r="S153" s="868"/>
      <c r="T153" s="868"/>
      <c r="U153" s="1034"/>
      <c r="V153" s="1034"/>
      <c r="W153" s="1035"/>
      <c r="X153" s="1037"/>
      <c r="Y153" s="1037"/>
      <c r="Z153" s="1037"/>
      <c r="AA153" s="1035"/>
      <c r="AB153" s="1037"/>
    </row>
    <row r="154" spans="2:28">
      <c r="B154" s="868"/>
      <c r="C154" s="842"/>
      <c r="D154" s="842" t="s">
        <v>836</v>
      </c>
      <c r="E154" s="1107"/>
      <c r="F154" s="1091">
        <v>0</v>
      </c>
      <c r="G154" s="1110"/>
      <c r="H154" s="1111"/>
      <c r="I154" s="950">
        <f t="shared" si="7"/>
        <v>0</v>
      </c>
      <c r="J154" s="1094"/>
      <c r="K154" s="1112"/>
      <c r="L154" s="1013"/>
      <c r="M154" s="1014"/>
      <c r="N154" s="855"/>
      <c r="O154" s="868"/>
      <c r="P154" s="868"/>
      <c r="Q154" s="1427"/>
      <c r="R154" s="868"/>
      <c r="S154" s="868"/>
      <c r="T154" s="868"/>
      <c r="U154" s="1034"/>
      <c r="V154" s="1034"/>
      <c r="W154" s="1035"/>
      <c r="X154" s="1037"/>
      <c r="Y154" s="1037"/>
      <c r="Z154" s="1037"/>
      <c r="AA154" s="1035"/>
      <c r="AB154" s="1037"/>
    </row>
    <row r="155" spans="2:28">
      <c r="B155" s="868"/>
      <c r="C155" s="842" t="s">
        <v>204</v>
      </c>
      <c r="D155" s="842"/>
      <c r="E155" s="1107"/>
      <c r="F155" s="1044"/>
      <c r="G155" s="1110">
        <f>SUM(F156:F158)</f>
        <v>0</v>
      </c>
      <c r="H155" s="1111"/>
      <c r="I155" s="950">
        <f t="shared" si="7"/>
        <v>0</v>
      </c>
      <c r="J155" s="1094"/>
      <c r="K155" s="1103"/>
      <c r="L155" s="1029"/>
      <c r="M155" s="1014"/>
      <c r="N155" s="855"/>
      <c r="O155" s="868"/>
      <c r="P155" s="868"/>
      <c r="Q155" s="1427"/>
      <c r="R155" s="868"/>
      <c r="S155" s="868"/>
      <c r="T155" s="868"/>
      <c r="U155" s="1034"/>
      <c r="V155" s="1034"/>
      <c r="W155" s="1035"/>
      <c r="X155" s="1037"/>
      <c r="Y155" s="1037"/>
      <c r="Z155" s="1037"/>
      <c r="AA155" s="1035"/>
      <c r="AB155" s="1037"/>
    </row>
    <row r="156" spans="2:28">
      <c r="B156" s="868"/>
      <c r="C156" s="842"/>
      <c r="D156" s="842" t="s">
        <v>864</v>
      </c>
      <c r="E156" s="1246">
        <v>0</v>
      </c>
      <c r="F156" s="1247"/>
      <c r="G156" s="1110"/>
      <c r="H156" s="1111"/>
      <c r="I156" s="950">
        <f t="shared" si="7"/>
        <v>0</v>
      </c>
      <c r="J156" s="1094"/>
      <c r="K156" s="1112"/>
      <c r="L156" s="1013"/>
      <c r="M156" s="1014"/>
      <c r="N156" s="855"/>
      <c r="O156" s="868"/>
      <c r="P156" s="868"/>
      <c r="Q156" s="1427"/>
      <c r="R156" s="868"/>
      <c r="S156" s="868"/>
      <c r="T156" s="868"/>
      <c r="U156" s="1034"/>
      <c r="V156" s="1034"/>
      <c r="W156" s="1035"/>
      <c r="X156" s="1037"/>
      <c r="Y156" s="1037"/>
      <c r="Z156" s="1037"/>
      <c r="AA156" s="1035"/>
      <c r="AB156" s="1037"/>
    </row>
    <row r="157" spans="2:28">
      <c r="B157" s="868"/>
      <c r="C157" s="842"/>
      <c r="D157" s="842" t="s">
        <v>865</v>
      </c>
      <c r="E157" s="1248"/>
      <c r="F157" s="1249"/>
      <c r="G157" s="1110"/>
      <c r="H157" s="1111"/>
      <c r="I157" s="950">
        <f t="shared" si="7"/>
        <v>0</v>
      </c>
      <c r="J157" s="1094"/>
      <c r="K157" s="1112"/>
      <c r="L157" s="1013"/>
      <c r="M157" s="1014"/>
      <c r="N157" s="855"/>
      <c r="O157" s="868"/>
      <c r="P157" s="868"/>
      <c r="Q157" s="1427"/>
      <c r="R157" s="868"/>
      <c r="S157" s="868"/>
      <c r="T157" s="868"/>
      <c r="U157" s="1034"/>
      <c r="V157" s="1034"/>
      <c r="W157" s="1035"/>
      <c r="X157" s="1037"/>
      <c r="Y157" s="1037"/>
      <c r="Z157" s="1037"/>
      <c r="AA157" s="1035"/>
      <c r="AB157" s="1037"/>
    </row>
    <row r="158" spans="2:28">
      <c r="B158" s="868"/>
      <c r="C158" s="842"/>
      <c r="D158" s="842" t="s">
        <v>865</v>
      </c>
      <c r="E158" s="1107"/>
      <c r="F158" s="1047"/>
      <c r="G158" s="1110"/>
      <c r="H158" s="1111"/>
      <c r="I158" s="950">
        <f t="shared" si="7"/>
        <v>0</v>
      </c>
      <c r="J158" s="1094"/>
      <c r="K158" s="1112"/>
      <c r="L158" s="1013"/>
      <c r="M158" s="1014"/>
      <c r="N158" s="855"/>
      <c r="O158" s="868"/>
      <c r="P158" s="868"/>
      <c r="Q158" s="1427"/>
      <c r="R158" s="868"/>
      <c r="S158" s="868"/>
      <c r="T158" s="868"/>
      <c r="U158" s="1034"/>
      <c r="V158" s="1034"/>
      <c r="W158" s="1035"/>
      <c r="X158" s="1037"/>
      <c r="Y158" s="1037"/>
      <c r="Z158" s="1037"/>
      <c r="AA158" s="1035"/>
      <c r="AB158" s="1037"/>
    </row>
    <row r="159" spans="2:28">
      <c r="B159" s="868"/>
      <c r="C159" s="949" t="s">
        <v>866</v>
      </c>
      <c r="D159" s="842"/>
      <c r="E159" s="1107"/>
      <c r="F159" s="1047"/>
      <c r="G159" s="1110"/>
      <c r="H159" s="1111"/>
      <c r="I159" s="950"/>
      <c r="J159" s="1094"/>
      <c r="K159" s="1112"/>
      <c r="L159" s="1013"/>
      <c r="M159" s="1516" t="s">
        <v>1036</v>
      </c>
      <c r="N159" s="855"/>
      <c r="O159" s="868"/>
      <c r="P159" s="868"/>
      <c r="Q159" s="1427"/>
      <c r="R159" s="868"/>
      <c r="S159" s="868"/>
      <c r="T159" s="868"/>
      <c r="U159" s="1034"/>
      <c r="V159" s="1034"/>
      <c r="W159" s="1035"/>
      <c r="X159" s="1037"/>
      <c r="Y159" s="1037"/>
      <c r="Z159" s="1037"/>
      <c r="AA159" s="1035"/>
      <c r="AB159" s="1037"/>
    </row>
    <row r="160" spans="2:28" ht="15.75">
      <c r="B160" s="855"/>
      <c r="C160" s="841" t="s">
        <v>965</v>
      </c>
      <c r="D160" s="842"/>
      <c r="E160" s="1107"/>
      <c r="F160" s="1044"/>
      <c r="G160" s="1110"/>
      <c r="H160" s="1111"/>
      <c r="I160" s="950">
        <f t="shared" si="6"/>
        <v>0</v>
      </c>
      <c r="J160" s="1094"/>
      <c r="K160" s="1112"/>
      <c r="L160" s="1013"/>
      <c r="M160" s="1104" t="s">
        <v>813</v>
      </c>
      <c r="N160" s="868" t="s">
        <v>963</v>
      </c>
      <c r="O160" s="855"/>
      <c r="P160" s="1169"/>
      <c r="Q160" s="855"/>
      <c r="R160" s="855"/>
      <c r="S160" s="855"/>
      <c r="T160" s="855"/>
      <c r="U160" s="1019"/>
      <c r="V160" s="1019"/>
      <c r="W160"/>
      <c r="X160" s="984"/>
      <c r="Y160" s="984"/>
      <c r="Z160" s="984"/>
      <c r="AA160"/>
      <c r="AB160" s="984"/>
    </row>
    <row r="161" spans="2:28" ht="15.75">
      <c r="B161" s="855"/>
      <c r="C161" s="842" t="s">
        <v>962</v>
      </c>
      <c r="D161" s="842"/>
      <c r="E161" s="1107"/>
      <c r="F161" s="1044"/>
      <c r="G161" s="1110">
        <f>N161</f>
        <v>77861.103074587794</v>
      </c>
      <c r="H161" s="1111"/>
      <c r="I161" s="950"/>
      <c r="J161" s="1094"/>
      <c r="K161" s="1112"/>
      <c r="L161" s="1013"/>
      <c r="M161" s="1343">
        <f>37500+(Data!C38*0.0005)</f>
        <v>77861.103074587794</v>
      </c>
      <c r="N161" s="1344">
        <v>77861.103074587794</v>
      </c>
      <c r="O161" s="855"/>
      <c r="P161" s="1169"/>
      <c r="Q161" s="855"/>
      <c r="R161" s="855"/>
      <c r="S161" s="855"/>
      <c r="T161" s="855"/>
      <c r="U161" s="1019"/>
      <c r="V161" s="1019"/>
      <c r="W161"/>
      <c r="X161" s="984"/>
      <c r="Y161" s="984"/>
      <c r="Z161" s="984"/>
      <c r="AA161"/>
      <c r="AB161" s="984"/>
    </row>
    <row r="162" spans="2:28" ht="15.75">
      <c r="B162" s="855"/>
      <c r="C162" s="842" t="s">
        <v>861</v>
      </c>
      <c r="D162" s="842"/>
      <c r="E162" s="1087"/>
      <c r="F162" s="1044"/>
      <c r="G162" s="1110">
        <f>N162</f>
        <v>807222.06149175589</v>
      </c>
      <c r="H162" s="1093"/>
      <c r="I162" s="950">
        <f t="shared" si="6"/>
        <v>3996.1488192661182</v>
      </c>
      <c r="J162" s="1094"/>
      <c r="K162" s="1244" t="s">
        <v>862</v>
      </c>
      <c r="L162" s="1245"/>
      <c r="M162" s="1343">
        <f>Data!C38*Data!C39</f>
        <v>807222.06149175589</v>
      </c>
      <c r="N162" s="1345">
        <v>807222.06149175589</v>
      </c>
      <c r="O162" s="1014"/>
      <c r="P162" s="1235"/>
      <c r="Q162" s="855"/>
      <c r="R162" s="855"/>
      <c r="S162" s="855"/>
      <c r="T162" s="855"/>
      <c r="U162" s="1019">
        <v>1</v>
      </c>
      <c r="V162" s="1019">
        <v>0</v>
      </c>
      <c r="W162"/>
      <c r="X162" s="984">
        <f>U162*G162</f>
        <v>807222.06149175589</v>
      </c>
      <c r="Y162" s="984"/>
      <c r="Z162" s="984">
        <f>V162*G162</f>
        <v>0</v>
      </c>
      <c r="AA162"/>
      <c r="AB162" s="984">
        <v>10278.484957469364</v>
      </c>
    </row>
    <row r="163" spans="2:28" ht="15.75">
      <c r="B163" s="855"/>
      <c r="C163" s="842" t="s">
        <v>863</v>
      </c>
      <c r="D163" s="842"/>
      <c r="E163" s="1107"/>
      <c r="F163" s="1044"/>
      <c r="G163" s="1110">
        <f>SUM(F164:F165)</f>
        <v>0</v>
      </c>
      <c r="H163" s="1111"/>
      <c r="I163" s="950">
        <f t="shared" si="6"/>
        <v>0</v>
      </c>
      <c r="J163" s="1094"/>
      <c r="K163" s="1103"/>
      <c r="L163" s="1029"/>
      <c r="M163" s="1558">
        <f>0.015*Data!C38*2</f>
        <v>2421666.1844752673</v>
      </c>
      <c r="N163" s="1344">
        <v>2421666.1844752673</v>
      </c>
      <c r="O163" s="855"/>
      <c r="P163" s="855"/>
      <c r="Q163" s="855"/>
      <c r="R163" s="855"/>
      <c r="S163" s="855"/>
      <c r="T163" s="855"/>
      <c r="U163" s="1019">
        <v>1</v>
      </c>
      <c r="V163" s="1019">
        <v>0</v>
      </c>
      <c r="W163"/>
      <c r="X163" s="984">
        <f>U163*G163</f>
        <v>0</v>
      </c>
      <c r="Y163" s="984"/>
      <c r="Z163" s="984">
        <f>V163*G163</f>
        <v>0</v>
      </c>
      <c r="AA163"/>
      <c r="AB163" s="984">
        <v>0</v>
      </c>
    </row>
    <row r="164" spans="2:28" ht="15.75">
      <c r="B164" s="855"/>
      <c r="C164" s="842"/>
      <c r="D164" s="842" t="s">
        <v>835</v>
      </c>
      <c r="E164" s="1107"/>
      <c r="F164" s="1091">
        <v>0</v>
      </c>
      <c r="G164" s="1110"/>
      <c r="H164" s="1111"/>
      <c r="I164" s="950">
        <f t="shared" si="6"/>
        <v>0</v>
      </c>
      <c r="J164" s="1094"/>
      <c r="K164" s="1108"/>
      <c r="L164" s="1059"/>
      <c r="M164" s="1014"/>
      <c r="N164" s="855"/>
      <c r="O164" s="855"/>
      <c r="P164" s="855"/>
      <c r="Q164" s="855"/>
      <c r="R164" s="855"/>
      <c r="S164" s="855"/>
      <c r="T164" s="855"/>
      <c r="U164" s="1019"/>
      <c r="V164" s="1019"/>
      <c r="W164"/>
      <c r="X164" s="984"/>
      <c r="Y164" s="984"/>
      <c r="Z164" s="984"/>
      <c r="AA164"/>
      <c r="AB164" s="984"/>
    </row>
    <row r="165" spans="2:28" ht="15.75">
      <c r="B165" s="855"/>
      <c r="C165" s="842"/>
      <c r="D165" s="842" t="s">
        <v>836</v>
      </c>
      <c r="E165" s="1107"/>
      <c r="F165" s="1091">
        <v>0</v>
      </c>
      <c r="G165" s="1110"/>
      <c r="H165" s="1111"/>
      <c r="I165" s="950">
        <f t="shared" si="6"/>
        <v>0</v>
      </c>
      <c r="J165" s="1094"/>
      <c r="K165" s="1112"/>
      <c r="L165" s="1013"/>
      <c r="M165" s="1516" t="s">
        <v>1056</v>
      </c>
      <c r="N165" s="855"/>
      <c r="O165" s="855"/>
      <c r="P165" s="855"/>
      <c r="Q165" s="855"/>
      <c r="R165" s="855"/>
      <c r="S165" s="855"/>
      <c r="T165" s="855"/>
      <c r="U165" s="1019"/>
      <c r="V165" s="1019"/>
      <c r="W165"/>
      <c r="X165" s="984"/>
      <c r="Y165" s="984"/>
      <c r="Z165" s="984"/>
      <c r="AA165"/>
      <c r="AB165" s="984"/>
    </row>
    <row r="166" spans="2:28" ht="15.75">
      <c r="B166" s="855"/>
      <c r="C166" s="842" t="s">
        <v>204</v>
      </c>
      <c r="D166" s="842"/>
      <c r="E166" s="1107"/>
      <c r="F166" s="1044"/>
      <c r="G166" s="1110">
        <f>SUM(F167:F169)</f>
        <v>2421666.1844752673</v>
      </c>
      <c r="H166" s="1111"/>
      <c r="I166" s="950">
        <f t="shared" si="6"/>
        <v>11988.446457798353</v>
      </c>
      <c r="J166" s="1094"/>
      <c r="K166" s="1103"/>
      <c r="L166" s="1029"/>
      <c r="M166" s="1104" t="s">
        <v>813</v>
      </c>
      <c r="N166" s="868" t="s">
        <v>963</v>
      </c>
      <c r="O166" s="855"/>
      <c r="P166" s="855"/>
      <c r="Q166" s="855"/>
      <c r="R166" s="855"/>
      <c r="S166" s="855"/>
      <c r="T166" s="855"/>
      <c r="U166" s="1019">
        <v>1</v>
      </c>
      <c r="V166" s="1019">
        <v>0</v>
      </c>
      <c r="W166"/>
      <c r="X166" s="984">
        <f>U166*G166</f>
        <v>2421666.1844752673</v>
      </c>
      <c r="Y166" s="984"/>
      <c r="Z166" s="984">
        <f>V166*G166</f>
        <v>0</v>
      </c>
      <c r="AA166"/>
      <c r="AB166" s="984">
        <v>0</v>
      </c>
    </row>
    <row r="167" spans="2:28" ht="15.75">
      <c r="B167" s="855"/>
      <c r="C167" s="842"/>
      <c r="D167" s="842" t="s">
        <v>1088</v>
      </c>
      <c r="E167" s="1246"/>
      <c r="F167" s="1247">
        <f>N163</f>
        <v>2421666.1844752673</v>
      </c>
      <c r="G167" s="1110"/>
      <c r="H167" s="1111"/>
      <c r="I167" s="950">
        <f t="shared" si="6"/>
        <v>0</v>
      </c>
      <c r="J167" s="1094"/>
      <c r="K167" s="1112"/>
      <c r="L167" s="1013"/>
      <c r="M167" s="1180">
        <f>Data!C20*24*(Data!C33/12)</f>
        <v>7488469.1265772367</v>
      </c>
      <c r="N167" s="1344"/>
      <c r="O167" s="855"/>
      <c r="P167" s="855"/>
      <c r="Q167" s="855"/>
      <c r="R167" s="855"/>
      <c r="S167" s="855"/>
      <c r="T167" s="855"/>
      <c r="U167" s="1019"/>
      <c r="V167" s="1019"/>
      <c r="W167"/>
      <c r="X167" s="984"/>
      <c r="Y167" s="984"/>
      <c r="Z167" s="984"/>
      <c r="AA167"/>
      <c r="AB167" s="984"/>
    </row>
    <row r="168" spans="2:28" ht="15.75">
      <c r="B168" s="855"/>
      <c r="C168" s="842"/>
      <c r="D168" s="842" t="s">
        <v>865</v>
      </c>
      <c r="E168" s="1248"/>
      <c r="F168" s="1249"/>
      <c r="G168" s="1110"/>
      <c r="H168" s="1111"/>
      <c r="I168" s="950">
        <f t="shared" si="6"/>
        <v>0</v>
      </c>
      <c r="J168" s="1094"/>
      <c r="K168" s="1112"/>
      <c r="L168" s="1013"/>
      <c r="M168" s="1343">
        <f>Data!C44*Data!C45</f>
        <v>1</v>
      </c>
      <c r="N168" s="1345"/>
      <c r="O168" s="855"/>
      <c r="P168" s="855"/>
      <c r="Q168" s="855"/>
      <c r="R168" s="855"/>
      <c r="S168" s="855"/>
      <c r="T168" s="855"/>
      <c r="U168" s="1019"/>
      <c r="V168" s="1019"/>
      <c r="W168"/>
      <c r="X168" s="984"/>
      <c r="Y168" s="984"/>
      <c r="Z168" s="984"/>
      <c r="AA168"/>
      <c r="AB168" s="984"/>
    </row>
    <row r="169" spans="2:28" ht="15.75">
      <c r="B169" s="855"/>
      <c r="C169" s="842"/>
      <c r="D169" s="842" t="s">
        <v>865</v>
      </c>
      <c r="E169" s="1107"/>
      <c r="F169" s="1047"/>
      <c r="G169" s="1110"/>
      <c r="H169" s="1111"/>
      <c r="I169" s="950">
        <f t="shared" si="6"/>
        <v>0</v>
      </c>
      <c r="J169" s="1094"/>
      <c r="K169" s="1112"/>
      <c r="L169" s="1013"/>
      <c r="M169" s="1014"/>
      <c r="N169" s="855"/>
      <c r="O169" s="855"/>
      <c r="P169" s="855"/>
      <c r="Q169" s="855"/>
      <c r="R169" s="855"/>
      <c r="S169" s="855"/>
      <c r="T169" s="855"/>
      <c r="U169" s="1019"/>
      <c r="V169" s="1019"/>
      <c r="W169"/>
      <c r="X169" s="984"/>
      <c r="Y169" s="984"/>
      <c r="Z169" s="984"/>
      <c r="AA169"/>
      <c r="AB169" s="984"/>
    </row>
    <row r="170" spans="2:28">
      <c r="B170" s="868"/>
      <c r="C170" s="949" t="s">
        <v>866</v>
      </c>
      <c r="D170" s="841"/>
      <c r="E170" s="1053"/>
      <c r="F170" s="1126"/>
      <c r="G170" s="1127">
        <f>SUM(G162:G166)</f>
        <v>3228888.2459670231</v>
      </c>
      <c r="H170" s="1128"/>
      <c r="I170" s="950">
        <f t="shared" si="6"/>
        <v>15984.595277064471</v>
      </c>
      <c r="J170" s="1242"/>
      <c r="K170" s="1129"/>
      <c r="L170" s="1130"/>
      <c r="M170" s="1104"/>
      <c r="N170" s="868"/>
      <c r="O170" s="868"/>
      <c r="P170" s="868"/>
      <c r="Q170" s="868"/>
      <c r="R170" s="868"/>
      <c r="S170" s="868"/>
      <c r="T170" s="868"/>
      <c r="U170" s="1034"/>
      <c r="V170" s="1034"/>
      <c r="W170" s="1035"/>
      <c r="X170" s="1037">
        <f>SUM(X162:X169)</f>
        <v>3228888.2459670231</v>
      </c>
      <c r="Y170" s="1037"/>
      <c r="Z170" s="1037">
        <f>SUM(Z162:Z169)</f>
        <v>0</v>
      </c>
      <c r="AA170" s="1035"/>
      <c r="AB170" s="1037">
        <v>10278.484957469364</v>
      </c>
    </row>
    <row r="171" spans="2:28" ht="15.75">
      <c r="B171" s="855"/>
      <c r="C171" s="841" t="s">
        <v>118</v>
      </c>
      <c r="D171" s="842"/>
      <c r="E171" s="1107"/>
      <c r="F171" s="1044"/>
      <c r="G171" s="1110"/>
      <c r="H171" s="1111"/>
      <c r="I171" s="950">
        <f t="shared" si="6"/>
        <v>0</v>
      </c>
      <c r="J171" s="1094"/>
      <c r="K171" s="1112"/>
      <c r="L171" s="1013"/>
      <c r="M171" s="1014"/>
      <c r="N171" s="855"/>
      <c r="O171" s="855"/>
      <c r="P171" s="855"/>
      <c r="Q171" s="855"/>
      <c r="R171" s="855"/>
      <c r="S171" s="855"/>
      <c r="T171" s="855"/>
      <c r="U171" s="1019"/>
      <c r="V171" s="1019"/>
      <c r="W171"/>
      <c r="X171" s="984"/>
      <c r="Y171" s="984"/>
      <c r="Z171" s="984"/>
      <c r="AA171"/>
      <c r="AB171" s="984"/>
    </row>
    <row r="172" spans="2:28" ht="15.75">
      <c r="B172" s="855"/>
      <c r="C172" s="842" t="s">
        <v>867</v>
      </c>
      <c r="D172" s="842"/>
      <c r="E172" s="1107"/>
      <c r="F172" s="1044"/>
      <c r="G172" s="1110">
        <v>60000</v>
      </c>
      <c r="H172" s="1111"/>
      <c r="I172" s="950">
        <f t="shared" si="6"/>
        <v>297.02970297029702</v>
      </c>
      <c r="J172" s="1094"/>
      <c r="K172" s="1125"/>
      <c r="L172" s="1045"/>
      <c r="M172" s="1014"/>
      <c r="N172" s="855"/>
      <c r="O172" s="855"/>
      <c r="P172" s="855"/>
      <c r="Q172" s="855"/>
      <c r="R172" s="855"/>
      <c r="S172" s="855"/>
      <c r="T172" s="855"/>
      <c r="U172" s="1019">
        <v>1</v>
      </c>
      <c r="V172" s="1019">
        <v>0</v>
      </c>
      <c r="W172"/>
      <c r="X172" s="984">
        <f>U172*G172</f>
        <v>60000</v>
      </c>
      <c r="Y172" s="984"/>
      <c r="Z172" s="984">
        <f>V172*G172</f>
        <v>0</v>
      </c>
      <c r="AA172"/>
      <c r="AB172" s="984">
        <v>1200</v>
      </c>
    </row>
    <row r="173" spans="2:28" ht="15.75">
      <c r="B173" s="855"/>
      <c r="C173" s="842" t="s">
        <v>868</v>
      </c>
      <c r="D173" s="842"/>
      <c r="E173" s="1107"/>
      <c r="F173" s="1044"/>
      <c r="G173" s="1110">
        <f>SUM(F174:F175)</f>
        <v>50000</v>
      </c>
      <c r="H173" s="1111"/>
      <c r="I173" s="950">
        <f t="shared" si="6"/>
        <v>247.52475247524754</v>
      </c>
      <c r="J173" s="1094"/>
      <c r="K173" s="1112"/>
      <c r="L173" s="1013"/>
      <c r="M173" s="1104"/>
      <c r="N173" s="868"/>
      <c r="O173" s="868"/>
      <c r="P173" s="855"/>
      <c r="Q173" s="855"/>
      <c r="R173" s="855"/>
      <c r="S173" s="855"/>
      <c r="T173" s="855"/>
      <c r="U173" s="1019">
        <v>1</v>
      </c>
      <c r="V173" s="1019">
        <v>0</v>
      </c>
      <c r="W173"/>
      <c r="X173" s="984">
        <f>U173*G173</f>
        <v>50000</v>
      </c>
      <c r="Y173" s="984"/>
      <c r="Z173" s="984">
        <f>V173*G173</f>
        <v>0</v>
      </c>
      <c r="AA173"/>
      <c r="AB173" s="984">
        <v>1000</v>
      </c>
    </row>
    <row r="174" spans="2:28" ht="15.75">
      <c r="B174" s="855"/>
      <c r="C174" s="842"/>
      <c r="D174" s="842" t="s">
        <v>869</v>
      </c>
      <c r="E174" s="1107"/>
      <c r="F174" s="1250">
        <v>50000</v>
      </c>
      <c r="G174" s="1251"/>
      <c r="H174" s="1050"/>
      <c r="I174" s="950">
        <f t="shared" si="6"/>
        <v>0</v>
      </c>
      <c r="J174" s="1094"/>
      <c r="K174" s="1252"/>
      <c r="L174" s="1119"/>
      <c r="M174" s="855"/>
      <c r="N174"/>
      <c r="O174"/>
      <c r="P174" s="855"/>
      <c r="Q174" s="855"/>
      <c r="R174" s="855"/>
      <c r="S174" s="855"/>
      <c r="T174" s="855"/>
      <c r="U174" s="1019"/>
      <c r="V174" s="1019"/>
      <c r="W174"/>
      <c r="X174" s="984"/>
      <c r="Y174" s="984"/>
      <c r="Z174" s="984"/>
      <c r="AA174"/>
      <c r="AB174" s="984"/>
    </row>
    <row r="175" spans="2:28" ht="15.75">
      <c r="B175" s="855"/>
      <c r="C175" s="842"/>
      <c r="D175" s="842" t="s">
        <v>204</v>
      </c>
      <c r="E175" s="1107"/>
      <c r="F175" s="1091">
        <v>0</v>
      </c>
      <c r="G175" s="1110"/>
      <c r="H175" s="1111"/>
      <c r="I175" s="950">
        <f t="shared" si="6"/>
        <v>0</v>
      </c>
      <c r="J175" s="1094"/>
      <c r="K175" s="1112" t="s">
        <v>870</v>
      </c>
      <c r="L175" s="1013"/>
      <c r="M175" s="1014"/>
      <c r="N175" s="855"/>
      <c r="O175" s="855"/>
      <c r="P175" s="855"/>
      <c r="Q175" s="855"/>
      <c r="R175" s="855"/>
      <c r="S175" s="855"/>
      <c r="T175" s="855"/>
      <c r="U175" s="1019"/>
      <c r="V175" s="1019"/>
      <c r="W175"/>
      <c r="X175" s="984"/>
      <c r="Y175" s="984"/>
      <c r="Z175" s="984"/>
      <c r="AA175"/>
      <c r="AB175" s="984"/>
    </row>
    <row r="176" spans="2:28">
      <c r="B176" s="868"/>
      <c r="C176" s="949" t="s">
        <v>871</v>
      </c>
      <c r="D176" s="841"/>
      <c r="E176" s="1053"/>
      <c r="F176" s="1126"/>
      <c r="G176" s="1127">
        <f>SUM(G172:G173)</f>
        <v>110000</v>
      </c>
      <c r="H176" s="1128"/>
      <c r="I176" s="950">
        <f t="shared" si="6"/>
        <v>544.55445544554459</v>
      </c>
      <c r="J176" s="1242"/>
      <c r="K176" s="1103"/>
      <c r="L176" s="1029"/>
      <c r="M176" s="1104"/>
      <c r="N176" s="868"/>
      <c r="O176" s="868"/>
      <c r="P176" s="868"/>
      <c r="Q176" s="868"/>
      <c r="R176" s="868"/>
      <c r="S176" s="868"/>
      <c r="T176" s="868"/>
      <c r="U176" s="1034"/>
      <c r="V176" s="1034"/>
      <c r="W176" s="1035"/>
      <c r="X176" s="1037">
        <f>SUM(X172:X175)</f>
        <v>110000</v>
      </c>
      <c r="Y176" s="1037"/>
      <c r="Z176" s="1037">
        <f>SUM(Z172:Z175)</f>
        <v>0</v>
      </c>
      <c r="AA176" s="1035"/>
      <c r="AB176" s="1037">
        <v>2200</v>
      </c>
    </row>
    <row r="177" spans="2:28" ht="15.75">
      <c r="B177" s="855"/>
      <c r="C177" s="841" t="s">
        <v>124</v>
      </c>
      <c r="D177" s="842"/>
      <c r="E177" s="1107"/>
      <c r="F177" s="1044"/>
      <c r="G177" s="1110"/>
      <c r="H177" s="1111"/>
      <c r="I177" s="950">
        <f t="shared" si="6"/>
        <v>0</v>
      </c>
      <c r="J177" s="1094"/>
      <c r="K177" s="1112"/>
      <c r="L177" s="1013"/>
      <c r="M177" s="1014"/>
      <c r="N177" s="855"/>
      <c r="O177" s="855"/>
      <c r="P177" s="855"/>
      <c r="Q177" s="855"/>
      <c r="R177" s="855"/>
      <c r="S177" s="855"/>
      <c r="T177" s="855"/>
      <c r="U177" s="1019"/>
      <c r="V177" s="1019"/>
      <c r="W177"/>
      <c r="X177" s="984"/>
      <c r="Y177" s="984"/>
      <c r="Z177" s="984"/>
      <c r="AA177"/>
      <c r="AB177" s="984"/>
    </row>
    <row r="178" spans="2:28" ht="15.75">
      <c r="B178" s="855"/>
      <c r="C178" s="842" t="s">
        <v>872</v>
      </c>
      <c r="D178" s="842"/>
      <c r="E178" s="1253">
        <v>3</v>
      </c>
      <c r="F178" s="1044"/>
      <c r="G178" s="1092">
        <f>E178*(-'Cash Flow'!E18/12)-'Cash Flow'!E22</f>
        <v>5211090.7239028849</v>
      </c>
      <c r="H178" s="1093"/>
      <c r="I178" s="950">
        <f t="shared" si="6"/>
        <v>25797.478831202399</v>
      </c>
      <c r="J178" s="1094"/>
      <c r="K178" s="1125" t="s">
        <v>873</v>
      </c>
      <c r="L178" s="1045"/>
      <c r="M178" s="1014"/>
      <c r="N178" s="855"/>
      <c r="O178" s="855"/>
      <c r="P178" s="855"/>
      <c r="Q178" s="855"/>
      <c r="R178" s="855"/>
      <c r="S178" s="855"/>
      <c r="T178" s="855"/>
      <c r="U178" s="1121">
        <v>1</v>
      </c>
      <c r="V178" s="1019">
        <f>1-U178</f>
        <v>0</v>
      </c>
      <c r="W178"/>
      <c r="X178" s="984">
        <f>U178*G178</f>
        <v>5211090.7239028849</v>
      </c>
      <c r="Y178" s="984"/>
      <c r="Z178" s="984">
        <f>V178*G178</f>
        <v>0</v>
      </c>
      <c r="AA178"/>
      <c r="AB178" s="984">
        <v>67715.488022592835</v>
      </c>
    </row>
    <row r="179" spans="2:28" ht="23.25">
      <c r="B179" s="855"/>
      <c r="C179" s="888" t="s">
        <v>874</v>
      </c>
      <c r="D179" s="888"/>
      <c r="E179" s="1174"/>
      <c r="F179" s="1254" t="s">
        <v>875</v>
      </c>
      <c r="G179" s="1202" t="b">
        <v>0</v>
      </c>
      <c r="H179" s="1203"/>
      <c r="I179" s="950">
        <f t="shared" si="6"/>
        <v>0</v>
      </c>
      <c r="J179" s="1177"/>
      <c r="K179" s="1179" t="s">
        <v>876</v>
      </c>
      <c r="L179" s="1073"/>
      <c r="M179" s="1014"/>
      <c r="N179" s="855"/>
      <c r="O179" s="855"/>
      <c r="P179" s="855"/>
      <c r="Q179" s="855"/>
      <c r="R179" s="855"/>
      <c r="S179" s="855"/>
      <c r="T179" s="855"/>
      <c r="U179" s="1121">
        <v>1</v>
      </c>
      <c r="V179" s="1019">
        <f>1-U179</f>
        <v>0</v>
      </c>
      <c r="W179"/>
      <c r="X179" s="984">
        <f>U179*G179</f>
        <v>0</v>
      </c>
      <c r="Y179" s="984"/>
      <c r="Z179" s="984">
        <f>V179*G179</f>
        <v>0</v>
      </c>
      <c r="AA179"/>
      <c r="AB179" s="984">
        <v>0</v>
      </c>
    </row>
    <row r="180" spans="2:28" ht="22.5">
      <c r="B180" s="855"/>
      <c r="C180" s="888" t="s">
        <v>253</v>
      </c>
      <c r="D180" s="888"/>
      <c r="E180" s="1107"/>
      <c r="F180" s="1044"/>
      <c r="G180" s="1255">
        <v>0</v>
      </c>
      <c r="H180" s="1111"/>
      <c r="I180" s="950">
        <f t="shared" si="6"/>
        <v>0</v>
      </c>
      <c r="J180" s="1094"/>
      <c r="K180" s="1112" t="s">
        <v>877</v>
      </c>
      <c r="L180" s="1013"/>
      <c r="M180" s="1014"/>
      <c r="N180" s="855"/>
      <c r="O180" s="855"/>
      <c r="P180" s="855"/>
      <c r="Q180" s="855"/>
      <c r="R180" s="855"/>
      <c r="S180" s="855"/>
      <c r="T180" s="855"/>
      <c r="U180" s="1121">
        <v>1</v>
      </c>
      <c r="V180" s="1019">
        <f>1-U180</f>
        <v>0</v>
      </c>
      <c r="W180"/>
      <c r="X180" s="984">
        <f>U180*G180</f>
        <v>0</v>
      </c>
      <c r="Y180" s="984"/>
      <c r="Z180" s="984">
        <f>V180*G180</f>
        <v>0</v>
      </c>
      <c r="AA180"/>
      <c r="AB180" s="984"/>
    </row>
    <row r="181" spans="2:28">
      <c r="B181" s="868"/>
      <c r="C181" s="949" t="s">
        <v>878</v>
      </c>
      <c r="D181" s="841"/>
      <c r="E181" s="1053"/>
      <c r="F181" s="1126"/>
      <c r="G181" s="1127">
        <f>SUM(G178:G180)</f>
        <v>5211090.7239028849</v>
      </c>
      <c r="H181" s="1128"/>
      <c r="I181" s="950">
        <f t="shared" si="6"/>
        <v>25797.478831202399</v>
      </c>
      <c r="J181" s="1242"/>
      <c r="K181" s="1103"/>
      <c r="L181" s="1029"/>
      <c r="M181" s="1104"/>
      <c r="N181" s="868"/>
      <c r="O181" s="868"/>
      <c r="P181" s="868"/>
      <c r="Q181" s="868"/>
      <c r="R181" s="868"/>
      <c r="S181" s="868"/>
      <c r="T181" s="868"/>
      <c r="U181" s="1034"/>
      <c r="V181" s="1034"/>
      <c r="W181" s="1035"/>
      <c r="X181" s="1037">
        <f>SUM(X178:X180)</f>
        <v>5211090.7239028849</v>
      </c>
      <c r="Y181" s="1037"/>
      <c r="Z181" s="1037">
        <f>SUM(Z178:Z180)</f>
        <v>0</v>
      </c>
      <c r="AA181" s="1035"/>
      <c r="AB181" s="1037">
        <v>67715.488022592835</v>
      </c>
    </row>
    <row r="182" spans="2:28" ht="15.75">
      <c r="B182" s="855"/>
      <c r="C182" s="841" t="s">
        <v>409</v>
      </c>
      <c r="D182" s="842"/>
      <c r="E182" s="1107"/>
      <c r="F182" s="1044"/>
      <c r="G182" s="1110"/>
      <c r="H182" s="1111"/>
      <c r="I182" s="950">
        <f t="shared" si="6"/>
        <v>0</v>
      </c>
      <c r="J182" s="1094"/>
      <c r="K182" s="1112"/>
      <c r="L182" s="1013"/>
      <c r="M182" s="1014"/>
      <c r="N182" s="855"/>
      <c r="O182" s="855"/>
      <c r="P182" s="855"/>
      <c r="Q182" s="855"/>
      <c r="R182" s="855"/>
      <c r="S182" s="855"/>
      <c r="T182" s="855"/>
      <c r="U182" s="1019"/>
      <c r="V182" s="1019"/>
      <c r="W182"/>
      <c r="X182" s="984"/>
      <c r="Y182" s="984"/>
      <c r="Z182" s="984"/>
      <c r="AA182"/>
      <c r="AB182" s="984"/>
    </row>
    <row r="183" spans="2:28" ht="15.75">
      <c r="B183" s="855"/>
      <c r="C183" s="842" t="s">
        <v>879</v>
      </c>
      <c r="D183" s="842"/>
      <c r="E183" s="1107"/>
      <c r="F183" s="1044"/>
      <c r="G183" s="1110">
        <f>SUM(F184:F185)</f>
        <v>13000</v>
      </c>
      <c r="H183" s="1111"/>
      <c r="I183" s="950">
        <f t="shared" si="6"/>
        <v>64.356435643564353</v>
      </c>
      <c r="J183" s="1094"/>
      <c r="K183" s="1112"/>
      <c r="L183" s="1013"/>
      <c r="M183" s="1014"/>
      <c r="N183" s="855"/>
      <c r="O183" s="855"/>
      <c r="P183" s="855"/>
      <c r="Q183" s="855"/>
      <c r="R183" s="855"/>
      <c r="S183" s="855"/>
      <c r="T183" s="855"/>
      <c r="U183" s="1019">
        <v>1</v>
      </c>
      <c r="V183" s="1019">
        <v>0</v>
      </c>
      <c r="W183"/>
      <c r="X183" s="984">
        <f>U183*G183</f>
        <v>13000</v>
      </c>
      <c r="Y183" s="984"/>
      <c r="Z183" s="984">
        <f>V183*G183</f>
        <v>0</v>
      </c>
      <c r="AA183"/>
      <c r="AB183" s="984">
        <v>260</v>
      </c>
    </row>
    <row r="184" spans="2:28" ht="15.75">
      <c r="B184" s="855"/>
      <c r="C184" s="1090"/>
      <c r="D184" s="842" t="s">
        <v>15</v>
      </c>
      <c r="E184" s="1107"/>
      <c r="F184" s="1091">
        <v>8000</v>
      </c>
      <c r="G184" s="1110"/>
      <c r="H184" s="1111"/>
      <c r="I184" s="950">
        <f t="shared" si="6"/>
        <v>0</v>
      </c>
      <c r="J184" s="1094"/>
      <c r="K184" s="1103"/>
      <c r="L184" s="1029"/>
      <c r="M184" s="1014"/>
      <c r="N184" s="855"/>
      <c r="O184" s="855"/>
      <c r="P184" s="855"/>
      <c r="Q184" s="855"/>
      <c r="R184" s="855"/>
      <c r="S184" s="855"/>
      <c r="T184" s="855"/>
      <c r="U184" s="1019"/>
      <c r="V184" s="1019"/>
      <c r="W184"/>
      <c r="X184" s="984"/>
      <c r="Y184" s="984"/>
      <c r="Z184" s="984"/>
      <c r="AA184"/>
      <c r="AB184" s="984"/>
    </row>
    <row r="185" spans="2:28" ht="15.75">
      <c r="B185" s="855"/>
      <c r="C185" s="1090"/>
      <c r="D185" s="842" t="s">
        <v>880</v>
      </c>
      <c r="E185" s="1107"/>
      <c r="F185" s="1091">
        <v>5000</v>
      </c>
      <c r="G185" s="1110"/>
      <c r="H185" s="1111"/>
      <c r="I185" s="950">
        <f t="shared" si="6"/>
        <v>0</v>
      </c>
      <c r="J185" s="1094"/>
      <c r="K185" s="1103"/>
      <c r="L185" s="1029"/>
      <c r="M185" s="1014"/>
      <c r="N185" s="855"/>
      <c r="O185" s="855"/>
      <c r="P185" s="855"/>
      <c r="Q185" s="855"/>
      <c r="R185" s="855"/>
      <c r="S185" s="855"/>
      <c r="T185" s="855"/>
      <c r="U185" s="1019"/>
      <c r="V185" s="1019"/>
      <c r="W185"/>
      <c r="X185" s="984"/>
      <c r="Y185" s="984"/>
      <c r="Z185" s="984"/>
      <c r="AA185"/>
      <c r="AB185" s="984"/>
    </row>
    <row r="186" spans="2:28" ht="15.75">
      <c r="B186" s="855"/>
      <c r="C186" s="842" t="s">
        <v>137</v>
      </c>
      <c r="D186" s="842"/>
      <c r="E186" s="1107"/>
      <c r="F186" s="1044"/>
      <c r="G186" s="1256">
        <v>12000</v>
      </c>
      <c r="H186" s="1257"/>
      <c r="I186" s="950">
        <f t="shared" si="6"/>
        <v>59.405940594059409</v>
      </c>
      <c r="J186" s="1094"/>
      <c r="K186" s="1179"/>
      <c r="L186" s="1073"/>
      <c r="M186" s="1014"/>
      <c r="N186" s="855"/>
      <c r="O186" s="855"/>
      <c r="P186" s="855"/>
      <c r="Q186" s="855"/>
      <c r="R186" s="855"/>
      <c r="S186" s="855"/>
      <c r="T186" s="855"/>
      <c r="U186" s="1121">
        <v>1</v>
      </c>
      <c r="V186" s="1019">
        <f>1-U186</f>
        <v>0</v>
      </c>
      <c r="W186"/>
      <c r="X186" s="984">
        <f>U186*G186</f>
        <v>12000</v>
      </c>
      <c r="Y186" s="984"/>
      <c r="Z186" s="984">
        <f>V186*G186</f>
        <v>0</v>
      </c>
      <c r="AA186"/>
      <c r="AB186" s="984">
        <v>240</v>
      </c>
    </row>
    <row r="187" spans="2:28" ht="15.75">
      <c r="B187" s="855"/>
      <c r="C187" s="842" t="s">
        <v>881</v>
      </c>
      <c r="D187" s="842"/>
      <c r="E187" s="847"/>
      <c r="F187" s="1044"/>
      <c r="G187" s="1258">
        <v>0</v>
      </c>
      <c r="H187" s="1259"/>
      <c r="I187" s="950">
        <f t="shared" si="6"/>
        <v>0</v>
      </c>
      <c r="J187" s="1094"/>
      <c r="K187" s="1112"/>
      <c r="L187" s="1013"/>
      <c r="M187" s="1014"/>
      <c r="N187" s="855"/>
      <c r="O187" s="855"/>
      <c r="P187" s="855"/>
      <c r="Q187" s="855"/>
      <c r="R187" s="855"/>
      <c r="S187" s="855"/>
      <c r="T187" s="855"/>
      <c r="U187" s="1019">
        <v>1</v>
      </c>
      <c r="V187" s="1019">
        <v>0</v>
      </c>
      <c r="W187"/>
      <c r="X187" s="984">
        <f>U187*G187</f>
        <v>0</v>
      </c>
      <c r="Y187" s="984"/>
      <c r="Z187" s="984">
        <f>V187*G187</f>
        <v>0</v>
      </c>
      <c r="AA187"/>
      <c r="AB187" s="984">
        <v>0</v>
      </c>
    </row>
    <row r="188" spans="2:28" ht="15.75">
      <c r="B188" s="855"/>
      <c r="C188" s="842" t="s">
        <v>882</v>
      </c>
      <c r="D188" s="842"/>
      <c r="E188" s="847"/>
      <c r="F188" s="1044"/>
      <c r="G188" s="1258">
        <v>0</v>
      </c>
      <c r="H188" s="1259"/>
      <c r="I188" s="950">
        <f t="shared" si="6"/>
        <v>0</v>
      </c>
      <c r="J188" s="1094"/>
      <c r="K188" s="1103"/>
      <c r="L188" s="1029"/>
      <c r="M188" s="1014"/>
      <c r="N188" s="855"/>
      <c r="O188" s="855"/>
      <c r="P188" s="855"/>
      <c r="Q188" s="855"/>
      <c r="R188" s="855"/>
      <c r="S188" s="855"/>
      <c r="T188" s="855"/>
      <c r="U188" s="1019">
        <v>1</v>
      </c>
      <c r="V188" s="1019">
        <v>0</v>
      </c>
      <c r="W188"/>
      <c r="X188" s="984">
        <f>U188*G188</f>
        <v>0</v>
      </c>
      <c r="Y188" s="984"/>
      <c r="Z188" s="984">
        <f>V188*G188</f>
        <v>0</v>
      </c>
      <c r="AA188"/>
      <c r="AB188" s="984">
        <v>0</v>
      </c>
    </row>
    <row r="189" spans="2:28">
      <c r="B189" s="868"/>
      <c r="C189" s="949" t="s">
        <v>883</v>
      </c>
      <c r="D189" s="841"/>
      <c r="E189" s="1053"/>
      <c r="F189" s="1126"/>
      <c r="G189" s="1127">
        <f>SUM(G183:G188)</f>
        <v>25000</v>
      </c>
      <c r="H189" s="1128"/>
      <c r="I189" s="950">
        <f t="shared" si="6"/>
        <v>123.76237623762377</v>
      </c>
      <c r="J189" s="1242"/>
      <c r="K189" s="1118"/>
      <c r="L189" s="1260"/>
      <c r="M189" s="1104"/>
      <c r="N189" s="868"/>
      <c r="O189" s="868"/>
      <c r="P189" s="868"/>
      <c r="Q189" s="868"/>
      <c r="R189" s="868"/>
      <c r="S189" s="868"/>
      <c r="T189" s="868"/>
      <c r="U189" s="1034"/>
      <c r="V189" s="1034"/>
      <c r="W189" s="1035"/>
      <c r="X189" s="1037">
        <f>SUM(X183:X188)</f>
        <v>25000</v>
      </c>
      <c r="Y189" s="1037"/>
      <c r="Z189" s="1037">
        <f>SUM(Z183:Z188)</f>
        <v>0</v>
      </c>
      <c r="AA189" s="1035"/>
      <c r="AB189" s="1037">
        <v>500</v>
      </c>
    </row>
    <row r="190" spans="2:28" ht="15.75">
      <c r="B190" s="855"/>
      <c r="C190" s="841" t="s">
        <v>410</v>
      </c>
      <c r="D190" s="842"/>
      <c r="E190" s="847"/>
      <c r="F190" s="1044"/>
      <c r="G190" s="1110"/>
      <c r="H190" s="1111"/>
      <c r="I190" s="950">
        <f t="shared" si="6"/>
        <v>0</v>
      </c>
      <c r="J190" s="1094"/>
      <c r="K190" s="1261"/>
      <c r="L190" s="1262"/>
      <c r="M190" s="1168" t="s">
        <v>813</v>
      </c>
      <c r="N190" s="1169" t="s">
        <v>814</v>
      </c>
      <c r="O190" s="1169"/>
      <c r="P190" s="855"/>
      <c r="Q190" s="855"/>
      <c r="R190" s="855"/>
      <c r="S190" s="855"/>
      <c r="T190" s="855"/>
      <c r="U190" s="1019"/>
      <c r="V190" s="1019"/>
      <c r="W190"/>
      <c r="X190" s="984"/>
      <c r="Y190" s="984"/>
      <c r="Z190" s="984"/>
      <c r="AA190"/>
      <c r="AB190" s="984"/>
    </row>
    <row r="191" spans="2:28" ht="15.75">
      <c r="B191" s="855"/>
      <c r="C191" s="1263" t="s">
        <v>884</v>
      </c>
      <c r="D191" s="842"/>
      <c r="E191" s="843"/>
      <c r="F191" s="1044"/>
      <c r="G191" s="1092">
        <f>N191</f>
        <v>0</v>
      </c>
      <c r="H191" s="1093"/>
      <c r="I191" s="950">
        <f t="shared" si="6"/>
        <v>0</v>
      </c>
      <c r="J191" s="1094"/>
      <c r="K191" s="1112"/>
      <c r="L191" s="1013"/>
      <c r="M191" s="1186">
        <v>0</v>
      </c>
      <c r="N191" s="1172">
        <v>0</v>
      </c>
      <c r="O191" s="1173"/>
      <c r="P191" s="855"/>
      <c r="Q191" s="855"/>
      <c r="R191" s="855"/>
      <c r="S191" s="855"/>
      <c r="T191" s="855"/>
      <c r="U191" s="1121">
        <v>1</v>
      </c>
      <c r="V191" s="1019">
        <f>1-U191</f>
        <v>0</v>
      </c>
      <c r="W191"/>
      <c r="X191" s="984">
        <f>U191*G191</f>
        <v>0</v>
      </c>
      <c r="Y191" s="984"/>
      <c r="Z191" s="984">
        <f>V191*G191</f>
        <v>0</v>
      </c>
      <c r="AA191"/>
      <c r="AB191" s="984">
        <v>0</v>
      </c>
    </row>
    <row r="192" spans="2:28" ht="15.75">
      <c r="B192" s="855"/>
      <c r="C192" s="842" t="s">
        <v>411</v>
      </c>
      <c r="D192" s="1263"/>
      <c r="E192" s="847"/>
      <c r="F192" s="1044"/>
      <c r="G192" s="1110">
        <f>SUM(F193:F199)</f>
        <v>14500</v>
      </c>
      <c r="H192" s="1111"/>
      <c r="I192" s="950">
        <f t="shared" si="6"/>
        <v>71.78217821782178</v>
      </c>
      <c r="J192" s="1094"/>
      <c r="K192" s="1112"/>
      <c r="L192" s="1013"/>
      <c r="M192" s="1014"/>
      <c r="N192" s="855"/>
      <c r="O192" s="855"/>
      <c r="P192" s="855"/>
      <c r="Q192" s="855"/>
      <c r="R192" s="855"/>
      <c r="S192" s="855"/>
      <c r="T192" s="855"/>
      <c r="U192" s="1019">
        <v>1</v>
      </c>
      <c r="V192" s="1019">
        <v>0</v>
      </c>
      <c r="W192"/>
      <c r="X192" s="984">
        <f>U192*G192</f>
        <v>14500</v>
      </c>
      <c r="Y192" s="984"/>
      <c r="Z192" s="984">
        <f>V192*G192</f>
        <v>0</v>
      </c>
      <c r="AA192"/>
      <c r="AB192" s="984">
        <v>290</v>
      </c>
    </row>
    <row r="193" spans="2:28" ht="15.75">
      <c r="B193" s="855"/>
      <c r="C193" s="842"/>
      <c r="D193" s="1263" t="s">
        <v>885</v>
      </c>
      <c r="E193" s="847"/>
      <c r="F193" s="1091">
        <v>2500</v>
      </c>
      <c r="G193" s="1110"/>
      <c r="H193" s="1111"/>
      <c r="I193" s="950">
        <f t="shared" si="6"/>
        <v>0</v>
      </c>
      <c r="J193" s="1094"/>
      <c r="K193" s="1103"/>
      <c r="L193" s="1029"/>
      <c r="M193" s="1014"/>
      <c r="N193" s="855"/>
      <c r="O193" s="855"/>
      <c r="P193" s="855"/>
      <c r="Q193" s="855"/>
      <c r="R193" s="855"/>
      <c r="S193" s="855"/>
      <c r="T193" s="855"/>
      <c r="U193" s="1019"/>
      <c r="V193" s="1019"/>
      <c r="W193"/>
      <c r="X193" s="984"/>
      <c r="Y193" s="984"/>
      <c r="Z193" s="984"/>
      <c r="AA193"/>
      <c r="AB193" s="984"/>
    </row>
    <row r="194" spans="2:28" ht="15.75">
      <c r="B194" s="855"/>
      <c r="C194" s="842"/>
      <c r="D194" s="1263" t="s">
        <v>886</v>
      </c>
      <c r="E194" s="847"/>
      <c r="F194" s="1091">
        <v>0</v>
      </c>
      <c r="G194" s="1110"/>
      <c r="H194" s="1111"/>
      <c r="I194" s="950">
        <f t="shared" si="6"/>
        <v>0</v>
      </c>
      <c r="J194" s="1094"/>
      <c r="K194" s="1103"/>
      <c r="L194" s="1029"/>
      <c r="M194" s="1014"/>
      <c r="N194" s="855"/>
      <c r="O194" s="855"/>
      <c r="P194" s="855"/>
      <c r="Q194" s="855"/>
      <c r="R194" s="855"/>
      <c r="S194" s="855"/>
      <c r="T194" s="855"/>
      <c r="U194" s="1019"/>
      <c r="V194" s="1019"/>
      <c r="W194"/>
      <c r="X194" s="984"/>
      <c r="Y194" s="984"/>
      <c r="Z194" s="984"/>
      <c r="AA194"/>
      <c r="AB194" s="984"/>
    </row>
    <row r="195" spans="2:28" ht="15.75">
      <c r="B195" s="855"/>
      <c r="C195" s="842"/>
      <c r="D195" s="1263" t="s">
        <v>887</v>
      </c>
      <c r="E195" s="847"/>
      <c r="F195" s="1091">
        <v>12000</v>
      </c>
      <c r="G195" s="1110"/>
      <c r="H195" s="1111"/>
      <c r="I195" s="950">
        <f t="shared" si="6"/>
        <v>0</v>
      </c>
      <c r="J195" s="1094"/>
      <c r="K195" s="1125"/>
      <c r="L195" s="1045"/>
      <c r="M195" s="1014"/>
      <c r="N195" s="855"/>
      <c r="O195" s="855"/>
      <c r="P195" s="855"/>
      <c r="Q195" s="855"/>
      <c r="R195" s="855"/>
      <c r="S195" s="855"/>
      <c r="T195" s="855"/>
      <c r="U195" s="1019"/>
      <c r="V195" s="1019"/>
      <c r="W195"/>
      <c r="X195" s="984"/>
      <c r="Y195" s="984"/>
      <c r="Z195" s="984"/>
      <c r="AA195"/>
      <c r="AB195" s="984"/>
    </row>
    <row r="196" spans="2:28" ht="15.75">
      <c r="B196" s="855"/>
      <c r="C196" s="842"/>
      <c r="D196" s="1263" t="s">
        <v>888</v>
      </c>
      <c r="E196" s="847"/>
      <c r="F196" s="1091">
        <v>0</v>
      </c>
      <c r="G196" s="1110"/>
      <c r="H196" s="1111"/>
      <c r="I196" s="950">
        <f t="shared" si="6"/>
        <v>0</v>
      </c>
      <c r="J196" s="1094"/>
      <c r="K196" s="1112"/>
      <c r="L196" s="1013"/>
      <c r="M196" s="1014"/>
      <c r="N196" s="855"/>
      <c r="O196" s="855"/>
      <c r="P196" s="855"/>
      <c r="Q196" s="855"/>
      <c r="R196" s="855"/>
      <c r="S196" s="855"/>
      <c r="T196" s="855"/>
      <c r="U196" s="1019"/>
      <c r="V196" s="1019"/>
      <c r="W196"/>
      <c r="X196" s="984"/>
      <c r="Y196" s="984"/>
      <c r="Z196" s="984"/>
      <c r="AA196"/>
      <c r="AB196" s="984"/>
    </row>
    <row r="197" spans="2:28" ht="15.75">
      <c r="B197" s="855"/>
      <c r="C197" s="842"/>
      <c r="D197" s="1263" t="s">
        <v>889</v>
      </c>
      <c r="E197" s="847"/>
      <c r="F197" s="1091">
        <v>0</v>
      </c>
      <c r="G197" s="1110"/>
      <c r="H197" s="1111"/>
      <c r="I197" s="950">
        <f t="shared" si="6"/>
        <v>0</v>
      </c>
      <c r="J197" s="1094"/>
      <c r="K197" s="1112"/>
      <c r="L197" s="1013"/>
      <c r="M197" s="1014"/>
      <c r="N197" s="855"/>
      <c r="O197" s="855"/>
      <c r="P197" s="855"/>
      <c r="Q197" s="855"/>
      <c r="R197" s="855"/>
      <c r="S197" s="855"/>
      <c r="T197" s="855"/>
      <c r="U197" s="1019"/>
      <c r="V197" s="1019"/>
      <c r="W197"/>
      <c r="X197" s="984"/>
      <c r="Y197" s="984"/>
      <c r="Z197" s="984"/>
      <c r="AA197"/>
      <c r="AB197" s="984"/>
    </row>
    <row r="198" spans="2:28" ht="15.75">
      <c r="B198" s="855"/>
      <c r="C198" s="842"/>
      <c r="D198" s="1263" t="s">
        <v>890</v>
      </c>
      <c r="E198" s="847"/>
      <c r="F198" s="1091">
        <v>0</v>
      </c>
      <c r="G198" s="1110"/>
      <c r="H198" s="1111"/>
      <c r="I198" s="950">
        <f t="shared" si="6"/>
        <v>0</v>
      </c>
      <c r="J198" s="1094"/>
      <c r="K198" s="1103"/>
      <c r="L198" s="1029"/>
      <c r="M198" s="1014"/>
      <c r="N198" s="855"/>
      <c r="O198" s="855"/>
      <c r="P198" s="855"/>
      <c r="Q198" s="855"/>
      <c r="R198" s="855"/>
      <c r="S198" s="855"/>
      <c r="T198" s="855"/>
      <c r="U198" s="1019"/>
      <c r="V198" s="1019"/>
      <c r="W198"/>
      <c r="X198" s="984"/>
      <c r="Y198" s="984"/>
      <c r="Z198" s="984"/>
      <c r="AA198"/>
      <c r="AB198" s="984"/>
    </row>
    <row r="199" spans="2:28" ht="15.75">
      <c r="B199" s="855"/>
      <c r="C199" s="842"/>
      <c r="D199" s="1263" t="s">
        <v>891</v>
      </c>
      <c r="E199" s="847"/>
      <c r="F199" s="1091">
        <v>0</v>
      </c>
      <c r="G199" s="1110"/>
      <c r="H199" s="1111"/>
      <c r="I199" s="950">
        <f t="shared" si="6"/>
        <v>0</v>
      </c>
      <c r="J199" s="1094"/>
      <c r="K199" s="1112"/>
      <c r="L199" s="1013"/>
      <c r="M199" s="1014"/>
      <c r="N199" s="855"/>
      <c r="O199" s="855"/>
      <c r="P199" s="855"/>
      <c r="Q199" s="855"/>
      <c r="R199" s="855"/>
      <c r="S199" s="855"/>
      <c r="T199" s="855"/>
      <c r="U199" s="1019"/>
      <c r="V199" s="1019"/>
      <c r="W199"/>
      <c r="X199" s="984"/>
      <c r="Y199" s="984"/>
      <c r="Z199" s="984"/>
      <c r="AA199"/>
      <c r="AB199" s="984"/>
    </row>
    <row r="200" spans="2:28" ht="15.75">
      <c r="B200" s="855"/>
      <c r="C200" s="842" t="s">
        <v>892</v>
      </c>
      <c r="D200" s="842"/>
      <c r="E200" s="847"/>
      <c r="F200" s="1044"/>
      <c r="G200" s="1092">
        <f>SUM(F201:F205)</f>
        <v>93250</v>
      </c>
      <c r="H200" s="1093"/>
      <c r="I200" s="950">
        <f t="shared" si="6"/>
        <v>461.63366336633663</v>
      </c>
      <c r="J200" s="1094"/>
      <c r="K200" s="1112"/>
      <c r="L200" s="1013"/>
      <c r="M200" s="1014"/>
      <c r="N200" s="855"/>
      <c r="O200" s="855"/>
      <c r="P200" s="855"/>
      <c r="Q200" s="855"/>
      <c r="R200" s="855"/>
      <c r="S200" s="855"/>
      <c r="T200" s="855"/>
      <c r="U200" s="1121">
        <v>1</v>
      </c>
      <c r="V200" s="1019">
        <f>1-U200</f>
        <v>0</v>
      </c>
      <c r="W200"/>
      <c r="X200" s="984">
        <f>U200*G200</f>
        <v>93250</v>
      </c>
      <c r="Y200" s="984"/>
      <c r="Z200" s="984">
        <f>V200*G200</f>
        <v>0</v>
      </c>
      <c r="AA200"/>
      <c r="AB200" s="984">
        <v>1865</v>
      </c>
    </row>
    <row r="201" spans="2:28" ht="15.75">
      <c r="B201" s="855"/>
      <c r="C201" s="1090"/>
      <c r="D201" s="842" t="s">
        <v>893</v>
      </c>
      <c r="E201" s="1139"/>
      <c r="F201" s="1044">
        <v>0</v>
      </c>
      <c r="G201" s="1092"/>
      <c r="H201" s="1093"/>
      <c r="I201" s="950">
        <f t="shared" si="6"/>
        <v>0</v>
      </c>
      <c r="J201" s="1094"/>
      <c r="K201" s="1195" t="s">
        <v>894</v>
      </c>
      <c r="L201" s="1152"/>
      <c r="M201" s="1014"/>
      <c r="N201" s="855"/>
      <c r="O201" s="855"/>
      <c r="P201" s="855"/>
      <c r="Q201" s="855"/>
      <c r="R201" s="855"/>
      <c r="S201" s="855"/>
      <c r="T201" s="855"/>
      <c r="U201" s="1019"/>
      <c r="V201" s="1019"/>
      <c r="W201"/>
      <c r="X201" s="984"/>
      <c r="Y201" s="984"/>
      <c r="Z201" s="984"/>
      <c r="AA201"/>
      <c r="AB201" s="984"/>
    </row>
    <row r="202" spans="2:28" ht="15.75">
      <c r="B202" s="855"/>
      <c r="C202" s="1090"/>
      <c r="D202" s="842" t="s">
        <v>895</v>
      </c>
      <c r="E202" s="847"/>
      <c r="F202" s="1044">
        <v>87750</v>
      </c>
      <c r="G202" s="1092"/>
      <c r="H202" s="1093"/>
      <c r="I202" s="950">
        <f t="shared" si="6"/>
        <v>0</v>
      </c>
      <c r="J202" s="1094"/>
      <c r="K202" s="1154" t="s">
        <v>894</v>
      </c>
      <c r="L202" s="1024"/>
      <c r="M202" s="1014"/>
      <c r="N202" s="855"/>
      <c r="O202" s="855"/>
      <c r="P202" s="855"/>
      <c r="Q202" s="855"/>
      <c r="R202" s="855"/>
      <c r="S202" s="855"/>
      <c r="T202" s="855"/>
      <c r="U202" s="1019"/>
      <c r="V202" s="1019"/>
      <c r="W202"/>
      <c r="X202" s="984"/>
      <c r="Y202" s="984"/>
      <c r="Z202" s="984"/>
      <c r="AA202"/>
      <c r="AB202" s="984"/>
    </row>
    <row r="203" spans="2:28" ht="15.75">
      <c r="B203" s="855"/>
      <c r="C203" s="1090"/>
      <c r="D203" s="842" t="s">
        <v>896</v>
      </c>
      <c r="E203" s="847"/>
      <c r="F203" s="1091">
        <v>2500</v>
      </c>
      <c r="G203" s="1092"/>
      <c r="H203" s="1093"/>
      <c r="I203" s="950">
        <f t="shared" si="6"/>
        <v>0</v>
      </c>
      <c r="J203" s="1094"/>
      <c r="K203" s="1103"/>
      <c r="L203" s="1029"/>
      <c r="M203" s="1014"/>
      <c r="N203" s="855"/>
      <c r="O203" s="855"/>
      <c r="P203" s="855"/>
      <c r="Q203" s="855"/>
      <c r="R203" s="855"/>
      <c r="S203" s="855"/>
      <c r="T203" s="855"/>
      <c r="U203" s="1019"/>
      <c r="V203" s="1019"/>
      <c r="W203"/>
      <c r="X203" s="984"/>
      <c r="Y203" s="984"/>
      <c r="Z203" s="984"/>
      <c r="AA203"/>
      <c r="AB203" s="984"/>
    </row>
    <row r="204" spans="2:28" ht="15.75">
      <c r="B204" s="855"/>
      <c r="C204" s="1090"/>
      <c r="D204" s="842" t="s">
        <v>897</v>
      </c>
      <c r="E204" s="847"/>
      <c r="F204" s="1091">
        <v>1500</v>
      </c>
      <c r="G204" s="1092"/>
      <c r="H204" s="1093"/>
      <c r="I204" s="950">
        <f t="shared" si="6"/>
        <v>0</v>
      </c>
      <c r="J204" s="1094"/>
      <c r="K204" s="1103"/>
      <c r="L204" s="1029"/>
      <c r="M204" s="1014"/>
      <c r="N204" s="855"/>
      <c r="O204" s="855"/>
      <c r="P204" s="855"/>
      <c r="Q204" s="855"/>
      <c r="R204" s="855"/>
      <c r="S204" s="855"/>
      <c r="T204" s="855"/>
      <c r="U204" s="1019"/>
      <c r="V204" s="1019"/>
      <c r="W204"/>
      <c r="X204" s="984"/>
      <c r="Y204" s="984"/>
      <c r="Z204" s="984"/>
      <c r="AA204"/>
      <c r="AB204" s="984"/>
    </row>
    <row r="205" spans="2:28" ht="15.75">
      <c r="B205" s="855"/>
      <c r="C205" s="1090"/>
      <c r="D205" s="842" t="s">
        <v>898</v>
      </c>
      <c r="E205" s="847"/>
      <c r="F205" s="1091">
        <v>1500</v>
      </c>
      <c r="G205" s="1092"/>
      <c r="H205" s="1093"/>
      <c r="I205" s="950">
        <f t="shared" si="6"/>
        <v>0</v>
      </c>
      <c r="J205" s="1094"/>
      <c r="K205" s="1103"/>
      <c r="L205" s="1029"/>
      <c r="M205" s="1014"/>
      <c r="N205" s="855"/>
      <c r="O205" s="855"/>
      <c r="P205" s="855"/>
      <c r="Q205" s="855"/>
      <c r="R205" s="855"/>
      <c r="S205" s="855"/>
      <c r="T205" s="855"/>
      <c r="U205" s="1019"/>
      <c r="V205" s="1019"/>
      <c r="W205"/>
      <c r="X205" s="984"/>
      <c r="Y205" s="984"/>
      <c r="Z205" s="984"/>
      <c r="AA205"/>
      <c r="AB205" s="984"/>
    </row>
    <row r="206" spans="2:28" ht="15.75">
      <c r="B206" s="855"/>
      <c r="C206" s="842" t="s">
        <v>899</v>
      </c>
      <c r="D206" s="842"/>
      <c r="E206" s="847"/>
      <c r="F206" s="1044"/>
      <c r="G206" s="1110">
        <f>SUM(F207:F209)</f>
        <v>0</v>
      </c>
      <c r="H206" s="1111"/>
      <c r="I206" s="950">
        <f t="shared" si="6"/>
        <v>0</v>
      </c>
      <c r="J206" s="1094"/>
      <c r="K206" s="1264"/>
      <c r="L206" s="1265"/>
      <c r="M206" s="1014"/>
      <c r="N206"/>
      <c r="O206"/>
      <c r="P206" s="855"/>
      <c r="Q206" s="855"/>
      <c r="R206" s="855"/>
      <c r="S206" s="855"/>
      <c r="T206" s="855"/>
      <c r="U206" s="1019">
        <v>1</v>
      </c>
      <c r="V206" s="1019">
        <v>0</v>
      </c>
      <c r="W206"/>
      <c r="X206" s="984">
        <f>U206*G206</f>
        <v>0</v>
      </c>
      <c r="Y206" s="984"/>
      <c r="Z206" s="984">
        <f>V206*G206</f>
        <v>0</v>
      </c>
      <c r="AA206"/>
      <c r="AB206" s="984">
        <v>0</v>
      </c>
    </row>
    <row r="207" spans="2:28" ht="15.75">
      <c r="B207" s="855"/>
      <c r="C207" s="842"/>
      <c r="D207" s="842" t="s">
        <v>487</v>
      </c>
      <c r="E207" s="847"/>
      <c r="F207" s="1091">
        <v>0</v>
      </c>
      <c r="G207" s="1110"/>
      <c r="H207" s="1111"/>
      <c r="I207" s="950">
        <f t="shared" si="6"/>
        <v>0</v>
      </c>
      <c r="J207" s="1094"/>
      <c r="K207" s="1266"/>
      <c r="L207" s="1267"/>
      <c r="M207" s="1014"/>
      <c r="N207"/>
      <c r="O207"/>
      <c r="P207" s="855"/>
      <c r="Q207" s="855"/>
      <c r="R207" s="855"/>
      <c r="S207" s="855"/>
      <c r="T207" s="855"/>
      <c r="U207" s="1019"/>
      <c r="V207" s="1019"/>
      <c r="W207"/>
      <c r="X207" s="984"/>
      <c r="Y207" s="984"/>
      <c r="Z207" s="984"/>
      <c r="AA207"/>
      <c r="AB207" s="984"/>
    </row>
    <row r="208" spans="2:28" ht="15.75">
      <c r="B208" s="855"/>
      <c r="C208" s="842"/>
      <c r="D208" s="842" t="s">
        <v>900</v>
      </c>
      <c r="E208" s="847"/>
      <c r="F208" s="1091">
        <v>0</v>
      </c>
      <c r="G208" s="1110"/>
      <c r="H208" s="1111"/>
      <c r="I208" s="950">
        <f t="shared" si="6"/>
        <v>0</v>
      </c>
      <c r="J208" s="1094"/>
      <c r="K208" s="1108"/>
      <c r="L208" s="1059"/>
      <c r="M208" s="1014"/>
      <c r="N208"/>
      <c r="O208"/>
      <c r="P208" s="855"/>
      <c r="Q208" s="855"/>
      <c r="R208" s="855"/>
      <c r="S208" s="855"/>
      <c r="T208" s="855"/>
      <c r="U208" s="1019"/>
      <c r="V208" s="1019"/>
      <c r="W208"/>
      <c r="X208" s="984"/>
      <c r="Y208" s="984"/>
      <c r="Z208" s="984"/>
      <c r="AA208"/>
      <c r="AB208" s="984"/>
    </row>
    <row r="209" spans="2:28" ht="15.75">
      <c r="B209" s="855"/>
      <c r="C209" s="842"/>
      <c r="D209" s="842" t="s">
        <v>901</v>
      </c>
      <c r="E209" s="847"/>
      <c r="F209" s="1091">
        <v>0</v>
      </c>
      <c r="G209" s="1110"/>
      <c r="H209" s="1111"/>
      <c r="I209" s="950">
        <f t="shared" si="6"/>
        <v>0</v>
      </c>
      <c r="J209" s="1094"/>
      <c r="K209" s="1268"/>
      <c r="L209" s="1269"/>
      <c r="M209" s="1014"/>
      <c r="N209"/>
      <c r="O209"/>
      <c r="P209" s="855"/>
      <c r="Q209" s="855"/>
      <c r="R209" s="855"/>
      <c r="S209" s="855"/>
      <c r="T209" s="855"/>
      <c r="U209" s="1019"/>
      <c r="V209" s="1019"/>
      <c r="W209"/>
      <c r="X209" s="984"/>
      <c r="Y209" s="984"/>
      <c r="Z209" s="984"/>
      <c r="AA209"/>
      <c r="AB209" s="984"/>
    </row>
    <row r="210" spans="2:28" ht="15.75">
      <c r="B210" s="855"/>
      <c r="C210" s="842" t="s">
        <v>902</v>
      </c>
      <c r="D210" s="842"/>
      <c r="E210" s="847"/>
      <c r="F210" s="1044"/>
      <c r="G210" s="1092">
        <f>SUM(F211:F216)</f>
        <v>50000</v>
      </c>
      <c r="H210" s="1093"/>
      <c r="I210" s="950">
        <f t="shared" si="6"/>
        <v>247.52475247524754</v>
      </c>
      <c r="J210" s="1094"/>
      <c r="K210" s="1143"/>
      <c r="L210" s="1046"/>
      <c r="M210" s="1014"/>
      <c r="N210"/>
      <c r="O210"/>
      <c r="P210" s="855"/>
      <c r="Q210" s="855"/>
      <c r="R210" s="855"/>
      <c r="S210" s="855"/>
      <c r="T210" s="855"/>
      <c r="U210" s="1121">
        <v>1</v>
      </c>
      <c r="V210" s="1019">
        <f>1-U210</f>
        <v>0</v>
      </c>
      <c r="W210"/>
      <c r="X210" s="984">
        <f>U210*G210</f>
        <v>50000</v>
      </c>
      <c r="Y210" s="984"/>
      <c r="Z210" s="984">
        <f>V210*G210</f>
        <v>0</v>
      </c>
      <c r="AA210"/>
      <c r="AB210" s="984">
        <v>1000</v>
      </c>
    </row>
    <row r="211" spans="2:28" ht="15.75">
      <c r="B211" s="855"/>
      <c r="C211" s="842"/>
      <c r="D211" s="842" t="s">
        <v>903</v>
      </c>
      <c r="E211" s="1270">
        <v>2500</v>
      </c>
      <c r="F211" s="1044">
        <v>0</v>
      </c>
      <c r="G211" s="1092"/>
      <c r="H211" s="1093"/>
      <c r="I211" s="950">
        <f t="shared" si="6"/>
        <v>0</v>
      </c>
      <c r="J211" s="1094"/>
      <c r="K211" s="1112"/>
      <c r="L211" s="1013"/>
      <c r="M211" s="1014"/>
      <c r="N211"/>
      <c r="O211"/>
      <c r="P211" s="855"/>
      <c r="Q211" s="855"/>
      <c r="R211" s="855"/>
      <c r="S211" s="855"/>
      <c r="T211" s="855"/>
      <c r="U211" s="1019"/>
      <c r="V211" s="1019"/>
      <c r="W211"/>
      <c r="X211" s="984"/>
      <c r="Y211" s="984"/>
      <c r="Z211" s="984"/>
      <c r="AA211"/>
      <c r="AB211" s="984"/>
    </row>
    <row r="212" spans="2:28" ht="15.75">
      <c r="B212" s="855"/>
      <c r="C212" s="842"/>
      <c r="D212" s="842" t="s">
        <v>904</v>
      </c>
      <c r="E212" s="847"/>
      <c r="F212" s="1091">
        <v>5000</v>
      </c>
      <c r="G212" s="1092"/>
      <c r="H212" s="1093"/>
      <c r="I212" s="950">
        <f t="shared" si="6"/>
        <v>0</v>
      </c>
      <c r="J212" s="1094"/>
      <c r="K212" s="1112"/>
      <c r="L212" s="1013"/>
      <c r="M212" s="1014"/>
      <c r="N212"/>
      <c r="O212"/>
      <c r="P212" s="855"/>
      <c r="Q212" s="855"/>
      <c r="R212" s="855"/>
      <c r="S212" s="855"/>
      <c r="T212" s="855"/>
      <c r="U212" s="1019"/>
      <c r="V212" s="1019"/>
      <c r="W212"/>
      <c r="X212" s="984"/>
      <c r="Y212" s="984"/>
      <c r="Z212" s="984"/>
      <c r="AA212"/>
      <c r="AB212" s="984"/>
    </row>
    <row r="213" spans="2:28" ht="15.75">
      <c r="B213" s="855"/>
      <c r="C213" s="842"/>
      <c r="D213" s="842" t="s">
        <v>905</v>
      </c>
      <c r="E213" s="847"/>
      <c r="F213" s="1091">
        <v>15000</v>
      </c>
      <c r="G213" s="1092"/>
      <c r="H213" s="1093"/>
      <c r="I213" s="950">
        <f t="shared" si="6"/>
        <v>0</v>
      </c>
      <c r="J213" s="1094"/>
      <c r="K213" s="1112"/>
      <c r="L213" s="1013"/>
      <c r="M213" s="1014"/>
      <c r="N213"/>
      <c r="O213"/>
      <c r="P213" s="855"/>
      <c r="Q213" s="855"/>
      <c r="R213" s="855"/>
      <c r="S213" s="855"/>
      <c r="T213" s="855"/>
      <c r="U213" s="1019"/>
      <c r="V213" s="1019"/>
      <c r="W213"/>
      <c r="X213" s="984"/>
      <c r="Y213" s="984"/>
      <c r="Z213" s="984"/>
      <c r="AA213"/>
      <c r="AB213" s="984"/>
    </row>
    <row r="214" spans="2:28" ht="15.75">
      <c r="B214" s="855"/>
      <c r="C214" s="842"/>
      <c r="D214" s="842" t="s">
        <v>906</v>
      </c>
      <c r="E214" s="847"/>
      <c r="F214" s="1091">
        <v>5000</v>
      </c>
      <c r="G214" s="1092"/>
      <c r="H214" s="1093"/>
      <c r="I214" s="950">
        <f t="shared" si="6"/>
        <v>0</v>
      </c>
      <c r="J214" s="1094"/>
      <c r="K214" s="1112"/>
      <c r="L214" s="1013"/>
      <c r="M214" s="1014"/>
      <c r="N214"/>
      <c r="O214"/>
      <c r="P214" s="855"/>
      <c r="Q214" s="855"/>
      <c r="R214" s="855"/>
      <c r="S214" s="855"/>
      <c r="T214" s="855"/>
      <c r="U214" s="1019"/>
      <c r="V214" s="1019"/>
      <c r="W214"/>
      <c r="X214" s="984"/>
      <c r="Y214" s="984"/>
      <c r="Z214" s="984"/>
      <c r="AA214"/>
      <c r="AB214" s="984"/>
    </row>
    <row r="215" spans="2:28" ht="15.75">
      <c r="B215" s="855"/>
      <c r="C215" s="842"/>
      <c r="D215" s="842" t="s">
        <v>907</v>
      </c>
      <c r="E215" s="847"/>
      <c r="F215" s="1091">
        <v>20000</v>
      </c>
      <c r="G215" s="1092"/>
      <c r="H215" s="1093"/>
      <c r="I215" s="950">
        <f t="shared" si="6"/>
        <v>0</v>
      </c>
      <c r="J215" s="1094"/>
      <c r="K215" s="1112"/>
      <c r="L215" s="1013"/>
      <c r="M215" s="1014"/>
      <c r="N215"/>
      <c r="O215"/>
      <c r="P215" s="855"/>
      <c r="Q215" s="855"/>
      <c r="R215" s="855"/>
      <c r="S215" s="855"/>
      <c r="T215" s="855"/>
      <c r="U215" s="1019"/>
      <c r="V215" s="1019"/>
      <c r="W215"/>
      <c r="X215" s="984"/>
      <c r="Y215" s="984"/>
      <c r="Z215" s="984"/>
      <c r="AA215"/>
      <c r="AB215" s="984"/>
    </row>
    <row r="216" spans="2:28" ht="15.75">
      <c r="B216" s="855"/>
      <c r="C216" s="842"/>
      <c r="D216" s="842" t="s">
        <v>908</v>
      </c>
      <c r="E216" s="847"/>
      <c r="F216" s="1091">
        <v>5000</v>
      </c>
      <c r="G216" s="1092"/>
      <c r="H216" s="1093"/>
      <c r="I216" s="950">
        <f t="shared" si="6"/>
        <v>0</v>
      </c>
      <c r="J216" s="1094"/>
      <c r="K216" s="1112"/>
      <c r="L216" s="1013"/>
      <c r="M216" s="1014"/>
      <c r="N216"/>
      <c r="O216"/>
      <c r="P216" s="855"/>
      <c r="Q216" s="855"/>
      <c r="R216" s="855"/>
      <c r="S216" s="855"/>
      <c r="T216" s="855"/>
      <c r="U216" s="1019"/>
      <c r="V216" s="1019"/>
      <c r="W216"/>
      <c r="X216" s="984"/>
      <c r="Y216" s="984"/>
      <c r="Z216" s="984"/>
      <c r="AA216"/>
      <c r="AB216" s="984"/>
    </row>
    <row r="217" spans="2:28" ht="15.75">
      <c r="B217" s="855"/>
      <c r="C217" s="842" t="s">
        <v>909</v>
      </c>
      <c r="D217" s="842"/>
      <c r="E217" s="847"/>
      <c r="F217" s="1044"/>
      <c r="G217" s="1092">
        <f>SUM(F218:F220)</f>
        <v>0</v>
      </c>
      <c r="H217" s="1093"/>
      <c r="I217" s="950">
        <f t="shared" si="6"/>
        <v>0</v>
      </c>
      <c r="J217" s="1094"/>
      <c r="K217" s="1179"/>
      <c r="L217" s="1073"/>
      <c r="M217" s="1014"/>
      <c r="N217"/>
      <c r="O217"/>
      <c r="P217" s="855"/>
      <c r="Q217" s="855"/>
      <c r="R217" s="855"/>
      <c r="S217" s="855"/>
      <c r="T217" s="855"/>
      <c r="U217" s="1019">
        <v>1</v>
      </c>
      <c r="V217" s="1019">
        <v>0</v>
      </c>
      <c r="W217"/>
      <c r="X217" s="984">
        <f>U217*G217</f>
        <v>0</v>
      </c>
      <c r="Y217" s="984"/>
      <c r="Z217" s="984">
        <f>V217*G217</f>
        <v>0</v>
      </c>
      <c r="AA217"/>
      <c r="AB217" s="984">
        <v>0</v>
      </c>
    </row>
    <row r="218" spans="2:28" ht="15.75">
      <c r="B218" s="855"/>
      <c r="C218" s="842"/>
      <c r="D218" s="842" t="s">
        <v>487</v>
      </c>
      <c r="E218" s="847"/>
      <c r="F218" s="1091">
        <v>0</v>
      </c>
      <c r="G218" s="1092"/>
      <c r="H218" s="1093"/>
      <c r="I218" s="950">
        <f t="shared" si="6"/>
        <v>0</v>
      </c>
      <c r="J218" s="1094"/>
      <c r="K218" s="1195" t="s">
        <v>910</v>
      </c>
      <c r="L218" s="1152"/>
      <c r="M218" s="1014"/>
      <c r="N218"/>
      <c r="O218"/>
      <c r="P218" s="855"/>
      <c r="Q218" s="855"/>
      <c r="R218" s="855"/>
      <c r="S218" s="855"/>
      <c r="T218" s="855"/>
      <c r="U218" s="1019"/>
      <c r="V218" s="1019"/>
      <c r="W218"/>
      <c r="X218" s="984"/>
      <c r="Y218" s="984"/>
      <c r="Z218" s="984"/>
      <c r="AA218"/>
      <c r="AB218" s="984"/>
    </row>
    <row r="219" spans="2:28" ht="15.75">
      <c r="B219" s="855"/>
      <c r="C219" s="842"/>
      <c r="D219" s="842" t="s">
        <v>106</v>
      </c>
      <c r="E219" s="847"/>
      <c r="F219" s="1091">
        <v>0</v>
      </c>
      <c r="G219" s="1092"/>
      <c r="H219" s="1093"/>
      <c r="I219" s="950">
        <f t="shared" si="6"/>
        <v>0</v>
      </c>
      <c r="J219" s="1094"/>
      <c r="K219" s="1112"/>
      <c r="L219" s="1013"/>
      <c r="M219" s="1014"/>
      <c r="N219"/>
      <c r="O219"/>
      <c r="P219" s="855"/>
      <c r="Q219" s="855"/>
      <c r="R219" s="855"/>
      <c r="S219" s="855"/>
      <c r="T219" s="855"/>
      <c r="U219" s="1019"/>
      <c r="V219" s="1019"/>
      <c r="W219"/>
      <c r="X219" s="984"/>
      <c r="Y219" s="984"/>
      <c r="Z219" s="984"/>
      <c r="AA219"/>
      <c r="AB219" s="984"/>
    </row>
    <row r="220" spans="2:28" ht="15.75">
      <c r="B220" s="855"/>
      <c r="C220" s="842"/>
      <c r="D220" s="842" t="s">
        <v>911</v>
      </c>
      <c r="E220" s="847"/>
      <c r="F220" s="1091">
        <v>0</v>
      </c>
      <c r="G220" s="1092"/>
      <c r="H220" s="1093"/>
      <c r="I220" s="950">
        <f t="shared" si="6"/>
        <v>0</v>
      </c>
      <c r="J220" s="1094"/>
      <c r="K220" s="1112"/>
      <c r="L220" s="1013"/>
      <c r="M220" s="1014"/>
      <c r="N220"/>
      <c r="O220"/>
      <c r="P220" s="855"/>
      <c r="Q220" s="855"/>
      <c r="R220" s="855"/>
      <c r="S220" s="855"/>
      <c r="T220" s="855"/>
      <c r="U220" s="1019"/>
      <c r="V220" s="1019"/>
      <c r="W220"/>
      <c r="X220" s="984"/>
      <c r="Y220" s="984"/>
      <c r="Z220" s="984"/>
      <c r="AA220"/>
      <c r="AB220" s="984"/>
    </row>
    <row r="221" spans="2:28" ht="15.75">
      <c r="B221" s="855"/>
      <c r="C221" s="842" t="s">
        <v>912</v>
      </c>
      <c r="D221" s="842"/>
      <c r="E221" s="847"/>
      <c r="F221" s="1044"/>
      <c r="G221" s="1092">
        <f>SUM(F222:F230)</f>
        <v>281000</v>
      </c>
      <c r="H221" s="1093"/>
      <c r="I221" s="950">
        <f t="shared" si="6"/>
        <v>1391.0891089108911</v>
      </c>
      <c r="J221" s="1094"/>
      <c r="K221" s="1112"/>
      <c r="L221" s="1013"/>
      <c r="M221" s="1014"/>
      <c r="N221"/>
      <c r="O221"/>
      <c r="P221" s="855"/>
      <c r="Q221" s="855"/>
      <c r="R221" s="855"/>
      <c r="S221" s="855"/>
      <c r="T221" s="855"/>
      <c r="U221" s="1019">
        <v>1</v>
      </c>
      <c r="V221" s="1019">
        <v>0</v>
      </c>
      <c r="W221"/>
      <c r="X221" s="984">
        <f>U221*G221</f>
        <v>281000</v>
      </c>
      <c r="Y221" s="984"/>
      <c r="Z221" s="984">
        <f>V221*G221</f>
        <v>0</v>
      </c>
      <c r="AA221"/>
      <c r="AB221" s="984">
        <v>3320</v>
      </c>
    </row>
    <row r="222" spans="2:28" ht="15.75">
      <c r="B222" s="855"/>
      <c r="C222" s="1090"/>
      <c r="D222" s="842" t="s">
        <v>224</v>
      </c>
      <c r="E222" s="1136">
        <v>0</v>
      </c>
      <c r="F222" s="1044">
        <v>0</v>
      </c>
      <c r="G222" s="1271"/>
      <c r="H222" s="1272"/>
      <c r="I222" s="950">
        <f t="shared" si="6"/>
        <v>0</v>
      </c>
      <c r="J222" s="1094"/>
      <c r="K222" s="1112"/>
      <c r="L222" s="1013"/>
      <c r="M222" s="1014"/>
      <c r="N222"/>
      <c r="O222"/>
      <c r="P222" s="855"/>
      <c r="Q222" s="855"/>
      <c r="R222" s="855"/>
      <c r="S222" s="855"/>
      <c r="T222" s="855"/>
      <c r="U222" s="1019"/>
      <c r="V222" s="1019"/>
      <c r="W222"/>
      <c r="X222" s="984"/>
      <c r="Y222" s="984"/>
      <c r="Z222" s="984"/>
      <c r="AA222"/>
      <c r="AB222" s="984"/>
    </row>
    <row r="223" spans="2:28" ht="15.75">
      <c r="B223" s="855"/>
      <c r="C223" s="1090"/>
      <c r="D223" s="842" t="s">
        <v>415</v>
      </c>
      <c r="E223" s="847"/>
      <c r="F223" s="1091">
        <v>25000</v>
      </c>
      <c r="G223" s="1092"/>
      <c r="H223" s="1093"/>
      <c r="I223" s="950">
        <f t="shared" ref="I223:I249" si="8">G223/$F$9</f>
        <v>0</v>
      </c>
      <c r="J223" s="1094"/>
      <c r="K223" s="1179"/>
      <c r="L223" s="1073"/>
      <c r="M223" s="1014"/>
      <c r="N223"/>
      <c r="O223"/>
      <c r="P223" s="855"/>
      <c r="Q223" s="855"/>
      <c r="R223" s="855"/>
      <c r="S223" s="855"/>
      <c r="T223" s="855"/>
      <c r="U223" s="1019"/>
      <c r="V223" s="1019"/>
      <c r="W223"/>
      <c r="X223" s="984"/>
      <c r="Y223" s="984"/>
      <c r="Z223" s="984"/>
      <c r="AA223"/>
      <c r="AB223" s="984"/>
    </row>
    <row r="224" spans="2:28" ht="15.75">
      <c r="B224" s="855"/>
      <c r="C224" s="1090"/>
      <c r="D224" s="842" t="s">
        <v>913</v>
      </c>
      <c r="E224" s="1273">
        <v>6500</v>
      </c>
      <c r="F224" s="1044">
        <f>E224*24</f>
        <v>156000</v>
      </c>
      <c r="G224" s="1092"/>
      <c r="H224" s="1093"/>
      <c r="I224" s="950">
        <f t="shared" si="8"/>
        <v>0</v>
      </c>
      <c r="J224" s="1094"/>
      <c r="K224" s="1195" t="s">
        <v>148</v>
      </c>
      <c r="L224" s="1152"/>
      <c r="M224" s="1014"/>
      <c r="N224" s="1274"/>
      <c r="O224" s="1274"/>
      <c r="P224" s="855"/>
      <c r="Q224" s="855"/>
      <c r="R224" s="855"/>
      <c r="S224" s="855"/>
      <c r="T224" s="855"/>
      <c r="U224" s="1019"/>
      <c r="V224" s="1019"/>
      <c r="W224"/>
      <c r="X224" s="984"/>
      <c r="Y224" s="984"/>
      <c r="Z224" s="984"/>
      <c r="AA224"/>
      <c r="AB224" s="984"/>
    </row>
    <row r="225" spans="2:28" ht="15.75">
      <c r="B225" s="855"/>
      <c r="C225" s="1090"/>
      <c r="D225" s="842" t="s">
        <v>914</v>
      </c>
      <c r="E225" s="847"/>
      <c r="F225" s="1091">
        <v>50000</v>
      </c>
      <c r="G225" s="1092"/>
      <c r="H225" s="1093"/>
      <c r="I225" s="950">
        <f t="shared" si="8"/>
        <v>0</v>
      </c>
      <c r="J225" s="1094"/>
      <c r="K225" s="1125"/>
      <c r="L225" s="1045"/>
      <c r="M225" s="1014"/>
      <c r="N225"/>
      <c r="O225"/>
      <c r="P225" s="855"/>
      <c r="Q225" s="855"/>
      <c r="R225" s="855"/>
      <c r="S225" s="855"/>
      <c r="T225" s="855"/>
      <c r="U225" s="1019"/>
      <c r="V225" s="1019"/>
      <c r="W225"/>
      <c r="X225" s="984"/>
      <c r="Y225" s="984"/>
      <c r="Z225" s="984"/>
      <c r="AA225"/>
      <c r="AB225" s="984"/>
    </row>
    <row r="226" spans="2:28" ht="15.75">
      <c r="B226" s="855"/>
      <c r="C226" s="1090"/>
      <c r="D226" s="842" t="s">
        <v>915</v>
      </c>
      <c r="E226" s="847"/>
      <c r="F226" s="1091">
        <v>0</v>
      </c>
      <c r="G226" s="1092"/>
      <c r="H226" s="1093"/>
      <c r="I226" s="950">
        <f t="shared" si="8"/>
        <v>0</v>
      </c>
      <c r="J226" s="1094"/>
      <c r="K226" s="1125"/>
      <c r="L226" s="1045"/>
      <c r="M226" s="1014"/>
      <c r="N226"/>
      <c r="O226"/>
      <c r="P226" s="855"/>
      <c r="Q226" s="855"/>
      <c r="R226" s="855"/>
      <c r="S226" s="855"/>
      <c r="T226" s="855"/>
      <c r="U226" s="1019"/>
      <c r="V226" s="1019"/>
      <c r="W226"/>
      <c r="X226" s="984"/>
      <c r="Y226" s="984"/>
      <c r="Z226" s="984"/>
      <c r="AA226"/>
      <c r="AB226" s="984"/>
    </row>
    <row r="227" spans="2:28" ht="15.75">
      <c r="B227" s="855"/>
      <c r="C227" s="1090"/>
      <c r="D227" s="842" t="s">
        <v>916</v>
      </c>
      <c r="E227" s="847"/>
      <c r="F227" s="1091">
        <v>50000</v>
      </c>
      <c r="G227" s="1092"/>
      <c r="H227" s="1093"/>
      <c r="I227" s="950">
        <f t="shared" si="8"/>
        <v>0</v>
      </c>
      <c r="J227" s="1094"/>
      <c r="K227" s="1125"/>
      <c r="L227" s="1045"/>
      <c r="M227" s="1014"/>
      <c r="N227"/>
      <c r="O227"/>
      <c r="P227" s="855"/>
      <c r="Q227" s="855"/>
      <c r="R227" s="855"/>
      <c r="S227" s="855"/>
      <c r="T227" s="855"/>
      <c r="U227" s="1019"/>
      <c r="V227" s="1019"/>
      <c r="W227"/>
      <c r="X227" s="984"/>
      <c r="Y227" s="984"/>
      <c r="Z227" s="984"/>
      <c r="AA227"/>
      <c r="AB227" s="984"/>
    </row>
    <row r="228" spans="2:28" ht="15.75">
      <c r="B228" s="855"/>
      <c r="C228" s="1090"/>
      <c r="D228" s="842" t="s">
        <v>917</v>
      </c>
      <c r="E228" s="847"/>
      <c r="F228" s="1091">
        <v>0</v>
      </c>
      <c r="G228" s="1092"/>
      <c r="H228" s="1093"/>
      <c r="I228" s="950">
        <f t="shared" si="8"/>
        <v>0</v>
      </c>
      <c r="J228" s="1094"/>
      <c r="K228" s="1112"/>
      <c r="L228" s="1013"/>
      <c r="M228" s="1014"/>
      <c r="N228"/>
      <c r="O228"/>
      <c r="P228" s="855"/>
      <c r="Q228" s="855"/>
      <c r="R228" s="855"/>
      <c r="S228" s="855"/>
      <c r="T228" s="855"/>
      <c r="U228" s="1019"/>
      <c r="V228" s="1019"/>
      <c r="W228"/>
      <c r="X228" s="984"/>
      <c r="Y228" s="984"/>
      <c r="Z228" s="984"/>
      <c r="AA228"/>
      <c r="AB228" s="984"/>
    </row>
    <row r="229" spans="2:28" ht="15.75">
      <c r="B229" s="855"/>
      <c r="C229" s="1090"/>
      <c r="D229" s="842" t="s">
        <v>918</v>
      </c>
      <c r="E229" s="847"/>
      <c r="F229" s="1091">
        <v>0</v>
      </c>
      <c r="G229" s="1092"/>
      <c r="H229" s="1093"/>
      <c r="I229" s="950">
        <f t="shared" si="8"/>
        <v>0</v>
      </c>
      <c r="J229" s="1094"/>
      <c r="K229" s="1112" t="s">
        <v>919</v>
      </c>
      <c r="L229" s="1013"/>
      <c r="M229" s="1014"/>
      <c r="N229"/>
      <c r="O229"/>
      <c r="P229" s="855"/>
      <c r="Q229" s="855"/>
      <c r="R229" s="855"/>
      <c r="S229" s="855"/>
      <c r="T229" s="855"/>
      <c r="U229" s="1019"/>
      <c r="V229" s="1019"/>
      <c r="W229"/>
      <c r="X229" s="984"/>
      <c r="Y229" s="984"/>
      <c r="Z229" s="984"/>
      <c r="AA229"/>
      <c r="AB229" s="984"/>
    </row>
    <row r="230" spans="2:28" ht="15.75">
      <c r="B230" s="855"/>
      <c r="C230" s="1090"/>
      <c r="D230" s="842" t="s">
        <v>920</v>
      </c>
      <c r="E230" s="847"/>
      <c r="F230" s="1091">
        <v>0</v>
      </c>
      <c r="G230" s="1092"/>
      <c r="H230" s="1093"/>
      <c r="I230" s="950">
        <f t="shared" si="8"/>
        <v>0</v>
      </c>
      <c r="J230" s="1094"/>
      <c r="K230" s="1112" t="s">
        <v>921</v>
      </c>
      <c r="L230" s="1013"/>
      <c r="M230" s="1014"/>
      <c r="N230"/>
      <c r="O230"/>
      <c r="P230" s="855"/>
      <c r="Q230" s="855"/>
      <c r="R230" s="855"/>
      <c r="S230" s="855"/>
      <c r="T230" s="855"/>
      <c r="U230" s="1019"/>
      <c r="V230" s="1019"/>
      <c r="W230"/>
      <c r="X230" s="984"/>
      <c r="Y230" s="984"/>
      <c r="Z230" s="984"/>
      <c r="AA230"/>
      <c r="AB230" s="984"/>
    </row>
    <row r="231" spans="2:28" ht="15.75">
      <c r="B231" s="855"/>
      <c r="C231" s="842" t="s">
        <v>922</v>
      </c>
      <c r="D231" s="842"/>
      <c r="E231" s="847"/>
      <c r="F231" s="1044"/>
      <c r="G231" s="1275">
        <v>0</v>
      </c>
      <c r="H231" s="1276"/>
      <c r="I231" s="950">
        <f t="shared" si="8"/>
        <v>0</v>
      </c>
      <c r="J231" s="1094"/>
      <c r="K231" s="1112" t="s">
        <v>923</v>
      </c>
      <c r="L231" s="1013"/>
      <c r="M231" s="1014"/>
      <c r="N231"/>
      <c r="O231"/>
      <c r="P231" s="855"/>
      <c r="Q231" s="855"/>
      <c r="R231" s="855"/>
      <c r="S231" s="855"/>
      <c r="T231" s="855"/>
      <c r="U231" s="1019">
        <v>1</v>
      </c>
      <c r="V231" s="1019">
        <v>0</v>
      </c>
      <c r="W231"/>
      <c r="X231" s="984">
        <f>U231*G231</f>
        <v>0</v>
      </c>
      <c r="Y231" s="984"/>
      <c r="Z231" s="984">
        <f>V231*G231</f>
        <v>0</v>
      </c>
      <c r="AA231"/>
      <c r="AB231" s="984">
        <v>0</v>
      </c>
    </row>
    <row r="232" spans="2:28" ht="15.75">
      <c r="B232" s="855"/>
      <c r="C232" s="842" t="s">
        <v>924</v>
      </c>
      <c r="D232" s="842"/>
      <c r="E232" s="847"/>
      <c r="F232" s="1044"/>
      <c r="G232" s="1092"/>
      <c r="H232" s="1093"/>
      <c r="I232" s="950">
        <f t="shared" si="8"/>
        <v>0</v>
      </c>
      <c r="J232" s="1094"/>
      <c r="K232" s="1112"/>
      <c r="L232" s="1013"/>
      <c r="M232" s="1014"/>
      <c r="N232"/>
      <c r="O232"/>
      <c r="P232" s="855"/>
      <c r="Q232" s="855"/>
      <c r="R232" s="855"/>
      <c r="S232" s="855"/>
      <c r="T232" s="855"/>
      <c r="U232" s="1019"/>
      <c r="V232" s="1019"/>
      <c r="W232"/>
      <c r="X232" s="984"/>
      <c r="Y232" s="984"/>
      <c r="Z232" s="984"/>
      <c r="AA232"/>
      <c r="AB232" s="984"/>
    </row>
    <row r="233" spans="2:28" ht="15.75">
      <c r="B233" s="855"/>
      <c r="C233" s="842" t="s">
        <v>925</v>
      </c>
      <c r="D233" s="842"/>
      <c r="E233" s="1277">
        <v>0.05</v>
      </c>
      <c r="F233" s="1088"/>
      <c r="G233" s="1110">
        <f>SUM(G190:G231,G189,G181,G176,G170,G148,G114,G97,G80)*E233</f>
        <v>1071283.3671471232</v>
      </c>
      <c r="H233" s="1111"/>
      <c r="I233" s="950">
        <f t="shared" si="8"/>
        <v>5303.3830056788274</v>
      </c>
      <c r="J233" s="1094"/>
      <c r="K233" s="1278"/>
      <c r="L233" s="1279"/>
      <c r="M233" s="1014"/>
      <c r="N233"/>
      <c r="O233"/>
      <c r="P233" s="946"/>
      <c r="Q233" s="855"/>
      <c r="R233" s="855"/>
      <c r="S233" s="855"/>
      <c r="T233" s="855"/>
      <c r="U233" s="1019">
        <v>1</v>
      </c>
      <c r="V233" s="1019">
        <v>0</v>
      </c>
      <c r="W233"/>
      <c r="X233" s="984">
        <f>U233*G233</f>
        <v>1071283.3671471232</v>
      </c>
      <c r="Y233" s="984"/>
      <c r="Z233" s="984">
        <f>V233*G233</f>
        <v>0</v>
      </c>
      <c r="AA233"/>
      <c r="AB233" s="984">
        <v>13352.14239674292</v>
      </c>
    </row>
    <row r="234" spans="2:28">
      <c r="B234" s="868"/>
      <c r="C234" s="949" t="s">
        <v>926</v>
      </c>
      <c r="D234" s="841"/>
      <c r="E234" s="1280"/>
      <c r="F234" s="1126"/>
      <c r="G234" s="1281">
        <f>SUM(G191:G233)</f>
        <v>1510033.3671471232</v>
      </c>
      <c r="H234" s="1282"/>
      <c r="I234" s="950">
        <f t="shared" si="8"/>
        <v>7475.4127086491244</v>
      </c>
      <c r="J234" s="1283"/>
      <c r="K234" s="1103"/>
      <c r="L234" s="1029"/>
      <c r="M234" s="1104"/>
      <c r="N234" s="1035"/>
      <c r="O234" s="1035"/>
      <c r="P234" s="868"/>
      <c r="Q234" s="868"/>
      <c r="R234" s="868"/>
      <c r="S234" s="868"/>
      <c r="T234" s="868"/>
      <c r="U234" s="1034"/>
      <c r="V234" s="1034"/>
      <c r="W234" s="1035"/>
      <c r="X234" s="1037">
        <f>SUM(X191:X233)</f>
        <v>1510033.3671471232</v>
      </c>
      <c r="Y234" s="1037"/>
      <c r="Z234" s="1037">
        <f>SUM(Z191:Z233)</f>
        <v>0</v>
      </c>
      <c r="AA234" s="1035"/>
      <c r="AB234" s="1037">
        <v>19827.142396742922</v>
      </c>
    </row>
    <row r="235" spans="2:28" ht="15.75">
      <c r="B235" s="855"/>
      <c r="C235" s="841" t="s">
        <v>150</v>
      </c>
      <c r="D235" s="842"/>
      <c r="E235" s="843"/>
      <c r="F235" s="1044"/>
      <c r="G235" s="1092"/>
      <c r="H235" s="1093"/>
      <c r="I235" s="950">
        <f t="shared" si="8"/>
        <v>0</v>
      </c>
      <c r="J235" s="1094"/>
      <c r="K235" s="1112"/>
      <c r="L235" s="1013"/>
      <c r="M235" s="1014"/>
      <c r="N235"/>
      <c r="O235"/>
      <c r="P235" s="855"/>
      <c r="Q235" s="855"/>
      <c r="R235" s="855"/>
      <c r="S235" s="855"/>
      <c r="T235" s="855"/>
      <c r="U235" s="1019"/>
      <c r="V235" s="1019"/>
      <c r="W235"/>
      <c r="X235" s="984"/>
      <c r="Y235" s="984"/>
      <c r="Z235" s="984"/>
      <c r="AA235"/>
      <c r="AB235" s="984"/>
    </row>
    <row r="236" spans="2:28" ht="15.75">
      <c r="B236" s="855"/>
      <c r="C236" s="842" t="s">
        <v>151</v>
      </c>
      <c r="D236" s="842"/>
      <c r="E236" s="1042"/>
      <c r="F236" s="1044"/>
      <c r="G236" s="1110">
        <v>2500000</v>
      </c>
      <c r="H236" s="1111"/>
      <c r="I236" s="950">
        <f t="shared" si="8"/>
        <v>12376.237623762376</v>
      </c>
      <c r="J236" s="1242"/>
      <c r="K236" s="1266"/>
      <c r="L236" s="1267"/>
      <c r="M236" s="1111"/>
      <c r="N236"/>
      <c r="O236"/>
      <c r="P236" s="855"/>
      <c r="Q236" s="855"/>
      <c r="R236" s="855"/>
      <c r="S236" s="855"/>
      <c r="T236" s="855"/>
      <c r="U236" s="1121">
        <v>1</v>
      </c>
      <c r="V236" s="1019">
        <f>1-U236</f>
        <v>0</v>
      </c>
      <c r="W236"/>
      <c r="X236" s="984">
        <f>U236*G236</f>
        <v>2500000</v>
      </c>
      <c r="Y236" s="984"/>
      <c r="Z236" s="984">
        <f>V236*G236</f>
        <v>0</v>
      </c>
      <c r="AA236"/>
      <c r="AB236" s="984">
        <v>50000</v>
      </c>
    </row>
    <row r="237" spans="2:28" ht="22.5">
      <c r="B237" s="855"/>
      <c r="C237" s="842" t="s">
        <v>145</v>
      </c>
      <c r="D237" s="842"/>
      <c r="E237" s="843"/>
      <c r="F237" s="1044"/>
      <c r="G237" s="1092">
        <v>0</v>
      </c>
      <c r="H237" s="1093"/>
      <c r="I237" s="950">
        <f t="shared" si="8"/>
        <v>0</v>
      </c>
      <c r="J237" s="1094"/>
      <c r="K237" s="1112" t="s">
        <v>927</v>
      </c>
      <c r="L237" s="1013"/>
      <c r="M237" s="1014"/>
      <c r="N237"/>
      <c r="O237"/>
      <c r="P237" s="855"/>
      <c r="Q237" s="855"/>
      <c r="R237" s="855"/>
      <c r="S237" s="855"/>
      <c r="T237" s="855"/>
      <c r="U237" s="1019">
        <v>1</v>
      </c>
      <c r="V237" s="1019">
        <v>0</v>
      </c>
      <c r="W237"/>
      <c r="X237" s="984">
        <f>U237*G237</f>
        <v>0</v>
      </c>
      <c r="Y237" s="984"/>
      <c r="Z237" s="984">
        <f>V237*G237</f>
        <v>0</v>
      </c>
      <c r="AA237"/>
      <c r="AB237" s="984">
        <v>0</v>
      </c>
    </row>
    <row r="238" spans="2:28" ht="15.75">
      <c r="B238" s="855"/>
      <c r="C238" s="842" t="s">
        <v>143</v>
      </c>
      <c r="D238" s="842"/>
      <c r="E238" s="843"/>
      <c r="F238" s="1044"/>
      <c r="G238" s="1092">
        <f>SUM(F239:F241)</f>
        <v>20750</v>
      </c>
      <c r="H238" s="1093"/>
      <c r="I238" s="950">
        <f t="shared" si="8"/>
        <v>102.72277227722772</v>
      </c>
      <c r="J238" s="1094"/>
      <c r="K238" s="1112"/>
      <c r="L238" s="1013"/>
      <c r="M238" s="1014"/>
      <c r="N238"/>
      <c r="O238"/>
      <c r="P238" s="855"/>
      <c r="Q238" s="855"/>
      <c r="R238" s="855"/>
      <c r="S238" s="855"/>
      <c r="T238" s="855"/>
      <c r="U238" s="1019">
        <v>1</v>
      </c>
      <c r="V238" s="1019">
        <v>0</v>
      </c>
      <c r="W238"/>
      <c r="X238" s="984">
        <f>U238*G238</f>
        <v>20750</v>
      </c>
      <c r="Y238" s="984"/>
      <c r="Z238" s="984">
        <f>V238*G238</f>
        <v>0</v>
      </c>
      <c r="AA238"/>
      <c r="AB238" s="984">
        <v>415</v>
      </c>
    </row>
    <row r="239" spans="2:28" ht="15.75">
      <c r="B239" s="855"/>
      <c r="C239" s="842"/>
      <c r="D239" s="842" t="s">
        <v>928</v>
      </c>
      <c r="E239" s="1284">
        <v>1300</v>
      </c>
      <c r="F239" s="1044">
        <v>3250</v>
      </c>
      <c r="G239" s="1092"/>
      <c r="H239" s="1093"/>
      <c r="I239" s="950">
        <f t="shared" si="8"/>
        <v>0</v>
      </c>
      <c r="J239" s="1094"/>
      <c r="K239" s="1143"/>
      <c r="L239" s="1046"/>
      <c r="M239" s="1014"/>
      <c r="N239"/>
      <c r="O239"/>
      <c r="P239" s="855"/>
      <c r="Q239" s="855"/>
      <c r="R239" s="855"/>
      <c r="S239" s="855"/>
      <c r="T239" s="855"/>
      <c r="U239" s="1019"/>
      <c r="V239" s="1019"/>
      <c r="W239"/>
      <c r="X239" s="984"/>
      <c r="Y239" s="984"/>
      <c r="Z239" s="984"/>
      <c r="AA239"/>
      <c r="AB239" s="984"/>
    </row>
    <row r="240" spans="2:28" ht="15.75">
      <c r="B240" s="855"/>
      <c r="C240" s="842"/>
      <c r="D240" s="842" t="s">
        <v>929</v>
      </c>
      <c r="E240" s="843"/>
      <c r="F240" s="1250">
        <v>15000</v>
      </c>
      <c r="G240" s="1092"/>
      <c r="H240" s="1093"/>
      <c r="I240" s="950">
        <f t="shared" si="8"/>
        <v>0</v>
      </c>
      <c r="J240" s="1094"/>
      <c r="K240" s="1143"/>
      <c r="L240" s="1046"/>
      <c r="M240" s="1014"/>
      <c r="N240"/>
      <c r="O240"/>
      <c r="P240" s="855"/>
      <c r="Q240" s="855"/>
      <c r="R240" s="855"/>
      <c r="S240" s="855"/>
      <c r="T240" s="855"/>
      <c r="U240" s="1019"/>
      <c r="V240" s="1019"/>
      <c r="W240"/>
      <c r="X240" s="984"/>
      <c r="Y240" s="984"/>
      <c r="Z240" s="984"/>
      <c r="AA240"/>
      <c r="AB240" s="984"/>
    </row>
    <row r="241" spans="2:28" ht="15.75">
      <c r="B241" s="855"/>
      <c r="C241" s="842"/>
      <c r="D241" s="842" t="s">
        <v>930</v>
      </c>
      <c r="E241" s="843"/>
      <c r="F241" s="1091">
        <v>2500</v>
      </c>
      <c r="G241" s="1092"/>
      <c r="H241" s="1093"/>
      <c r="I241" s="950">
        <f t="shared" si="8"/>
        <v>0</v>
      </c>
      <c r="J241" s="1094"/>
      <c r="K241" s="1125"/>
      <c r="L241" s="1045"/>
      <c r="M241" s="1014"/>
      <c r="N241"/>
      <c r="O241"/>
      <c r="P241" s="855"/>
      <c r="Q241" s="855"/>
      <c r="R241" s="855"/>
      <c r="S241" s="855"/>
      <c r="T241" s="855"/>
      <c r="U241" s="1019"/>
      <c r="V241" s="1019"/>
      <c r="W241"/>
      <c r="X241" s="984"/>
      <c r="Y241" s="984"/>
      <c r="Z241" s="984"/>
      <c r="AA241"/>
      <c r="AB241" s="984"/>
    </row>
    <row r="242" spans="2:28">
      <c r="B242" s="868"/>
      <c r="C242" s="949" t="s">
        <v>931</v>
      </c>
      <c r="D242" s="841"/>
      <c r="E242" s="1285"/>
      <c r="F242" s="1126"/>
      <c r="G242" s="1127">
        <f>SUM(G236:G241)</f>
        <v>2520750</v>
      </c>
      <c r="H242" s="1128"/>
      <c r="I242" s="950">
        <f>G242/$F$9</f>
        <v>12478.960396039603</v>
      </c>
      <c r="J242" s="1242"/>
      <c r="K242" s="1286"/>
      <c r="L242" s="1287"/>
      <c r="M242" s="1104"/>
      <c r="N242" s="1035"/>
      <c r="O242" s="1035"/>
      <c r="P242" s="868"/>
      <c r="Q242" s="868"/>
      <c r="R242" s="868"/>
      <c r="S242" s="868"/>
      <c r="T242" s="868"/>
      <c r="U242" s="1034"/>
      <c r="V242" s="1034"/>
      <c r="W242" s="1035"/>
      <c r="X242" s="1037">
        <f>SUM(X236:X241)</f>
        <v>2520750</v>
      </c>
      <c r="Y242" s="1037"/>
      <c r="Z242" s="1037">
        <f>SUM(Z236:Z241)</f>
        <v>0</v>
      </c>
      <c r="AA242" s="1035"/>
      <c r="AB242" s="1037">
        <v>50415</v>
      </c>
    </row>
    <row r="243" spans="2:28" ht="15.75">
      <c r="B243" s="855"/>
      <c r="C243" s="841" t="s">
        <v>932</v>
      </c>
      <c r="D243" s="842"/>
      <c r="E243" s="1288"/>
      <c r="F243" s="1088"/>
      <c r="G243" s="1110"/>
      <c r="H243" s="1111"/>
      <c r="I243" s="950">
        <f>G243/$F$9</f>
        <v>0</v>
      </c>
      <c r="J243" s="1094"/>
      <c r="K243" s="1278"/>
      <c r="L243" s="1279"/>
      <c r="M243" s="1014"/>
      <c r="N243"/>
      <c r="O243"/>
      <c r="P243" s="855"/>
      <c r="Q243" s="855"/>
      <c r="R243" s="855"/>
      <c r="S243" s="855"/>
      <c r="T243" s="855"/>
      <c r="U243" s="1019"/>
      <c r="V243" s="1019"/>
      <c r="W243"/>
      <c r="X243" s="984"/>
      <c r="Y243" s="984"/>
      <c r="Z243" s="984"/>
      <c r="AA243"/>
      <c r="AB243" s="984"/>
    </row>
    <row r="244" spans="2:28" ht="15.75">
      <c r="B244" s="855"/>
      <c r="C244" s="842" t="s">
        <v>933</v>
      </c>
      <c r="D244" s="847"/>
      <c r="E244" s="1289"/>
      <c r="F244" s="1088"/>
      <c r="G244" s="1256">
        <v>0</v>
      </c>
      <c r="H244" s="1257"/>
      <c r="I244" s="950">
        <f t="shared" si="8"/>
        <v>0</v>
      </c>
      <c r="J244" s="1094"/>
      <c r="K244" s="1278"/>
      <c r="L244" s="1279"/>
      <c r="M244" s="1014"/>
      <c r="N244"/>
      <c r="O244"/>
      <c r="P244" s="855"/>
      <c r="Q244" s="855"/>
      <c r="R244" s="855"/>
      <c r="S244" s="855"/>
      <c r="T244" s="855"/>
      <c r="U244" s="1121">
        <v>1</v>
      </c>
      <c r="V244" s="1019">
        <f>1-U244</f>
        <v>0</v>
      </c>
      <c r="W244"/>
      <c r="X244" s="984">
        <f>U244*G244</f>
        <v>0</v>
      </c>
      <c r="Y244" s="984"/>
      <c r="Z244" s="984">
        <f>V244*G244</f>
        <v>0</v>
      </c>
      <c r="AA244"/>
      <c r="AB244" s="984">
        <v>300</v>
      </c>
    </row>
    <row r="245" spans="2:28" ht="15.75">
      <c r="B245" s="855"/>
      <c r="C245" s="842" t="s">
        <v>934</v>
      </c>
      <c r="D245" s="847"/>
      <c r="E245" s="1288"/>
      <c r="F245" s="1088"/>
      <c r="G245" s="1256">
        <v>0</v>
      </c>
      <c r="H245" s="1257"/>
      <c r="I245" s="950">
        <f t="shared" si="8"/>
        <v>0</v>
      </c>
      <c r="J245" s="1094"/>
      <c r="K245" s="1278"/>
      <c r="L245" s="1279"/>
      <c r="M245" s="1014"/>
      <c r="N245"/>
      <c r="O245"/>
      <c r="P245" s="855"/>
      <c r="Q245" s="855"/>
      <c r="R245" s="855"/>
      <c r="S245" s="855"/>
      <c r="T245" s="855"/>
      <c r="U245" s="1121">
        <v>1</v>
      </c>
      <c r="V245" s="1019">
        <f>1-U245</f>
        <v>0</v>
      </c>
      <c r="W245"/>
      <c r="X245" s="984">
        <f>U245*G245</f>
        <v>0</v>
      </c>
      <c r="Y245" s="984"/>
      <c r="Z245" s="984">
        <f>V245*G245</f>
        <v>0</v>
      </c>
      <c r="AA245"/>
      <c r="AB245" s="984">
        <v>1000</v>
      </c>
    </row>
    <row r="246" spans="2:28" ht="15.75">
      <c r="B246" s="855"/>
      <c r="C246" s="842" t="s">
        <v>935</v>
      </c>
      <c r="D246" s="847"/>
      <c r="E246" s="1288"/>
      <c r="F246" s="1088"/>
      <c r="G246" s="1256">
        <v>0</v>
      </c>
      <c r="H246" s="1257"/>
      <c r="I246" s="950">
        <f t="shared" si="8"/>
        <v>0</v>
      </c>
      <c r="J246" s="1094"/>
      <c r="K246" s="1278" t="s">
        <v>936</v>
      </c>
      <c r="L246" s="1279"/>
      <c r="M246" s="1014"/>
      <c r="N246"/>
      <c r="O246"/>
      <c r="P246" s="855"/>
      <c r="Q246" s="855"/>
      <c r="R246" s="855"/>
      <c r="S246" s="855"/>
      <c r="T246" s="855"/>
      <c r="U246" s="1121">
        <v>1</v>
      </c>
      <c r="V246" s="1019">
        <f>1-U246</f>
        <v>0</v>
      </c>
      <c r="W246"/>
      <c r="X246" s="984">
        <f>U246*G246</f>
        <v>0</v>
      </c>
      <c r="Y246" s="984"/>
      <c r="Z246" s="984">
        <f>V246*G246</f>
        <v>0</v>
      </c>
      <c r="AA246"/>
      <c r="AB246" s="984">
        <v>0</v>
      </c>
    </row>
    <row r="247" spans="2:28" ht="15.75">
      <c r="B247" s="855"/>
      <c r="C247" s="842" t="s">
        <v>937</v>
      </c>
      <c r="D247" s="847"/>
      <c r="E247" s="1290">
        <v>800</v>
      </c>
      <c r="F247" s="1088"/>
      <c r="G247" s="1110">
        <v>666.66666666666663</v>
      </c>
      <c r="H247" s="1111"/>
      <c r="I247" s="950">
        <f t="shared" si="8"/>
        <v>3.3003300330033003</v>
      </c>
      <c r="J247" s="1094"/>
      <c r="K247" s="1291"/>
      <c r="L247" s="1292"/>
      <c r="M247" s="1014"/>
      <c r="N247"/>
      <c r="O247"/>
      <c r="P247" s="855"/>
      <c r="Q247" s="855"/>
      <c r="R247" s="855"/>
      <c r="S247" s="855"/>
      <c r="T247" s="855"/>
      <c r="U247" s="1121">
        <v>1</v>
      </c>
      <c r="V247" s="1019">
        <f>1-U247</f>
        <v>0</v>
      </c>
      <c r="W247"/>
      <c r="X247" s="984">
        <f>U247*G247</f>
        <v>666.66666666666663</v>
      </c>
      <c r="Y247" s="984"/>
      <c r="Z247" s="984">
        <f>V247*G247</f>
        <v>0</v>
      </c>
      <c r="AA247"/>
      <c r="AB247" s="984">
        <v>13.333333333333332</v>
      </c>
    </row>
    <row r="248" spans="2:28" ht="15.75">
      <c r="B248" s="855"/>
      <c r="C248" s="842" t="s">
        <v>938</v>
      </c>
      <c r="D248" s="847"/>
      <c r="E248" s="1288"/>
      <c r="F248" s="1088"/>
      <c r="G248" s="1256">
        <v>2000</v>
      </c>
      <c r="H248" s="1257"/>
      <c r="I248" s="950">
        <f t="shared" si="8"/>
        <v>9.9009900990099009</v>
      </c>
      <c r="J248" s="1094"/>
      <c r="K248" s="1278"/>
      <c r="L248" s="1279"/>
      <c r="M248" s="1014"/>
      <c r="N248"/>
      <c r="O248"/>
      <c r="P248" s="855"/>
      <c r="Q248" s="855"/>
      <c r="R248" s="855"/>
      <c r="S248" s="855"/>
      <c r="T248" s="855"/>
      <c r="U248" s="1121">
        <v>1</v>
      </c>
      <c r="V248" s="1019">
        <f>1-U248</f>
        <v>0</v>
      </c>
      <c r="W248"/>
      <c r="X248" s="984">
        <f>U248*G248</f>
        <v>2000</v>
      </c>
      <c r="Y248" s="984"/>
      <c r="Z248" s="984">
        <f>V248*G248</f>
        <v>0</v>
      </c>
      <c r="AA248"/>
      <c r="AB248" s="984">
        <v>40</v>
      </c>
    </row>
    <row r="249" spans="2:28">
      <c r="B249" s="868"/>
      <c r="C249" s="949" t="s">
        <v>939</v>
      </c>
      <c r="D249" s="841"/>
      <c r="E249" s="1285"/>
      <c r="F249" s="1126"/>
      <c r="G249" s="1127">
        <f>SUM(G244:G248)</f>
        <v>2666.6666666666665</v>
      </c>
      <c r="H249" s="1128"/>
      <c r="I249" s="950">
        <f t="shared" si="8"/>
        <v>13.201320132013201</v>
      </c>
      <c r="J249" s="1242"/>
      <c r="K249" s="1286"/>
      <c r="M249" s="1104"/>
      <c r="N249" s="1035"/>
      <c r="O249" s="1035"/>
      <c r="P249" s="868"/>
      <c r="Q249" s="868"/>
      <c r="R249" s="868"/>
      <c r="S249" s="868"/>
      <c r="T249" s="868"/>
      <c r="U249" s="1034"/>
      <c r="V249" s="1034"/>
      <c r="W249" s="1035"/>
      <c r="X249" s="1037">
        <f>SUM(X244:X248)</f>
        <v>2666.6666666666665</v>
      </c>
      <c r="Y249" s="1037"/>
      <c r="Z249" s="1037">
        <f>SUM(Z244:Z248)</f>
        <v>0</v>
      </c>
      <c r="AA249" s="1035"/>
      <c r="AB249" s="1037">
        <v>1353.3333333333335</v>
      </c>
    </row>
    <row r="250" spans="2:28">
      <c r="B250" s="1293"/>
      <c r="C250" s="1294" t="s">
        <v>940</v>
      </c>
      <c r="D250" s="1294"/>
      <c r="E250" s="1295"/>
      <c r="F250" s="1296"/>
      <c r="G250" s="1297">
        <f>SUM(G249,G242,G234,G189,G181,G176,G170,G148,G80,G65,G59,G52,G47,G30:G43,G28,G114,G97)</f>
        <v>129484051.13222499</v>
      </c>
      <c r="H250" s="1298"/>
      <c r="I250" s="1299">
        <f>G250/F9</f>
        <v>641010.15411992569</v>
      </c>
      <c r="J250" s="1300"/>
      <c r="K250" s="1301"/>
      <c r="L250" s="1287"/>
      <c r="M250" s="1302"/>
      <c r="N250" s="1303"/>
      <c r="O250" s="1304"/>
      <c r="P250" s="1303"/>
      <c r="Q250" s="1303"/>
      <c r="R250" s="1303"/>
      <c r="S250" s="1303"/>
      <c r="T250" s="1304"/>
      <c r="U250" s="1303"/>
      <c r="V250" s="1303"/>
      <c r="W250" s="1304"/>
      <c r="X250" s="1305" t="e">
        <f>SUM(X249,X242,X234,X189,X181,X176,X170,X148,X114,X97,X80,X65,X59,X52,X47,X30:X43,#REF!,X28)</f>
        <v>#REF!</v>
      </c>
      <c r="Y250" s="1306"/>
      <c r="Z250" s="1305" t="e">
        <f>SUM(Z249,Z242,Z234,Z189,Z181,Z176,Z170,Z148,Z114,Z97,Z80,Z65,Z59,Z52,Z47,Z30:Z43,#REF!,Z28)</f>
        <v>#REF!</v>
      </c>
      <c r="AA250" s="1304"/>
      <c r="AB250" s="1305" t="e">
        <v>#REF!</v>
      </c>
    </row>
    <row r="253" spans="2:28">
      <c r="G253" s="1527" t="s">
        <v>1045</v>
      </c>
    </row>
    <row r="254" spans="2:28">
      <c r="G254" s="1528">
        <f>G250/'Construction Calculation'!C14</f>
        <v>657.74688170387583</v>
      </c>
    </row>
  </sheetData>
  <mergeCells count="1">
    <mergeCell ref="F14:G14"/>
  </mergeCells>
  <dataValidations disablePrompts="1" count="1">
    <dataValidation type="list" allowBlank="1" showInputMessage="1" showErrorMessage="1" sqref="F179" xr:uid="{00000000-0002-0000-0300-000000000000}">
      <formula1>"N,Y"</formula1>
    </dataValidation>
  </dataValidations>
  <hyperlinks>
    <hyperlink ref="P94" r:id="rId1" xr:uid="{9C681A24-FC5E-4273-9692-B82184C8DAFB}"/>
  </hyperlinks>
  <pageMargins left="0.7" right="0.7" top="0.75" bottom="0.75" header="0.3" footer="0.3"/>
  <pageSetup scale="16" fitToHeight="2" orientation="portrait" r:id="rId2"/>
  <ignoredErrors>
    <ignoredError sqref="G36" unlockedFormula="1"/>
    <ignoredError sqref="G41" formula="1"/>
    <ignoredError sqref="G59 G74" formulaRange="1"/>
  </ignoredErrors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FD83"/>
  <sheetViews>
    <sheetView topLeftCell="A3" zoomScale="70" zoomScaleNormal="70" workbookViewId="0">
      <selection activeCell="C31" sqref="C31"/>
    </sheetView>
  </sheetViews>
  <sheetFormatPr defaultRowHeight="15.75"/>
  <cols>
    <col min="1" max="1" width="3.375" customWidth="1"/>
    <col min="2" max="2" width="25.625" bestFit="1" customWidth="1"/>
    <col min="3" max="4" width="16.875" bestFit="1" customWidth="1"/>
    <col min="5" max="5" width="20.5" customWidth="1"/>
    <col min="6" max="6" width="10.75" bestFit="1" customWidth="1"/>
    <col min="7" max="7" width="11.125" customWidth="1"/>
    <col min="8" max="8" width="12.5" bestFit="1" customWidth="1"/>
    <col min="9" max="9" width="11.25" customWidth="1"/>
    <col min="10" max="10" width="15.75" bestFit="1" customWidth="1"/>
    <col min="11" max="11" width="13.875" bestFit="1" customWidth="1"/>
    <col min="12" max="12" width="13.5" bestFit="1" customWidth="1"/>
    <col min="13" max="13" width="12.25" bestFit="1" customWidth="1"/>
    <col min="14" max="14" width="12.625" bestFit="1" customWidth="1"/>
    <col min="15" max="15" width="11.125" bestFit="1" customWidth="1"/>
  </cols>
  <sheetData>
    <row r="1" spans="1:15" ht="18.75">
      <c r="A1" s="158" t="s">
        <v>425</v>
      </c>
    </row>
    <row r="2" spans="1:15" ht="18.75">
      <c r="A2" s="158" t="s">
        <v>426</v>
      </c>
    </row>
    <row r="3" spans="1:15" ht="16.5" thickBot="1"/>
    <row r="4" spans="1:15">
      <c r="B4" s="1347" t="s">
        <v>10</v>
      </c>
      <c r="C4" s="1348">
        <f>'Rental Income'!D15</f>
        <v>202</v>
      </c>
      <c r="D4" s="507" t="s">
        <v>261</v>
      </c>
      <c r="E4" s="507"/>
      <c r="F4" s="507"/>
      <c r="G4" s="508"/>
    </row>
    <row r="5" spans="1:15">
      <c r="B5" s="1349" t="s">
        <v>11</v>
      </c>
      <c r="C5" s="700">
        <f>'Construction Calculation'!C19</f>
        <v>196860</v>
      </c>
      <c r="D5" t="s">
        <v>427</v>
      </c>
      <c r="G5" s="510"/>
    </row>
    <row r="6" spans="1:15">
      <c r="B6" s="1350" t="s">
        <v>12</v>
      </c>
      <c r="C6" s="700">
        <f>'Construction Calculation'!C14</f>
        <v>196860</v>
      </c>
      <c r="D6" t="s">
        <v>427</v>
      </c>
      <c r="E6" s="53"/>
      <c r="G6" s="510"/>
    </row>
    <row r="7" spans="1:15">
      <c r="B7" s="1350" t="s">
        <v>13</v>
      </c>
      <c r="C7" s="700">
        <f>'Construction Calculation'!C18</f>
        <v>0</v>
      </c>
      <c r="D7" t="s">
        <v>427</v>
      </c>
      <c r="G7" s="1351"/>
    </row>
    <row r="8" spans="1:15">
      <c r="B8" s="1350" t="s">
        <v>428</v>
      </c>
      <c r="C8" s="700">
        <f>'Construction Calculation'!C13</f>
        <v>32810</v>
      </c>
      <c r="D8" t="s">
        <v>427</v>
      </c>
      <c r="G8" s="510"/>
    </row>
    <row r="9" spans="1:15">
      <c r="B9" s="1350" t="s">
        <v>429</v>
      </c>
      <c r="C9" s="700">
        <f>'Construction Calculation'!C47</f>
        <v>101</v>
      </c>
      <c r="D9" t="s">
        <v>430</v>
      </c>
      <c r="G9" s="510"/>
    </row>
    <row r="10" spans="1:15" ht="16.5" thickBot="1">
      <c r="B10" s="511"/>
      <c r="C10" s="1352">
        <v>22630</v>
      </c>
      <c r="D10" s="512" t="s">
        <v>427</v>
      </c>
      <c r="E10" s="512"/>
      <c r="F10" s="512"/>
      <c r="G10" s="1353"/>
    </row>
    <row r="11" spans="1:15" ht="16.5" thickBot="1"/>
    <row r="12" spans="1:15">
      <c r="A12" s="1356" t="s">
        <v>431</v>
      </c>
      <c r="B12" s="1357"/>
      <c r="C12" s="1357"/>
      <c r="D12" s="1358"/>
      <c r="E12" s="58"/>
    </row>
    <row r="13" spans="1:15">
      <c r="A13" s="1359"/>
      <c r="B13" t="s">
        <v>432</v>
      </c>
      <c r="D13" s="1429"/>
      <c r="F13" s="48"/>
      <c r="H13" s="147"/>
      <c r="I13" s="147"/>
      <c r="J13" s="147"/>
      <c r="L13" s="54"/>
      <c r="N13" s="48"/>
    </row>
    <row r="14" spans="1:15">
      <c r="A14" s="1359"/>
      <c r="B14" t="s">
        <v>433</v>
      </c>
      <c r="C14" s="318">
        <v>5.2999999999999999E-2</v>
      </c>
      <c r="D14" s="1429"/>
      <c r="F14" s="51"/>
      <c r="H14" s="147"/>
      <c r="I14" s="147"/>
      <c r="L14" s="54"/>
      <c r="N14" s="48"/>
      <c r="O14" s="53">
        <f>N14/2</f>
        <v>0</v>
      </c>
    </row>
    <row r="15" spans="1:15">
      <c r="A15" s="1359"/>
      <c r="B15" t="s">
        <v>434</v>
      </c>
      <c r="C15" s="318">
        <v>1.7500000000000002E-2</v>
      </c>
      <c r="D15" s="1429"/>
      <c r="F15" s="53"/>
      <c r="N15" s="147"/>
    </row>
    <row r="16" spans="1:15" ht="16.5" thickBot="1">
      <c r="A16" s="1359"/>
      <c r="B16" t="s">
        <v>435</v>
      </c>
      <c r="C16" s="319">
        <v>0</v>
      </c>
      <c r="D16" s="1429"/>
      <c r="F16" s="56"/>
    </row>
    <row r="17" spans="1:13" ht="16.5" thickTop="1">
      <c r="A17" s="1359"/>
      <c r="C17" s="1354">
        <f>SUM(C14:C16)</f>
        <v>7.0500000000000007E-2</v>
      </c>
      <c r="D17" s="1360"/>
      <c r="F17" s="48"/>
    </row>
    <row r="18" spans="1:13">
      <c r="A18" s="1359"/>
      <c r="B18" t="s">
        <v>443</v>
      </c>
      <c r="C18" s="55">
        <v>0.65</v>
      </c>
      <c r="D18" s="1360"/>
      <c r="M18" s="48"/>
    </row>
    <row r="19" spans="1:13">
      <c r="A19" s="1359"/>
      <c r="B19" t="s">
        <v>1100</v>
      </c>
      <c r="C19">
        <v>24</v>
      </c>
      <c r="D19" s="1360"/>
      <c r="K19" s="147"/>
      <c r="L19" s="147"/>
      <c r="M19" s="53"/>
    </row>
    <row r="20" spans="1:13">
      <c r="A20" s="1359"/>
      <c r="B20" t="s">
        <v>437</v>
      </c>
      <c r="C20" s="1355">
        <v>83205212.517524853</v>
      </c>
      <c r="D20" s="1375">
        <f>MIN(D22,GapCalc!D24)</f>
        <v>84164633.235946253</v>
      </c>
    </row>
    <row r="21" spans="1:13" ht="16.5" thickBot="1">
      <c r="A21" s="1359"/>
      <c r="B21" t="s">
        <v>109</v>
      </c>
      <c r="C21" s="482">
        <v>0.01</v>
      </c>
      <c r="D21" s="1360"/>
    </row>
    <row r="22" spans="1:13" ht="16.5" thickBot="1">
      <c r="A22" s="1359"/>
      <c r="C22" s="516" t="s">
        <v>1038</v>
      </c>
      <c r="D22" s="1391">
        <f>C18*'Development Budget'!G250</f>
        <v>84164633.235946253</v>
      </c>
      <c r="G22" s="147"/>
    </row>
    <row r="23" spans="1:13">
      <c r="A23" s="1430" t="s">
        <v>438</v>
      </c>
      <c r="B23" s="1370"/>
      <c r="C23" s="1370" t="s">
        <v>67</v>
      </c>
      <c r="D23" s="1370"/>
      <c r="E23" s="1390" t="s">
        <v>964</v>
      </c>
      <c r="F23" s="1382" t="s">
        <v>432</v>
      </c>
      <c r="G23" s="1534">
        <v>0.09</v>
      </c>
      <c r="H23" s="1383"/>
    </row>
    <row r="24" spans="1:13">
      <c r="A24" s="1371"/>
      <c r="B24" t="s">
        <v>432</v>
      </c>
      <c r="C24" s="1361">
        <v>6.0499999999999998E-2</v>
      </c>
      <c r="D24" s="1425">
        <f>PMT(C24/12,C25*12,C30)*12</f>
        <v>0</v>
      </c>
      <c r="E24" s="1384"/>
      <c r="G24" s="1377"/>
      <c r="H24" s="1385"/>
      <c r="K24" s="1425"/>
    </row>
    <row r="25" spans="1:13">
      <c r="A25" s="1371"/>
      <c r="B25" t="s">
        <v>1101</v>
      </c>
      <c r="C25">
        <v>34</v>
      </c>
      <c r="E25" s="1384"/>
      <c r="G25" s="1377"/>
      <c r="H25" s="1385"/>
    </row>
    <row r="26" spans="1:13" ht="16.5" thickBot="1">
      <c r="A26" s="1371"/>
      <c r="B26" t="s">
        <v>439</v>
      </c>
      <c r="C26">
        <v>1.2</v>
      </c>
      <c r="E26" s="1384"/>
      <c r="G26" s="1378"/>
      <c r="H26" s="1385"/>
    </row>
    <row r="27" spans="1:13" ht="16.5" thickTop="1">
      <c r="A27" s="1371"/>
      <c r="B27" t="s">
        <v>440</v>
      </c>
      <c r="C27" s="51">
        <f>'Cash Flow'!E21/Data!C26</f>
        <v>4908090.7239028849</v>
      </c>
      <c r="D27" s="40" t="s">
        <v>443</v>
      </c>
      <c r="E27" s="1384"/>
      <c r="G27" s="1379"/>
      <c r="H27" s="1385"/>
    </row>
    <row r="28" spans="1:13">
      <c r="A28" s="1371"/>
      <c r="B28" t="s">
        <v>441</v>
      </c>
      <c r="C28" s="482">
        <v>0.6</v>
      </c>
      <c r="D28" s="1517">
        <f>'Cash Flow'!E15/0.05*C28</f>
        <v>94942620</v>
      </c>
      <c r="E28" s="1384"/>
      <c r="F28" t="s">
        <v>1046</v>
      </c>
      <c r="G28" s="1380"/>
      <c r="H28" s="55">
        <v>1</v>
      </c>
    </row>
    <row r="29" spans="1:13">
      <c r="A29" s="1371"/>
      <c r="B29" t="s">
        <v>442</v>
      </c>
      <c r="C29">
        <v>34</v>
      </c>
      <c r="E29" s="1384"/>
      <c r="F29" t="s">
        <v>436</v>
      </c>
      <c r="G29" s="1380">
        <v>15</v>
      </c>
      <c r="H29" s="1385"/>
    </row>
    <row r="30" spans="1:13">
      <c r="A30" s="1371"/>
      <c r="B30" t="s">
        <v>437</v>
      </c>
      <c r="C30" s="1432">
        <v>0</v>
      </c>
      <c r="D30" s="1376">
        <f>-PV($C$24/12,$C$29*12,C27/12)</f>
        <v>70700902.797364295</v>
      </c>
      <c r="E30" s="1384"/>
      <c r="F30" t="s">
        <v>437</v>
      </c>
      <c r="G30" s="1381"/>
      <c r="H30" s="1376">
        <f>PV(G23,G29,-'Cash Flow'!E41*H28,)</f>
        <v>7912518.0221677888</v>
      </c>
    </row>
    <row r="31" spans="1:13" ht="16.5" thickBot="1">
      <c r="A31" s="1372"/>
      <c r="B31" s="1373" t="s">
        <v>109</v>
      </c>
      <c r="C31" s="1374">
        <v>0.01</v>
      </c>
      <c r="D31" s="1373"/>
      <c r="E31" s="1386"/>
      <c r="F31" s="1387" t="s">
        <v>109</v>
      </c>
      <c r="G31" s="1388">
        <v>0.01</v>
      </c>
      <c r="H31" s="1389"/>
    </row>
    <row r="32" spans="1:13">
      <c r="A32" s="1369" t="s">
        <v>1035</v>
      </c>
      <c r="E32" s="1363"/>
      <c r="G32" s="53"/>
    </row>
    <row r="33" spans="1:10">
      <c r="A33" s="1362"/>
      <c r="B33" t="s">
        <v>432</v>
      </c>
      <c r="C33" s="1361">
        <v>4.4999999999999998E-2</v>
      </c>
      <c r="E33" s="1363"/>
      <c r="I33" s="54"/>
    </row>
    <row r="34" spans="1:10">
      <c r="A34" s="1362"/>
      <c r="B34" t="s">
        <v>1101</v>
      </c>
      <c r="C34">
        <v>30</v>
      </c>
      <c r="E34" s="1364">
        <f>Data!M19</f>
        <v>0</v>
      </c>
      <c r="I34" s="318"/>
    </row>
    <row r="35" spans="1:10">
      <c r="A35" s="1362"/>
      <c r="B35" t="s">
        <v>439</v>
      </c>
      <c r="C35">
        <v>1.2</v>
      </c>
      <c r="E35" s="1363"/>
      <c r="I35" s="54"/>
    </row>
    <row r="36" spans="1:10">
      <c r="A36" s="1362"/>
      <c r="B36" t="s">
        <v>440</v>
      </c>
      <c r="C36" s="51">
        <f>'Cash Flow'!E21/Data!C35</f>
        <v>4908090.7239028849</v>
      </c>
      <c r="E36" s="1365">
        <f>-PV($C$33,$C$34,E34)</f>
        <v>0</v>
      </c>
      <c r="I36" s="1354"/>
    </row>
    <row r="37" spans="1:10" ht="16.5" thickBot="1">
      <c r="A37" s="1362"/>
      <c r="B37" t="s">
        <v>441</v>
      </c>
      <c r="C37" s="482">
        <v>0.8</v>
      </c>
      <c r="E37" s="1363"/>
    </row>
    <row r="38" spans="1:10" ht="16.5" thickBot="1">
      <c r="A38" s="1362"/>
      <c r="B38" t="s">
        <v>437</v>
      </c>
      <c r="C38" s="1432">
        <v>80722206.149175584</v>
      </c>
      <c r="D38" s="516" t="s">
        <v>1038</v>
      </c>
      <c r="E38" s="1391">
        <f>C37*GapCalc!D24</f>
        <v>103587240.90578</v>
      </c>
    </row>
    <row r="39" spans="1:10">
      <c r="A39" s="1362"/>
      <c r="B39" t="s">
        <v>109</v>
      </c>
      <c r="C39" s="54">
        <f>C21</f>
        <v>0.01</v>
      </c>
      <c r="D39" t="s">
        <v>1052</v>
      </c>
      <c r="E39" s="1376">
        <f>PV($C$33/12,$C$34*12,-C36/12)</f>
        <v>80722206.149175584</v>
      </c>
      <c r="I39" s="48"/>
    </row>
    <row r="40" spans="1:10" ht="16.5" thickBot="1">
      <c r="A40" s="1366"/>
      <c r="B40" s="1367"/>
      <c r="C40" s="1367"/>
      <c r="D40" s="1367"/>
      <c r="E40" s="1368"/>
      <c r="I40" s="55"/>
    </row>
    <row r="41" spans="1:10" ht="16.5" thickBot="1"/>
    <row r="42" spans="1:10">
      <c r="A42" s="506" t="s">
        <v>444</v>
      </c>
      <c r="B42" s="507"/>
      <c r="C42" s="507"/>
      <c r="D42" s="507"/>
      <c r="E42" s="507"/>
      <c r="F42" s="508"/>
    </row>
    <row r="43" spans="1:10">
      <c r="A43" s="509"/>
      <c r="C43" t="s">
        <v>51</v>
      </c>
      <c r="D43" t="s">
        <v>77</v>
      </c>
      <c r="E43" t="s">
        <v>78</v>
      </c>
      <c r="F43" s="510" t="s">
        <v>445</v>
      </c>
    </row>
    <row r="44" spans="1:10">
      <c r="A44" s="509"/>
      <c r="B44" t="s">
        <v>446</v>
      </c>
      <c r="C44">
        <v>1</v>
      </c>
      <c r="D44">
        <v>2</v>
      </c>
      <c r="E44">
        <v>3</v>
      </c>
      <c r="F44" s="510">
        <v>3</v>
      </c>
    </row>
    <row r="45" spans="1:10">
      <c r="A45" s="509"/>
      <c r="B45" t="s">
        <v>447</v>
      </c>
      <c r="C45">
        <v>1</v>
      </c>
      <c r="D45">
        <v>2</v>
      </c>
      <c r="E45">
        <v>3</v>
      </c>
      <c r="F45" s="510">
        <v>3</v>
      </c>
    </row>
    <row r="46" spans="1:10">
      <c r="A46" s="509"/>
      <c r="B46" t="s">
        <v>448</v>
      </c>
      <c r="C46">
        <v>5</v>
      </c>
      <c r="D46">
        <v>6</v>
      </c>
      <c r="E46">
        <v>8</v>
      </c>
      <c r="F46" s="510">
        <v>10</v>
      </c>
      <c r="J46" s="1425"/>
    </row>
    <row r="47" spans="1:10">
      <c r="A47" s="509"/>
      <c r="B47" s="505" t="s">
        <v>449</v>
      </c>
      <c r="C47" s="505">
        <v>41</v>
      </c>
      <c r="D47" s="505">
        <v>58</v>
      </c>
      <c r="E47" s="505">
        <v>74</v>
      </c>
      <c r="F47" s="519">
        <v>91</v>
      </c>
    </row>
    <row r="48" spans="1:10">
      <c r="A48" s="509"/>
      <c r="B48" t="s">
        <v>450</v>
      </c>
      <c r="C48">
        <v>22</v>
      </c>
      <c r="D48">
        <v>31</v>
      </c>
      <c r="E48">
        <v>40</v>
      </c>
      <c r="F48" s="510">
        <v>49</v>
      </c>
    </row>
    <row r="49" spans="1:7 16384:16384">
      <c r="A49" s="509"/>
      <c r="B49" t="s">
        <v>451</v>
      </c>
      <c r="C49">
        <v>15</v>
      </c>
      <c r="D49">
        <v>21</v>
      </c>
      <c r="E49">
        <v>27</v>
      </c>
      <c r="F49" s="510">
        <v>34</v>
      </c>
    </row>
    <row r="50" spans="1:7 16384:16384">
      <c r="A50" s="509"/>
      <c r="B50" t="s">
        <v>452</v>
      </c>
      <c r="F50" s="510"/>
    </row>
    <row r="51" spans="1:7 16384:16384">
      <c r="A51" s="509"/>
      <c r="B51" t="s">
        <v>453</v>
      </c>
      <c r="C51">
        <v>0</v>
      </c>
      <c r="D51">
        <v>0</v>
      </c>
      <c r="E51">
        <v>0</v>
      </c>
      <c r="F51" s="510">
        <v>0</v>
      </c>
    </row>
    <row r="52" spans="1:7 16384:16384">
      <c r="A52" s="509"/>
      <c r="F52" s="510"/>
    </row>
    <row r="53" spans="1:7 16384:16384" ht="16.5" thickBot="1">
      <c r="A53" s="511"/>
      <c r="B53" s="512" t="s">
        <v>37</v>
      </c>
      <c r="C53" s="513">
        <f>SUM(C44:C52)</f>
        <v>85</v>
      </c>
      <c r="D53" s="513">
        <f>SUM(D44:D52)</f>
        <v>120</v>
      </c>
      <c r="E53" s="513">
        <f>SUM(E44:E52)</f>
        <v>155</v>
      </c>
      <c r="F53" s="514">
        <f>SUM(F44:F52)</f>
        <v>190</v>
      </c>
      <c r="XFD53" s="53"/>
    </row>
    <row r="57" spans="1:7 16384:16384">
      <c r="C57" s="53"/>
      <c r="D57" s="53"/>
      <c r="E57" s="53"/>
    </row>
    <row r="59" spans="1:7 16384:16384">
      <c r="C59" s="48"/>
      <c r="D59" s="48"/>
      <c r="E59" s="48"/>
      <c r="G59" s="48"/>
    </row>
    <row r="60" spans="1:7 16384:16384">
      <c r="C60" s="48"/>
      <c r="D60" s="48"/>
      <c r="E60" s="326"/>
      <c r="G60" s="147"/>
    </row>
    <row r="61" spans="1:7 16384:16384">
      <c r="C61" s="48"/>
      <c r="D61" s="48"/>
      <c r="E61" s="326"/>
    </row>
    <row r="62" spans="1:7 16384:16384">
      <c r="C62" s="48"/>
      <c r="D62" s="48"/>
      <c r="E62" s="326"/>
    </row>
    <row r="63" spans="1:7 16384:16384">
      <c r="C63" s="48"/>
      <c r="D63" s="48"/>
      <c r="E63" s="326"/>
      <c r="G63" s="53"/>
    </row>
    <row r="64" spans="1:7 16384:16384">
      <c r="C64" s="55"/>
      <c r="D64" s="48"/>
      <c r="E64" s="48"/>
    </row>
    <row r="65" spans="3:6">
      <c r="C65" s="55"/>
      <c r="D65" s="48"/>
      <c r="E65" s="48"/>
    </row>
    <row r="66" spans="3:6">
      <c r="C66" s="55"/>
      <c r="D66" s="48"/>
      <c r="E66" s="48"/>
    </row>
    <row r="67" spans="3:6">
      <c r="C67" s="48"/>
      <c r="D67" s="48"/>
      <c r="E67" s="48"/>
    </row>
    <row r="68" spans="3:6">
      <c r="C68" s="48"/>
      <c r="D68" s="48"/>
      <c r="E68" s="48"/>
    </row>
    <row r="69" spans="3:6">
      <c r="D69" s="53"/>
    </row>
    <row r="70" spans="3:6">
      <c r="D70" s="53"/>
    </row>
    <row r="71" spans="3:6">
      <c r="D71" s="53"/>
    </row>
    <row r="72" spans="3:6">
      <c r="D72" s="53"/>
    </row>
    <row r="73" spans="3:6">
      <c r="C73" s="48"/>
      <c r="D73" s="48"/>
    </row>
    <row r="74" spans="3:6">
      <c r="C74" s="48"/>
      <c r="D74" s="48"/>
      <c r="F74" s="53"/>
    </row>
    <row r="75" spans="3:6">
      <c r="C75" s="48"/>
      <c r="D75" s="336"/>
      <c r="F75" s="147"/>
    </row>
    <row r="76" spans="3:6">
      <c r="C76" s="48"/>
      <c r="D76" s="48"/>
      <c r="E76" s="147"/>
    </row>
    <row r="79" spans="3:6">
      <c r="C79" s="48"/>
      <c r="D79" s="48"/>
    </row>
    <row r="80" spans="3:6">
      <c r="C80" s="48"/>
      <c r="D80" s="48"/>
    </row>
    <row r="81" spans="3:4">
      <c r="C81" s="48"/>
      <c r="D81" s="48"/>
    </row>
    <row r="82" spans="3:4">
      <c r="C82" s="48"/>
      <c r="D82" s="48"/>
    </row>
    <row r="83" spans="3:4">
      <c r="D83" s="53"/>
    </row>
  </sheetData>
  <phoneticPr fontId="8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103"/>
  <sheetViews>
    <sheetView topLeftCell="A2" zoomScale="145" zoomScaleNormal="145" workbookViewId="0">
      <selection activeCell="C104" sqref="C104"/>
    </sheetView>
  </sheetViews>
  <sheetFormatPr defaultColWidth="8" defaultRowHeight="12.75"/>
  <cols>
    <col min="1" max="1" width="1.5" style="70" customWidth="1"/>
    <col min="2" max="2" width="25.25" style="70" customWidth="1"/>
    <col min="3" max="3" width="16" style="70" customWidth="1"/>
    <col min="4" max="4" width="12" style="70" customWidth="1"/>
    <col min="5" max="6" width="13.625" style="70" bestFit="1" customWidth="1"/>
    <col min="7" max="7" width="19.5" style="70" bestFit="1" customWidth="1"/>
    <col min="8" max="8" width="13" style="70" bestFit="1" customWidth="1"/>
    <col min="9" max="9" width="10.125" style="70" customWidth="1"/>
    <col min="10" max="10" width="9.625" style="70" customWidth="1"/>
    <col min="11" max="11" width="9.375" style="70" customWidth="1"/>
    <col min="12" max="12" width="9.625" style="70" customWidth="1"/>
    <col min="13" max="13" width="9.875" style="70" customWidth="1"/>
    <col min="14" max="19" width="9.125" style="70" bestFit="1" customWidth="1"/>
    <col min="20" max="20" width="10.875" style="72" customWidth="1"/>
    <col min="21" max="34" width="10.875" style="70" customWidth="1"/>
    <col min="35" max="16384" width="8" style="70"/>
  </cols>
  <sheetData>
    <row r="1" spans="1:34" ht="28.5">
      <c r="B1" s="156" t="str">
        <f>GapCalc!A1</f>
        <v>Generic Template Non-LIHTC</v>
      </c>
    </row>
    <row r="2" spans="1:34"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</row>
    <row r="3" spans="1:34" ht="31.5">
      <c r="A3" s="73"/>
      <c r="B3" s="157" t="s">
        <v>274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5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</row>
    <row r="4" spans="1:34" ht="15" customHeight="1">
      <c r="A4" s="73"/>
      <c r="B4" s="155" t="str">
        <f>GapCalc!A4</f>
        <v>Project Name:</v>
      </c>
      <c r="C4" s="153" t="str">
        <f>GapCalc!C4</f>
        <v>Generic Template Non-LIHTC</v>
      </c>
      <c r="D4" s="153"/>
      <c r="E4" s="153"/>
      <c r="F4" s="153"/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4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3"/>
      <c r="AE4" s="153"/>
      <c r="AF4" s="153"/>
      <c r="AG4" s="153"/>
      <c r="AH4" s="153"/>
    </row>
    <row r="5" spans="1:34" ht="15" customHeight="1">
      <c r="A5" s="73"/>
      <c r="B5" s="155" t="str">
        <f>GapCalc!A5</f>
        <v>Housing Type:</v>
      </c>
      <c r="C5" s="153" t="str">
        <f>GapCalc!C5</f>
        <v>Family, General Affordable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4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</row>
    <row r="6" spans="1:34" ht="15" customHeight="1">
      <c r="A6" s="73"/>
      <c r="B6" s="155" t="str">
        <f>GapCalc!A6</f>
        <v>Address:</v>
      </c>
      <c r="C6" s="153" t="str">
        <f>GapCalc!C6</f>
        <v>1010 S Kenmore Ave
Los Angeles, CA 90006</v>
      </c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4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</row>
    <row r="7" spans="1:34" ht="15" customHeight="1">
      <c r="A7" s="73"/>
      <c r="B7" s="155" t="str">
        <f>GapCalc!A7</f>
        <v>County:</v>
      </c>
      <c r="C7" s="153" t="str">
        <f>GapCalc!C7</f>
        <v>Los Angeles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4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</row>
    <row r="8" spans="1:34" ht="15" customHeight="1">
      <c r="A8" s="73"/>
      <c r="B8" s="155" t="str">
        <f>GapCalc!A8</f>
        <v>Sponsor:</v>
      </c>
      <c r="C8" s="153" t="str">
        <f>GapCalc!C8</f>
        <v>Abode Communities</v>
      </c>
      <c r="D8" s="153"/>
      <c r="E8" s="153"/>
      <c r="F8" s="153"/>
      <c r="G8" s="153"/>
      <c r="H8" s="153"/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4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</row>
    <row r="9" spans="1:34" ht="15" customHeight="1">
      <c r="B9" s="72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</row>
    <row r="10" spans="1:34" ht="12.75" customHeight="1">
      <c r="A10" s="78"/>
      <c r="B10" s="79" t="s">
        <v>275</v>
      </c>
      <c r="C10" s="80" t="s">
        <v>276</v>
      </c>
      <c r="D10" s="80" t="s">
        <v>277</v>
      </c>
      <c r="E10" s="81" t="s">
        <v>278</v>
      </c>
      <c r="F10" s="81" t="s">
        <v>279</v>
      </c>
      <c r="G10" s="81" t="s">
        <v>280</v>
      </c>
      <c r="H10" s="81" t="s">
        <v>281</v>
      </c>
      <c r="I10" s="81" t="s">
        <v>282</v>
      </c>
      <c r="J10" s="81" t="s">
        <v>283</v>
      </c>
      <c r="K10" s="81" t="s">
        <v>284</v>
      </c>
      <c r="L10" s="81" t="s">
        <v>285</v>
      </c>
      <c r="M10" s="81" t="s">
        <v>286</v>
      </c>
      <c r="N10" s="81" t="s">
        <v>287</v>
      </c>
      <c r="O10" s="81" t="s">
        <v>288</v>
      </c>
      <c r="P10" s="81" t="s">
        <v>289</v>
      </c>
      <c r="Q10" s="81" t="s">
        <v>290</v>
      </c>
      <c r="R10" s="81" t="s">
        <v>291</v>
      </c>
      <c r="S10" s="82" t="s">
        <v>292</v>
      </c>
      <c r="T10" s="81" t="s">
        <v>293</v>
      </c>
      <c r="U10" s="81" t="s">
        <v>294</v>
      </c>
      <c r="V10" s="81" t="s">
        <v>295</v>
      </c>
      <c r="W10" s="81" t="s">
        <v>296</v>
      </c>
      <c r="X10" s="81" t="s">
        <v>297</v>
      </c>
      <c r="Y10" s="81" t="s">
        <v>298</v>
      </c>
      <c r="Z10" s="81" t="s">
        <v>299</v>
      </c>
      <c r="AA10" s="81" t="s">
        <v>300</v>
      </c>
      <c r="AB10" s="81" t="s">
        <v>301</v>
      </c>
      <c r="AC10" s="81" t="s">
        <v>302</v>
      </c>
      <c r="AD10" s="81" t="s">
        <v>303</v>
      </c>
      <c r="AE10" s="81" t="s">
        <v>304</v>
      </c>
      <c r="AF10" s="81" t="s">
        <v>305</v>
      </c>
      <c r="AG10" s="81" t="s">
        <v>306</v>
      </c>
      <c r="AH10" s="81" t="s">
        <v>307</v>
      </c>
    </row>
    <row r="11" spans="1:34">
      <c r="A11" s="83"/>
      <c r="B11" s="84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</row>
    <row r="12" spans="1:34">
      <c r="A12" s="86"/>
      <c r="B12" s="87" t="s">
        <v>308</v>
      </c>
      <c r="C12" s="76"/>
      <c r="D12" s="88">
        <v>2.5000000000000001E-2</v>
      </c>
      <c r="E12" s="89">
        <f>'Rental Income'!E18*12</f>
        <v>8322720</v>
      </c>
      <c r="F12" s="89">
        <f>E12*(1+$D$12)</f>
        <v>8530788</v>
      </c>
      <c r="G12" s="89">
        <f t="shared" ref="G12:AH12" si="0">F12*(1+$D$12)</f>
        <v>8744057.6999999993</v>
      </c>
      <c r="H12" s="89">
        <f t="shared" si="0"/>
        <v>8962659.1424999982</v>
      </c>
      <c r="I12" s="89">
        <f t="shared" si="0"/>
        <v>9186725.6210624967</v>
      </c>
      <c r="J12" s="89">
        <f t="shared" si="0"/>
        <v>9416393.7615890577</v>
      </c>
      <c r="K12" s="89">
        <f t="shared" si="0"/>
        <v>9651803.6056287829</v>
      </c>
      <c r="L12" s="89">
        <f t="shared" si="0"/>
        <v>9893098.6957695019</v>
      </c>
      <c r="M12" s="89">
        <f t="shared" si="0"/>
        <v>10140426.163163738</v>
      </c>
      <c r="N12" s="89">
        <f t="shared" si="0"/>
        <v>10393936.817242831</v>
      </c>
      <c r="O12" s="89">
        <f t="shared" si="0"/>
        <v>10653785.237673901</v>
      </c>
      <c r="P12" s="89">
        <f t="shared" si="0"/>
        <v>10920129.868615748</v>
      </c>
      <c r="Q12" s="89">
        <f t="shared" si="0"/>
        <v>11193133.115331141</v>
      </c>
      <c r="R12" s="89">
        <f t="shared" si="0"/>
        <v>11472961.443214418</v>
      </c>
      <c r="S12" s="90">
        <f t="shared" si="0"/>
        <v>11759785.479294777</v>
      </c>
      <c r="T12" s="89">
        <f t="shared" si="0"/>
        <v>12053780.116277145</v>
      </c>
      <c r="U12" s="89">
        <f t="shared" si="0"/>
        <v>12355124.619184073</v>
      </c>
      <c r="V12" s="89">
        <f t="shared" si="0"/>
        <v>12664002.734663675</v>
      </c>
      <c r="W12" s="89">
        <f t="shared" si="0"/>
        <v>12980602.803030265</v>
      </c>
      <c r="X12" s="89">
        <f t="shared" si="0"/>
        <v>13305117.873106021</v>
      </c>
      <c r="Y12" s="89">
        <f t="shared" si="0"/>
        <v>13637745.819933672</v>
      </c>
      <c r="Z12" s="89">
        <f t="shared" si="0"/>
        <v>13978689.465432012</v>
      </c>
      <c r="AA12" s="89">
        <f t="shared" si="0"/>
        <v>14328156.702067811</v>
      </c>
      <c r="AB12" s="89">
        <f t="shared" si="0"/>
        <v>14686360.619619505</v>
      </c>
      <c r="AC12" s="89">
        <f t="shared" si="0"/>
        <v>15053519.635109993</v>
      </c>
      <c r="AD12" s="89">
        <f t="shared" si="0"/>
        <v>15429857.625987742</v>
      </c>
      <c r="AE12" s="89">
        <f t="shared" si="0"/>
        <v>15815604.066637434</v>
      </c>
      <c r="AF12" s="89">
        <f t="shared" si="0"/>
        <v>16210994.168303369</v>
      </c>
      <c r="AG12" s="89">
        <f t="shared" si="0"/>
        <v>16616269.022510951</v>
      </c>
      <c r="AH12" s="89">
        <f t="shared" si="0"/>
        <v>17031675.748073723</v>
      </c>
    </row>
    <row r="13" spans="1:34">
      <c r="A13" s="76"/>
      <c r="B13" s="91" t="s">
        <v>309</v>
      </c>
      <c r="C13" s="92">
        <v>5</v>
      </c>
      <c r="D13" s="88">
        <v>2.5000000000000001E-2</v>
      </c>
      <c r="E13" s="95">
        <v>5580</v>
      </c>
      <c r="F13" s="89">
        <f>E13*(1+$D13)</f>
        <v>5719.4999999999991</v>
      </c>
      <c r="G13" s="89">
        <f t="shared" ref="G13:AH13" si="1">F13*(1+$D13)</f>
        <v>5862.4874999999984</v>
      </c>
      <c r="H13" s="89">
        <f t="shared" si="1"/>
        <v>6009.0496874999981</v>
      </c>
      <c r="I13" s="89">
        <f t="shared" si="1"/>
        <v>6159.2759296874974</v>
      </c>
      <c r="J13" s="89">
        <f t="shared" si="1"/>
        <v>6313.257827929684</v>
      </c>
      <c r="K13" s="94">
        <f t="shared" si="1"/>
        <v>6471.0892736279256</v>
      </c>
      <c r="L13" s="89">
        <f t="shared" si="1"/>
        <v>6632.8665054686235</v>
      </c>
      <c r="M13" s="89">
        <f t="shared" si="1"/>
        <v>6798.6881681053383</v>
      </c>
      <c r="N13" s="89">
        <f t="shared" si="1"/>
        <v>6968.6553723079714</v>
      </c>
      <c r="O13" s="89">
        <f t="shared" si="1"/>
        <v>7142.8717566156702</v>
      </c>
      <c r="P13" s="89">
        <f t="shared" si="1"/>
        <v>7321.4435505310612</v>
      </c>
      <c r="Q13" s="89">
        <f t="shared" si="1"/>
        <v>7504.4796392943372</v>
      </c>
      <c r="R13" s="89">
        <f t="shared" si="1"/>
        <v>7692.0916302766946</v>
      </c>
      <c r="S13" s="90">
        <f t="shared" si="1"/>
        <v>7884.3939210336112</v>
      </c>
      <c r="T13" s="89">
        <f t="shared" si="1"/>
        <v>8081.5037690594509</v>
      </c>
      <c r="U13" s="89">
        <f t="shared" si="1"/>
        <v>8283.5413632859363</v>
      </c>
      <c r="V13" s="89">
        <f t="shared" si="1"/>
        <v>8490.6298973680841</v>
      </c>
      <c r="W13" s="89">
        <f t="shared" si="1"/>
        <v>8702.8956448022855</v>
      </c>
      <c r="X13" s="89">
        <f t="shared" si="1"/>
        <v>8920.4680359223421</v>
      </c>
      <c r="Y13" s="89">
        <f t="shared" si="1"/>
        <v>9143.4797368203999</v>
      </c>
      <c r="Z13" s="89">
        <f t="shared" si="1"/>
        <v>9372.0667302409092</v>
      </c>
      <c r="AA13" s="89">
        <f t="shared" si="1"/>
        <v>9606.3683984969302</v>
      </c>
      <c r="AB13" s="89">
        <f t="shared" si="1"/>
        <v>9846.5276084593534</v>
      </c>
      <c r="AC13" s="89">
        <f t="shared" si="1"/>
        <v>10092.690798670836</v>
      </c>
      <c r="AD13" s="89">
        <f t="shared" si="1"/>
        <v>10345.008068637606</v>
      </c>
      <c r="AE13" s="89">
        <f t="shared" si="1"/>
        <v>10603.633270353545</v>
      </c>
      <c r="AF13" s="89">
        <f t="shared" si="1"/>
        <v>10868.724102112383</v>
      </c>
      <c r="AG13" s="89">
        <f t="shared" si="1"/>
        <v>11140.442204665191</v>
      </c>
      <c r="AH13" s="89">
        <f t="shared" si="1"/>
        <v>11418.95325978182</v>
      </c>
    </row>
    <row r="14" spans="1:34">
      <c r="A14" s="86"/>
      <c r="B14" s="97" t="s">
        <v>310</v>
      </c>
      <c r="C14" s="98">
        <v>0.05</v>
      </c>
      <c r="D14" s="99">
        <v>0</v>
      </c>
      <c r="E14" s="100">
        <f>-((E12+E13)*$C$14)</f>
        <v>-416415</v>
      </c>
      <c r="F14" s="100">
        <f t="shared" ref="F14:AH14" si="2">-((F12+F13)*$C$14)</f>
        <v>-426825.375</v>
      </c>
      <c r="G14" s="100">
        <f t="shared" si="2"/>
        <v>-437496.00937500002</v>
      </c>
      <c r="H14" s="100">
        <f t="shared" si="2"/>
        <v>-448433.40960937488</v>
      </c>
      <c r="I14" s="100">
        <f t="shared" si="2"/>
        <v>-459644.24484960921</v>
      </c>
      <c r="J14" s="100">
        <f t="shared" si="2"/>
        <v>-471135.35097084939</v>
      </c>
      <c r="K14" s="100">
        <f t="shared" si="2"/>
        <v>-482913.73474512057</v>
      </c>
      <c r="L14" s="100">
        <f t="shared" si="2"/>
        <v>-494986.57811374852</v>
      </c>
      <c r="M14" s="100">
        <f t="shared" si="2"/>
        <v>-507361.24256659218</v>
      </c>
      <c r="N14" s="100">
        <f t="shared" si="2"/>
        <v>-520045.273630757</v>
      </c>
      <c r="O14" s="100">
        <f t="shared" si="2"/>
        <v>-533046.40547152585</v>
      </c>
      <c r="P14" s="100">
        <f t="shared" si="2"/>
        <v>-546372.56560831401</v>
      </c>
      <c r="Q14" s="100">
        <f t="shared" si="2"/>
        <v>-560031.87974852172</v>
      </c>
      <c r="R14" s="100">
        <f t="shared" si="2"/>
        <v>-574032.67674223473</v>
      </c>
      <c r="S14" s="101">
        <f t="shared" si="2"/>
        <v>-588383.49366079061</v>
      </c>
      <c r="T14" s="100">
        <f t="shared" si="2"/>
        <v>-603093.08100231027</v>
      </c>
      <c r="U14" s="100">
        <f t="shared" si="2"/>
        <v>-618170.40802736802</v>
      </c>
      <c r="V14" s="100">
        <f t="shared" si="2"/>
        <v>-633624.66822805209</v>
      </c>
      <c r="W14" s="100">
        <f t="shared" si="2"/>
        <v>-649465.28493375343</v>
      </c>
      <c r="X14" s="100">
        <f t="shared" si="2"/>
        <v>-665701.91705709719</v>
      </c>
      <c r="Y14" s="100">
        <f t="shared" si="2"/>
        <v>-682344.46498352464</v>
      </c>
      <c r="Z14" s="100">
        <f t="shared" si="2"/>
        <v>-699403.07660811266</v>
      </c>
      <c r="AA14" s="100">
        <f t="shared" si="2"/>
        <v>-716888.15352331544</v>
      </c>
      <c r="AB14" s="100">
        <f t="shared" si="2"/>
        <v>-734810.35736139829</v>
      </c>
      <c r="AC14" s="100">
        <f t="shared" si="2"/>
        <v>-753180.61629543314</v>
      </c>
      <c r="AD14" s="100">
        <f t="shared" si="2"/>
        <v>-772010.13170281902</v>
      </c>
      <c r="AE14" s="100">
        <f t="shared" si="2"/>
        <v>-791310.38499538938</v>
      </c>
      <c r="AF14" s="100">
        <f t="shared" si="2"/>
        <v>-811093.14462027408</v>
      </c>
      <c r="AG14" s="100">
        <f t="shared" si="2"/>
        <v>-831370.47323578084</v>
      </c>
      <c r="AH14" s="100">
        <f t="shared" si="2"/>
        <v>-852154.73506667523</v>
      </c>
    </row>
    <row r="15" spans="1:34">
      <c r="A15" s="76"/>
      <c r="B15" s="102" t="s">
        <v>311</v>
      </c>
      <c r="C15" s="76"/>
      <c r="D15" s="76"/>
      <c r="E15" s="95">
        <f>SUM(E12:E14)</f>
        <v>7911885</v>
      </c>
      <c r="F15" s="95">
        <f t="shared" ref="F15:AH15" si="3">SUM(F12:F14)</f>
        <v>8109682.125</v>
      </c>
      <c r="G15" s="103">
        <f t="shared" si="3"/>
        <v>8312424.1781249996</v>
      </c>
      <c r="H15" s="104">
        <f t="shared" si="3"/>
        <v>8520234.7825781219</v>
      </c>
      <c r="I15" s="104">
        <f t="shared" si="3"/>
        <v>8733240.652142575</v>
      </c>
      <c r="J15" s="95">
        <f t="shared" si="3"/>
        <v>8951571.6684461385</v>
      </c>
      <c r="K15" s="103">
        <f t="shared" si="3"/>
        <v>9175360.9601572901</v>
      </c>
      <c r="L15" s="95">
        <f t="shared" si="3"/>
        <v>9404744.9841612224</v>
      </c>
      <c r="M15" s="95">
        <f t="shared" si="3"/>
        <v>9639863.6087652501</v>
      </c>
      <c r="N15" s="95">
        <f t="shared" si="3"/>
        <v>9880860.1989843827</v>
      </c>
      <c r="O15" s="95">
        <f t="shared" si="3"/>
        <v>10127881.70395899</v>
      </c>
      <c r="P15" s="95">
        <f t="shared" si="3"/>
        <v>10381078.746557966</v>
      </c>
      <c r="Q15" s="95">
        <f t="shared" si="3"/>
        <v>10640605.715221914</v>
      </c>
      <c r="R15" s="95">
        <f t="shared" si="3"/>
        <v>10906620.858102459</v>
      </c>
      <c r="S15" s="96">
        <f t="shared" si="3"/>
        <v>11179286.37955502</v>
      </c>
      <c r="T15" s="95">
        <f t="shared" si="3"/>
        <v>11458768.539043894</v>
      </c>
      <c r="U15" s="95">
        <f t="shared" si="3"/>
        <v>11745237.752519991</v>
      </c>
      <c r="V15" s="95">
        <f t="shared" si="3"/>
        <v>12038868.696332989</v>
      </c>
      <c r="W15" s="95">
        <f t="shared" si="3"/>
        <v>12339840.413741315</v>
      </c>
      <c r="X15" s="95">
        <f t="shared" si="3"/>
        <v>12648336.424084846</v>
      </c>
      <c r="Y15" s="95">
        <f t="shared" si="3"/>
        <v>12964544.834686967</v>
      </c>
      <c r="Z15" s="95">
        <f t="shared" si="3"/>
        <v>13288658.455554141</v>
      </c>
      <c r="AA15" s="95">
        <f t="shared" si="3"/>
        <v>13620874.916942993</v>
      </c>
      <c r="AB15" s="95">
        <f t="shared" si="3"/>
        <v>13961396.789866567</v>
      </c>
      <c r="AC15" s="95">
        <f t="shared" si="3"/>
        <v>14310431.70961323</v>
      </c>
      <c r="AD15" s="95">
        <f t="shared" si="3"/>
        <v>14668192.50235356</v>
      </c>
      <c r="AE15" s="95">
        <f t="shared" si="3"/>
        <v>15034897.314912397</v>
      </c>
      <c r="AF15" s="95">
        <f t="shared" si="3"/>
        <v>15410769.747785207</v>
      </c>
      <c r="AG15" s="95">
        <f t="shared" si="3"/>
        <v>15796038.991479836</v>
      </c>
      <c r="AH15" s="95">
        <f t="shared" si="3"/>
        <v>16190939.96626683</v>
      </c>
    </row>
    <row r="16" spans="1:34">
      <c r="A16" s="76"/>
      <c r="B16" s="105"/>
      <c r="C16" s="76"/>
      <c r="D16" s="76"/>
      <c r="E16" s="95"/>
      <c r="F16" s="95"/>
      <c r="G16" s="103"/>
      <c r="H16" s="104"/>
      <c r="I16" s="104"/>
      <c r="J16" s="95"/>
      <c r="K16" s="103"/>
      <c r="L16" s="95"/>
      <c r="M16" s="95"/>
      <c r="N16" s="95"/>
      <c r="O16" s="95"/>
      <c r="P16" s="95"/>
      <c r="Q16" s="95"/>
      <c r="R16" s="95"/>
      <c r="S16" s="96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</row>
    <row r="17" spans="1:34" ht="12" hidden="1" customHeight="1">
      <c r="A17" s="76"/>
      <c r="B17" s="105" t="s">
        <v>312</v>
      </c>
      <c r="C17" s="76"/>
      <c r="D17" s="76"/>
      <c r="E17" s="95">
        <v>0</v>
      </c>
      <c r="F17" s="95">
        <f>E17</f>
        <v>0</v>
      </c>
      <c r="G17" s="103">
        <f t="shared" ref="G17:AH17" si="4">F17</f>
        <v>0</v>
      </c>
      <c r="H17" s="104">
        <f t="shared" si="4"/>
        <v>0</v>
      </c>
      <c r="I17" s="104">
        <f t="shared" si="4"/>
        <v>0</v>
      </c>
      <c r="J17" s="95">
        <f t="shared" si="4"/>
        <v>0</v>
      </c>
      <c r="K17" s="103">
        <f t="shared" si="4"/>
        <v>0</v>
      </c>
      <c r="L17" s="95">
        <f t="shared" si="4"/>
        <v>0</v>
      </c>
      <c r="M17" s="95">
        <f t="shared" si="4"/>
        <v>0</v>
      </c>
      <c r="N17" s="95">
        <f t="shared" si="4"/>
        <v>0</v>
      </c>
      <c r="O17" s="95">
        <f t="shared" si="4"/>
        <v>0</v>
      </c>
      <c r="P17" s="95">
        <f t="shared" si="4"/>
        <v>0</v>
      </c>
      <c r="Q17" s="95">
        <f t="shared" si="4"/>
        <v>0</v>
      </c>
      <c r="R17" s="95">
        <f t="shared" si="4"/>
        <v>0</v>
      </c>
      <c r="S17" s="96">
        <f t="shared" si="4"/>
        <v>0</v>
      </c>
      <c r="T17" s="95">
        <f t="shared" si="4"/>
        <v>0</v>
      </c>
      <c r="U17" s="95">
        <f t="shared" si="4"/>
        <v>0</v>
      </c>
      <c r="V17" s="95">
        <f t="shared" si="4"/>
        <v>0</v>
      </c>
      <c r="W17" s="95">
        <f t="shared" si="4"/>
        <v>0</v>
      </c>
      <c r="X17" s="95">
        <f t="shared" si="4"/>
        <v>0</v>
      </c>
      <c r="Y17" s="95">
        <f t="shared" si="4"/>
        <v>0</v>
      </c>
      <c r="Z17" s="95">
        <f t="shared" si="4"/>
        <v>0</v>
      </c>
      <c r="AA17" s="95">
        <f t="shared" si="4"/>
        <v>0</v>
      </c>
      <c r="AB17" s="95">
        <f t="shared" si="4"/>
        <v>0</v>
      </c>
      <c r="AC17" s="95">
        <f t="shared" si="4"/>
        <v>0</v>
      </c>
      <c r="AD17" s="95">
        <f t="shared" si="4"/>
        <v>0</v>
      </c>
      <c r="AE17" s="95">
        <f t="shared" si="4"/>
        <v>0</v>
      </c>
      <c r="AF17" s="95">
        <f t="shared" si="4"/>
        <v>0</v>
      </c>
      <c r="AG17" s="95">
        <f t="shared" si="4"/>
        <v>0</v>
      </c>
      <c r="AH17" s="95">
        <f t="shared" si="4"/>
        <v>0</v>
      </c>
    </row>
    <row r="18" spans="1:34">
      <c r="A18" s="86"/>
      <c r="B18" s="87" t="s">
        <v>313</v>
      </c>
      <c r="C18" s="1338">
        <v>6000</v>
      </c>
      <c r="D18" s="88">
        <v>3.5000000000000003E-2</v>
      </c>
      <c r="E18" s="95">
        <f>-C18*'Rental Income'!D15</f>
        <v>-1212000</v>
      </c>
      <c r="F18" s="89">
        <f>E18*(1+$D$18)</f>
        <v>-1254420</v>
      </c>
      <c r="G18" s="94">
        <f t="shared" ref="G18:AH18" si="5">F18*(1+$D$18)</f>
        <v>-1298324.7</v>
      </c>
      <c r="H18" s="106">
        <f t="shared" si="5"/>
        <v>-1343766.0644999999</v>
      </c>
      <c r="I18" s="106">
        <f t="shared" si="5"/>
        <v>-1390797.8767574998</v>
      </c>
      <c r="J18" s="89">
        <f t="shared" si="5"/>
        <v>-1439475.8024440121</v>
      </c>
      <c r="K18" s="94">
        <f t="shared" si="5"/>
        <v>-1489857.4555295524</v>
      </c>
      <c r="L18" s="89">
        <f t="shared" si="5"/>
        <v>-1542002.4664730867</v>
      </c>
      <c r="M18" s="89">
        <f t="shared" si="5"/>
        <v>-1595972.5527996446</v>
      </c>
      <c r="N18" s="89">
        <f t="shared" si="5"/>
        <v>-1651831.592147632</v>
      </c>
      <c r="O18" s="89">
        <f t="shared" si="5"/>
        <v>-1709645.6978727991</v>
      </c>
      <c r="P18" s="89">
        <f t="shared" si="5"/>
        <v>-1769483.2972983469</v>
      </c>
      <c r="Q18" s="89">
        <f t="shared" si="5"/>
        <v>-1831415.2127037889</v>
      </c>
      <c r="R18" s="89">
        <f t="shared" si="5"/>
        <v>-1895514.7451484213</v>
      </c>
      <c r="S18" s="90">
        <f t="shared" si="5"/>
        <v>-1961857.7612286159</v>
      </c>
      <c r="T18" s="89">
        <f t="shared" si="5"/>
        <v>-2030522.7828716172</v>
      </c>
      <c r="U18" s="89">
        <f t="shared" si="5"/>
        <v>-2101591.0802721237</v>
      </c>
      <c r="V18" s="89">
        <f t="shared" si="5"/>
        <v>-2175146.7680816478</v>
      </c>
      <c r="W18" s="89">
        <f t="shared" si="5"/>
        <v>-2251276.9049645052</v>
      </c>
      <c r="X18" s="89">
        <f t="shared" si="5"/>
        <v>-2330071.5966382627</v>
      </c>
      <c r="Y18" s="89">
        <f t="shared" si="5"/>
        <v>-2411624.1025206018</v>
      </c>
      <c r="Z18" s="89">
        <f t="shared" si="5"/>
        <v>-2496030.9461088227</v>
      </c>
      <c r="AA18" s="89">
        <f t="shared" si="5"/>
        <v>-2583392.0292226314</v>
      </c>
      <c r="AB18" s="89">
        <f t="shared" si="5"/>
        <v>-2673810.7502454231</v>
      </c>
      <c r="AC18" s="89">
        <f t="shared" si="5"/>
        <v>-2767394.1265040128</v>
      </c>
      <c r="AD18" s="89">
        <f t="shared" si="5"/>
        <v>-2864252.9209316531</v>
      </c>
      <c r="AE18" s="89">
        <f t="shared" si="5"/>
        <v>-2964501.7731642607</v>
      </c>
      <c r="AF18" s="89">
        <f t="shared" si="5"/>
        <v>-3068259.3352250094</v>
      </c>
      <c r="AG18" s="89">
        <f t="shared" si="5"/>
        <v>-3175648.4119578847</v>
      </c>
      <c r="AH18" s="89">
        <f t="shared" si="5"/>
        <v>-3286796.1063764105</v>
      </c>
    </row>
    <row r="19" spans="1:34">
      <c r="A19" s="86"/>
      <c r="B19" s="87" t="s">
        <v>314</v>
      </c>
      <c r="C19" s="1713" t="s">
        <v>1099</v>
      </c>
      <c r="D19" s="88">
        <v>1.2500000000000001E-2</v>
      </c>
      <c r="E19" s="95">
        <f>IF(C19="Abatement", 0, -'Tax Calc'!B10)</f>
        <v>-749576.13131653797</v>
      </c>
      <c r="F19" s="89">
        <f>E19*(1+$D$19)</f>
        <v>-758945.83295799466</v>
      </c>
      <c r="G19" s="89">
        <f t="shared" ref="G19:AH19" si="6">F19*(1+$D$19)</f>
        <v>-768432.65586996952</v>
      </c>
      <c r="H19" s="89">
        <f t="shared" si="6"/>
        <v>-778038.06406834407</v>
      </c>
      <c r="I19" s="89">
        <f t="shared" si="6"/>
        <v>-787763.53986919834</v>
      </c>
      <c r="J19" s="89">
        <f t="shared" si="6"/>
        <v>-797610.58411756332</v>
      </c>
      <c r="K19" s="89">
        <f t="shared" si="6"/>
        <v>-807580.71641903277</v>
      </c>
      <c r="L19" s="89">
        <f t="shared" si="6"/>
        <v>-817675.4753742707</v>
      </c>
      <c r="M19" s="89">
        <f t="shared" si="6"/>
        <v>-827896.418816449</v>
      </c>
      <c r="N19" s="89">
        <f t="shared" si="6"/>
        <v>-838245.12405165459</v>
      </c>
      <c r="O19" s="89">
        <f t="shared" si="6"/>
        <v>-848723.18810230028</v>
      </c>
      <c r="P19" s="89">
        <f t="shared" si="6"/>
        <v>-859332.22795357904</v>
      </c>
      <c r="Q19" s="89">
        <f t="shared" si="6"/>
        <v>-870073.88080299878</v>
      </c>
      <c r="R19" s="89">
        <f t="shared" si="6"/>
        <v>-880949.80431303626</v>
      </c>
      <c r="S19" s="90">
        <f t="shared" si="6"/>
        <v>-891961.67686694919</v>
      </c>
      <c r="T19" s="89">
        <f t="shared" si="6"/>
        <v>-903111.19782778597</v>
      </c>
      <c r="U19" s="89">
        <f t="shared" si="6"/>
        <v>-914400.08780063328</v>
      </c>
      <c r="V19" s="89">
        <f t="shared" si="6"/>
        <v>-925830.08889814117</v>
      </c>
      <c r="W19" s="89">
        <f t="shared" si="6"/>
        <v>-937402.96500936791</v>
      </c>
      <c r="X19" s="89">
        <f t="shared" si="6"/>
        <v>-949120.50207198493</v>
      </c>
      <c r="Y19" s="89">
        <f t="shared" si="6"/>
        <v>-960984.50834788475</v>
      </c>
      <c r="Z19" s="89">
        <f t="shared" si="6"/>
        <v>-972996.8147022333</v>
      </c>
      <c r="AA19" s="89">
        <f t="shared" si="6"/>
        <v>-985159.27488601115</v>
      </c>
      <c r="AB19" s="89">
        <f t="shared" si="6"/>
        <v>-997473.76582208625</v>
      </c>
      <c r="AC19" s="89">
        <f t="shared" si="6"/>
        <v>-1009942.1878948623</v>
      </c>
      <c r="AD19" s="89">
        <f t="shared" si="6"/>
        <v>-1022566.465243548</v>
      </c>
      <c r="AE19" s="89">
        <f t="shared" si="6"/>
        <v>-1035348.5460590924</v>
      </c>
      <c r="AF19" s="89">
        <f t="shared" si="6"/>
        <v>-1048290.402884831</v>
      </c>
      <c r="AG19" s="89">
        <f t="shared" si="6"/>
        <v>-1061394.0329208912</v>
      </c>
      <c r="AH19" s="89">
        <f t="shared" si="6"/>
        <v>-1074661.4583324022</v>
      </c>
    </row>
    <row r="20" spans="1:34">
      <c r="A20" s="86"/>
      <c r="B20" s="97" t="s">
        <v>253</v>
      </c>
      <c r="C20" s="107">
        <v>1</v>
      </c>
      <c r="D20" s="107">
        <f>'Operating Budget'!E69</f>
        <v>300</v>
      </c>
      <c r="E20" s="108">
        <f>-'Operating Budget'!D69</f>
        <v>-60600</v>
      </c>
      <c r="F20" s="108">
        <f>+E20</f>
        <v>-60600</v>
      </c>
      <c r="G20" s="108">
        <f>F20</f>
        <v>-60600</v>
      </c>
      <c r="H20" s="108">
        <f>G20</f>
        <v>-60600</v>
      </c>
      <c r="I20" s="108">
        <f>H20</f>
        <v>-60600</v>
      </c>
      <c r="J20" s="108">
        <f t="shared" ref="J20:AH20" si="7">I20</f>
        <v>-60600</v>
      </c>
      <c r="K20" s="108">
        <f t="shared" si="7"/>
        <v>-60600</v>
      </c>
      <c r="L20" s="108">
        <f t="shared" si="7"/>
        <v>-60600</v>
      </c>
      <c r="M20" s="108">
        <f t="shared" si="7"/>
        <v>-60600</v>
      </c>
      <c r="N20" s="108">
        <f t="shared" si="7"/>
        <v>-60600</v>
      </c>
      <c r="O20" s="108">
        <f>N20</f>
        <v>-60600</v>
      </c>
      <c r="P20" s="108">
        <f t="shared" si="7"/>
        <v>-60600</v>
      </c>
      <c r="Q20" s="108">
        <f t="shared" si="7"/>
        <v>-60600</v>
      </c>
      <c r="R20" s="108">
        <f t="shared" si="7"/>
        <v>-60600</v>
      </c>
      <c r="S20" s="109">
        <f t="shared" si="7"/>
        <v>-60600</v>
      </c>
      <c r="T20" s="108">
        <f t="shared" si="7"/>
        <v>-60600</v>
      </c>
      <c r="U20" s="108">
        <f t="shared" si="7"/>
        <v>-60600</v>
      </c>
      <c r="V20" s="108">
        <f t="shared" si="7"/>
        <v>-60600</v>
      </c>
      <c r="W20" s="108">
        <f t="shared" si="7"/>
        <v>-60600</v>
      </c>
      <c r="X20" s="108">
        <f t="shared" si="7"/>
        <v>-60600</v>
      </c>
      <c r="Y20" s="108">
        <f t="shared" si="7"/>
        <v>-60600</v>
      </c>
      <c r="Z20" s="108">
        <f t="shared" si="7"/>
        <v>-60600</v>
      </c>
      <c r="AA20" s="108">
        <f t="shared" si="7"/>
        <v>-60600</v>
      </c>
      <c r="AB20" s="108">
        <f t="shared" si="7"/>
        <v>-60600</v>
      </c>
      <c r="AC20" s="108">
        <f t="shared" si="7"/>
        <v>-60600</v>
      </c>
      <c r="AD20" s="108">
        <f t="shared" si="7"/>
        <v>-60600</v>
      </c>
      <c r="AE20" s="108">
        <f t="shared" si="7"/>
        <v>-60600</v>
      </c>
      <c r="AF20" s="108">
        <f t="shared" si="7"/>
        <v>-60600</v>
      </c>
      <c r="AG20" s="108">
        <f t="shared" si="7"/>
        <v>-60600</v>
      </c>
      <c r="AH20" s="108">
        <f t="shared" si="7"/>
        <v>-60600</v>
      </c>
    </row>
    <row r="21" spans="1:34">
      <c r="A21" s="86"/>
      <c r="B21" s="110" t="s">
        <v>315</v>
      </c>
      <c r="C21" s="76"/>
      <c r="D21" s="111"/>
      <c r="E21" s="95">
        <f t="shared" ref="E21:AH21" si="8">SUM(E15:E20)</f>
        <v>5889708.868683462</v>
      </c>
      <c r="F21" s="95">
        <f t="shared" si="8"/>
        <v>6035716.2920420058</v>
      </c>
      <c r="G21" s="95">
        <f t="shared" si="8"/>
        <v>6185066.8222550303</v>
      </c>
      <c r="H21" s="95">
        <f t="shared" si="8"/>
        <v>6337830.6540097771</v>
      </c>
      <c r="I21" s="95">
        <f t="shared" si="8"/>
        <v>6494079.2355158767</v>
      </c>
      <c r="J21" s="95">
        <f t="shared" si="8"/>
        <v>6653885.2818845632</v>
      </c>
      <c r="K21" s="95">
        <f t="shared" si="8"/>
        <v>6817322.7882087054</v>
      </c>
      <c r="L21" s="95">
        <f t="shared" si="8"/>
        <v>6984467.0423138645</v>
      </c>
      <c r="M21" s="95">
        <f t="shared" si="8"/>
        <v>7155394.6371491561</v>
      </c>
      <c r="N21" s="95">
        <f t="shared" si="8"/>
        <v>7330183.4827850964</v>
      </c>
      <c r="O21" s="95">
        <f t="shared" si="8"/>
        <v>7508912.8179838909</v>
      </c>
      <c r="P21" s="95">
        <f t="shared" si="8"/>
        <v>7691663.221306039</v>
      </c>
      <c r="Q21" s="95">
        <f t="shared" si="8"/>
        <v>7878516.6217151266</v>
      </c>
      <c r="R21" s="95">
        <f t="shared" si="8"/>
        <v>8069556.3086410025</v>
      </c>
      <c r="S21" s="96">
        <f t="shared" si="8"/>
        <v>8264866.9414594555</v>
      </c>
      <c r="T21" s="95">
        <f t="shared" si="8"/>
        <v>8464534.5583444908</v>
      </c>
      <c r="U21" s="95">
        <f t="shared" si="8"/>
        <v>8668646.5844472349</v>
      </c>
      <c r="V21" s="95">
        <f t="shared" si="8"/>
        <v>8877291.8393532</v>
      </c>
      <c r="W21" s="95">
        <f t="shared" si="8"/>
        <v>9090560.5437674429</v>
      </c>
      <c r="X21" s="95">
        <f t="shared" si="8"/>
        <v>9308544.3253745995</v>
      </c>
      <c r="Y21" s="95">
        <f t="shared" si="8"/>
        <v>9531336.223818481</v>
      </c>
      <c r="Z21" s="95">
        <f t="shared" si="8"/>
        <v>9759030.6947430838</v>
      </c>
      <c r="AA21" s="95">
        <f t="shared" si="8"/>
        <v>9991723.6128343493</v>
      </c>
      <c r="AB21" s="95">
        <f t="shared" si="8"/>
        <v>10229512.273799058</v>
      </c>
      <c r="AC21" s="95">
        <f t="shared" si="8"/>
        <v>10472495.395214355</v>
      </c>
      <c r="AD21" s="95">
        <f t="shared" si="8"/>
        <v>10720773.11617836</v>
      </c>
      <c r="AE21" s="95">
        <f t="shared" si="8"/>
        <v>10974446.995689044</v>
      </c>
      <c r="AF21" s="95">
        <f t="shared" si="8"/>
        <v>11233620.009675367</v>
      </c>
      <c r="AG21" s="95">
        <f t="shared" si="8"/>
        <v>11498396.546601061</v>
      </c>
      <c r="AH21" s="95">
        <f t="shared" si="8"/>
        <v>11768882.401558017</v>
      </c>
    </row>
    <row r="22" spans="1:34" ht="12.75" customHeight="1">
      <c r="A22" s="86"/>
      <c r="B22" s="87" t="s">
        <v>316</v>
      </c>
      <c r="C22" s="76"/>
      <c r="D22" s="95"/>
      <c r="E22" s="95">
        <f>-Data!C36</f>
        <v>-4908090.7239028849</v>
      </c>
      <c r="F22" s="95">
        <f t="shared" ref="F22:AH22" si="9">$E$22</f>
        <v>-4908090.7239028849</v>
      </c>
      <c r="G22" s="95">
        <f t="shared" si="9"/>
        <v>-4908090.7239028849</v>
      </c>
      <c r="H22" s="95">
        <f t="shared" si="9"/>
        <v>-4908090.7239028849</v>
      </c>
      <c r="I22" s="95">
        <f t="shared" si="9"/>
        <v>-4908090.7239028849</v>
      </c>
      <c r="J22" s="95">
        <f t="shared" si="9"/>
        <v>-4908090.7239028849</v>
      </c>
      <c r="K22" s="95">
        <f t="shared" si="9"/>
        <v>-4908090.7239028849</v>
      </c>
      <c r="L22" s="95">
        <f t="shared" si="9"/>
        <v>-4908090.7239028849</v>
      </c>
      <c r="M22" s="95">
        <f t="shared" si="9"/>
        <v>-4908090.7239028849</v>
      </c>
      <c r="N22" s="95">
        <f t="shared" si="9"/>
        <v>-4908090.7239028849</v>
      </c>
      <c r="O22" s="95">
        <f t="shared" si="9"/>
        <v>-4908090.7239028849</v>
      </c>
      <c r="P22" s="95">
        <f t="shared" si="9"/>
        <v>-4908090.7239028849</v>
      </c>
      <c r="Q22" s="95">
        <f t="shared" si="9"/>
        <v>-4908090.7239028849</v>
      </c>
      <c r="R22" s="95">
        <f t="shared" si="9"/>
        <v>-4908090.7239028849</v>
      </c>
      <c r="S22" s="96">
        <f t="shared" si="9"/>
        <v>-4908090.7239028849</v>
      </c>
      <c r="T22" s="95">
        <f t="shared" si="9"/>
        <v>-4908090.7239028849</v>
      </c>
      <c r="U22" s="95">
        <f t="shared" si="9"/>
        <v>-4908090.7239028849</v>
      </c>
      <c r="V22" s="95">
        <f t="shared" si="9"/>
        <v>-4908090.7239028849</v>
      </c>
      <c r="W22" s="95">
        <f t="shared" si="9"/>
        <v>-4908090.7239028849</v>
      </c>
      <c r="X22" s="95">
        <f t="shared" si="9"/>
        <v>-4908090.7239028849</v>
      </c>
      <c r="Y22" s="95">
        <f t="shared" si="9"/>
        <v>-4908090.7239028849</v>
      </c>
      <c r="Z22" s="95">
        <f t="shared" si="9"/>
        <v>-4908090.7239028849</v>
      </c>
      <c r="AA22" s="95">
        <f t="shared" si="9"/>
        <v>-4908090.7239028849</v>
      </c>
      <c r="AB22" s="95">
        <f t="shared" si="9"/>
        <v>-4908090.7239028849</v>
      </c>
      <c r="AC22" s="95">
        <f t="shared" si="9"/>
        <v>-4908090.7239028849</v>
      </c>
      <c r="AD22" s="95">
        <f t="shared" si="9"/>
        <v>-4908090.7239028849</v>
      </c>
      <c r="AE22" s="95">
        <f t="shared" si="9"/>
        <v>-4908090.7239028849</v>
      </c>
      <c r="AF22" s="95">
        <f t="shared" si="9"/>
        <v>-4908090.7239028849</v>
      </c>
      <c r="AG22" s="95">
        <f t="shared" si="9"/>
        <v>-4908090.7239028849</v>
      </c>
      <c r="AH22" s="95">
        <f t="shared" si="9"/>
        <v>-4908090.7239028849</v>
      </c>
    </row>
    <row r="23" spans="1:34" ht="12.75" customHeight="1">
      <c r="A23" s="86"/>
      <c r="B23" s="97" t="s">
        <v>317</v>
      </c>
      <c r="C23" s="112"/>
      <c r="D23" s="108"/>
      <c r="E23" s="108">
        <v>0</v>
      </c>
      <c r="F23" s="108">
        <f t="shared" ref="F23:AH23" si="10">E23</f>
        <v>0</v>
      </c>
      <c r="G23" s="108">
        <f t="shared" si="10"/>
        <v>0</v>
      </c>
      <c r="H23" s="108">
        <f t="shared" si="10"/>
        <v>0</v>
      </c>
      <c r="I23" s="108">
        <f t="shared" si="10"/>
        <v>0</v>
      </c>
      <c r="J23" s="108">
        <f t="shared" si="10"/>
        <v>0</v>
      </c>
      <c r="K23" s="108">
        <f t="shared" si="10"/>
        <v>0</v>
      </c>
      <c r="L23" s="108">
        <f t="shared" si="10"/>
        <v>0</v>
      </c>
      <c r="M23" s="108">
        <f t="shared" si="10"/>
        <v>0</v>
      </c>
      <c r="N23" s="108">
        <f t="shared" si="10"/>
        <v>0</v>
      </c>
      <c r="O23" s="108">
        <f t="shared" si="10"/>
        <v>0</v>
      </c>
      <c r="P23" s="108">
        <f t="shared" si="10"/>
        <v>0</v>
      </c>
      <c r="Q23" s="108">
        <f t="shared" si="10"/>
        <v>0</v>
      </c>
      <c r="R23" s="108">
        <f t="shared" si="10"/>
        <v>0</v>
      </c>
      <c r="S23" s="109">
        <f t="shared" si="10"/>
        <v>0</v>
      </c>
      <c r="T23" s="108">
        <f t="shared" si="10"/>
        <v>0</v>
      </c>
      <c r="U23" s="108">
        <f t="shared" si="10"/>
        <v>0</v>
      </c>
      <c r="V23" s="108">
        <f t="shared" si="10"/>
        <v>0</v>
      </c>
      <c r="W23" s="108">
        <f t="shared" si="10"/>
        <v>0</v>
      </c>
      <c r="X23" s="108">
        <f t="shared" si="10"/>
        <v>0</v>
      </c>
      <c r="Y23" s="108">
        <f t="shared" si="10"/>
        <v>0</v>
      </c>
      <c r="Z23" s="108">
        <f t="shared" si="10"/>
        <v>0</v>
      </c>
      <c r="AA23" s="108">
        <f t="shared" si="10"/>
        <v>0</v>
      </c>
      <c r="AB23" s="108">
        <f t="shared" si="10"/>
        <v>0</v>
      </c>
      <c r="AC23" s="108">
        <f t="shared" si="10"/>
        <v>0</v>
      </c>
      <c r="AD23" s="108">
        <f t="shared" si="10"/>
        <v>0</v>
      </c>
      <c r="AE23" s="108">
        <f t="shared" si="10"/>
        <v>0</v>
      </c>
      <c r="AF23" s="108">
        <f t="shared" si="10"/>
        <v>0</v>
      </c>
      <c r="AG23" s="108">
        <f t="shared" si="10"/>
        <v>0</v>
      </c>
      <c r="AH23" s="108">
        <f t="shared" si="10"/>
        <v>0</v>
      </c>
    </row>
    <row r="24" spans="1:34" ht="4.5" customHeight="1">
      <c r="A24" s="86"/>
      <c r="B24" s="113"/>
      <c r="C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6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</row>
    <row r="25" spans="1:34" ht="12.75" customHeight="1">
      <c r="A25" s="86"/>
      <c r="B25" s="117" t="s">
        <v>318</v>
      </c>
      <c r="C25" s="118"/>
      <c r="D25" s="118"/>
      <c r="E25" s="119">
        <f>+E21+E22+E23</f>
        <v>981618.14478057716</v>
      </c>
      <c r="F25" s="119">
        <f t="shared" ref="F25:AH25" si="11">+F21+F22+F23</f>
        <v>1127625.5681391209</v>
      </c>
      <c r="G25" s="119">
        <f t="shared" si="11"/>
        <v>1276976.0983521454</v>
      </c>
      <c r="H25" s="119">
        <f t="shared" si="11"/>
        <v>1429739.9301068923</v>
      </c>
      <c r="I25" s="119">
        <f t="shared" si="11"/>
        <v>1585988.5116129918</v>
      </c>
      <c r="J25" s="119">
        <f t="shared" si="11"/>
        <v>1745794.5579816783</v>
      </c>
      <c r="K25" s="119">
        <f t="shared" si="11"/>
        <v>1909232.0643058205</v>
      </c>
      <c r="L25" s="119">
        <f t="shared" si="11"/>
        <v>2076376.3184109796</v>
      </c>
      <c r="M25" s="119">
        <f t="shared" si="11"/>
        <v>2247303.9132462712</v>
      </c>
      <c r="N25" s="119">
        <f t="shared" si="11"/>
        <v>2422092.7588822115</v>
      </c>
      <c r="O25" s="119">
        <f t="shared" si="11"/>
        <v>2600822.094081006</v>
      </c>
      <c r="P25" s="119">
        <f t="shared" si="11"/>
        <v>2783572.4974031541</v>
      </c>
      <c r="Q25" s="119">
        <f t="shared" si="11"/>
        <v>2970425.8978122417</v>
      </c>
      <c r="R25" s="119">
        <f t="shared" si="11"/>
        <v>3161465.5847381176</v>
      </c>
      <c r="S25" s="160">
        <f t="shared" si="11"/>
        <v>3356776.2175565707</v>
      </c>
      <c r="T25" s="119">
        <f t="shared" si="11"/>
        <v>3556443.834441606</v>
      </c>
      <c r="U25" s="119">
        <f t="shared" si="11"/>
        <v>3760555.86054435</v>
      </c>
      <c r="V25" s="119">
        <f t="shared" si="11"/>
        <v>3969201.1154503152</v>
      </c>
      <c r="W25" s="119">
        <f t="shared" si="11"/>
        <v>4182469.8198645581</v>
      </c>
      <c r="X25" s="119">
        <f t="shared" si="11"/>
        <v>4400453.6014717147</v>
      </c>
      <c r="Y25" s="119">
        <f t="shared" si="11"/>
        <v>4623245.4999155961</v>
      </c>
      <c r="Z25" s="119">
        <f t="shared" si="11"/>
        <v>4850939.9708401989</v>
      </c>
      <c r="AA25" s="119">
        <f t="shared" si="11"/>
        <v>5083632.8889314644</v>
      </c>
      <c r="AB25" s="119">
        <f t="shared" si="11"/>
        <v>5321421.5498961732</v>
      </c>
      <c r="AC25" s="119">
        <f t="shared" si="11"/>
        <v>5564404.6713114697</v>
      </c>
      <c r="AD25" s="119">
        <f t="shared" si="11"/>
        <v>5812682.392275475</v>
      </c>
      <c r="AE25" s="119">
        <f t="shared" si="11"/>
        <v>6066356.2717861589</v>
      </c>
      <c r="AF25" s="119">
        <f t="shared" si="11"/>
        <v>6325529.2857724819</v>
      </c>
      <c r="AG25" s="119">
        <f t="shared" si="11"/>
        <v>6590305.8226981759</v>
      </c>
      <c r="AH25" s="119">
        <f t="shared" si="11"/>
        <v>6860791.6776551325</v>
      </c>
    </row>
    <row r="26" spans="1:34" hidden="1">
      <c r="A26" s="86"/>
      <c r="B26" s="110"/>
      <c r="C26" s="76"/>
      <c r="D26" s="76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6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</row>
    <row r="27" spans="1:34" ht="14.25" customHeight="1">
      <c r="A27" s="86"/>
      <c r="B27" s="120" t="s">
        <v>319</v>
      </c>
      <c r="C27" s="121"/>
      <c r="D27" s="121"/>
      <c r="E27" s="122">
        <f t="shared" ref="E27:AH27" si="12">IF(E22=0,0,-E21/(E22+E23))</f>
        <v>1.2</v>
      </c>
      <c r="F27" s="122">
        <f t="shared" si="12"/>
        <v>1.2297483138702945</v>
      </c>
      <c r="G27" s="122">
        <f t="shared" si="12"/>
        <v>1.2601777697655723</v>
      </c>
      <c r="H27" s="122">
        <f t="shared" si="12"/>
        <v>1.2913026695174803</v>
      </c>
      <c r="I27" s="122">
        <f t="shared" si="12"/>
        <v>1.3231375703568542</v>
      </c>
      <c r="J27" s="122">
        <f t="shared" si="12"/>
        <v>1.3556972876396696</v>
      </c>
      <c r="K27" s="122">
        <f t="shared" si="12"/>
        <v>1.388996897512035</v>
      </c>
      <c r="L27" s="122">
        <f t="shared" si="12"/>
        <v>1.4230517395081599</v>
      </c>
      <c r="M27" s="122">
        <f t="shared" si="12"/>
        <v>1.4578774190749328</v>
      </c>
      <c r="N27" s="122">
        <f t="shared" si="12"/>
        <v>1.4934898100164249</v>
      </c>
      <c r="O27" s="122">
        <f t="shared" si="12"/>
        <v>1.5299050568512815</v>
      </c>
      <c r="P27" s="122">
        <f t="shared" si="12"/>
        <v>1.56713957707564</v>
      </c>
      <c r="Q27" s="122">
        <f t="shared" si="12"/>
        <v>1.6052100633238044</v>
      </c>
      <c r="R27" s="122">
        <f t="shared" si="12"/>
        <v>1.6441334854185701</v>
      </c>
      <c r="S27" s="161">
        <f t="shared" si="12"/>
        <v>1.6839270923026626</v>
      </c>
      <c r="T27" s="122">
        <f t="shared" si="12"/>
        <v>1.724608413842347</v>
      </c>
      <c r="U27" s="122">
        <f t="shared" si="12"/>
        <v>1.7661952624938395</v>
      </c>
      <c r="V27" s="122">
        <f t="shared" si="12"/>
        <v>1.8087057348226909</v>
      </c>
      <c r="W27" s="122">
        <f t="shared" si="12"/>
        <v>1.852158212865854</v>
      </c>
      <c r="X27" s="122">
        <f t="shared" si="12"/>
        <v>1.8965713653256393</v>
      </c>
      <c r="Y27" s="122">
        <f t="shared" si="12"/>
        <v>1.9419641485842827</v>
      </c>
      <c r="Z27" s="122">
        <f t="shared" si="12"/>
        <v>1.9883558075272822</v>
      </c>
      <c r="AA27" s="122">
        <f t="shared" si="12"/>
        <v>2.0357658761631425</v>
      </c>
      <c r="AB27" s="122">
        <f t="shared" si="12"/>
        <v>2.0842141780265648</v>
      </c>
      <c r="AC27" s="122">
        <f t="shared" si="12"/>
        <v>2.1337208263515324</v>
      </c>
      <c r="AD27" s="122">
        <f t="shared" si="12"/>
        <v>2.1843062240001268</v>
      </c>
      <c r="AE27" s="122">
        <f t="shared" si="12"/>
        <v>2.2359910631322291</v>
      </c>
      <c r="AF27" s="122">
        <f t="shared" si="12"/>
        <v>2.2887963246006295</v>
      </c>
      <c r="AG27" s="122">
        <f t="shared" si="12"/>
        <v>2.3427432770553196</v>
      </c>
      <c r="AH27" s="122">
        <f t="shared" si="12"/>
        <v>2.3978534757400474</v>
      </c>
    </row>
    <row r="28" spans="1:34">
      <c r="A28" s="86"/>
      <c r="B28" s="110"/>
      <c r="C28" s="76"/>
      <c r="D28" s="76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6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</row>
    <row r="29" spans="1:34" ht="12.75" hidden="1" customHeight="1">
      <c r="A29" s="78"/>
      <c r="B29" s="79" t="s">
        <v>320</v>
      </c>
      <c r="C29" s="80"/>
      <c r="D29" s="80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2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</row>
    <row r="30" spans="1:34" hidden="1">
      <c r="A30" s="86"/>
      <c r="B30" s="110"/>
      <c r="C30" s="76"/>
      <c r="D30" s="76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6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</row>
    <row r="31" spans="1:34" hidden="1">
      <c r="A31" s="86"/>
      <c r="B31" s="91" t="s">
        <v>321</v>
      </c>
      <c r="C31" s="92"/>
      <c r="D31" s="88">
        <v>2.5000000000000001E-2</v>
      </c>
      <c r="E31" s="95">
        <f>Data!F15</f>
        <v>0</v>
      </c>
      <c r="F31" s="89">
        <f>E31*(1+$D$31)</f>
        <v>0</v>
      </c>
      <c r="G31" s="89">
        <f t="shared" ref="G31:AH31" si="13">F31*(1+$D$31)</f>
        <v>0</v>
      </c>
      <c r="H31" s="89">
        <f t="shared" si="13"/>
        <v>0</v>
      </c>
      <c r="I31" s="89">
        <f t="shared" si="13"/>
        <v>0</v>
      </c>
      <c r="J31" s="89">
        <f t="shared" si="13"/>
        <v>0</v>
      </c>
      <c r="K31" s="89">
        <f t="shared" si="13"/>
        <v>0</v>
      </c>
      <c r="L31" s="89">
        <f t="shared" si="13"/>
        <v>0</v>
      </c>
      <c r="M31" s="89">
        <f t="shared" si="13"/>
        <v>0</v>
      </c>
      <c r="N31" s="89">
        <f t="shared" si="13"/>
        <v>0</v>
      </c>
      <c r="O31" s="89">
        <f t="shared" si="13"/>
        <v>0</v>
      </c>
      <c r="P31" s="89">
        <f t="shared" si="13"/>
        <v>0</v>
      </c>
      <c r="Q31" s="89">
        <f t="shared" si="13"/>
        <v>0</v>
      </c>
      <c r="R31" s="89">
        <f t="shared" si="13"/>
        <v>0</v>
      </c>
      <c r="S31" s="90">
        <f t="shared" si="13"/>
        <v>0</v>
      </c>
      <c r="T31" s="89">
        <f t="shared" si="13"/>
        <v>0</v>
      </c>
      <c r="U31" s="89">
        <f t="shared" si="13"/>
        <v>0</v>
      </c>
      <c r="V31" s="89">
        <f t="shared" si="13"/>
        <v>0</v>
      </c>
      <c r="W31" s="89">
        <f t="shared" si="13"/>
        <v>0</v>
      </c>
      <c r="X31" s="89">
        <f t="shared" si="13"/>
        <v>0</v>
      </c>
      <c r="Y31" s="89">
        <f t="shared" si="13"/>
        <v>0</v>
      </c>
      <c r="Z31" s="89">
        <f t="shared" si="13"/>
        <v>0</v>
      </c>
      <c r="AA31" s="89">
        <f t="shared" si="13"/>
        <v>0</v>
      </c>
      <c r="AB31" s="89">
        <f t="shared" si="13"/>
        <v>0</v>
      </c>
      <c r="AC31" s="89">
        <f t="shared" si="13"/>
        <v>0</v>
      </c>
      <c r="AD31" s="89">
        <f t="shared" si="13"/>
        <v>0</v>
      </c>
      <c r="AE31" s="89">
        <f t="shared" si="13"/>
        <v>0</v>
      </c>
      <c r="AF31" s="89">
        <f t="shared" si="13"/>
        <v>0</v>
      </c>
      <c r="AG31" s="89">
        <f t="shared" si="13"/>
        <v>0</v>
      </c>
      <c r="AH31" s="89">
        <f t="shared" si="13"/>
        <v>0</v>
      </c>
    </row>
    <row r="32" spans="1:34" hidden="1">
      <c r="A32" s="86"/>
      <c r="B32" s="320" t="s">
        <v>322</v>
      </c>
      <c r="C32" s="98">
        <v>0.5</v>
      </c>
      <c r="D32" s="98"/>
      <c r="E32" s="108">
        <f>-E31*$C$32</f>
        <v>0</v>
      </c>
      <c r="F32" s="108">
        <f t="shared" ref="F32:AH32" si="14">-F31*$C$32</f>
        <v>0</v>
      </c>
      <c r="G32" s="108">
        <f t="shared" si="14"/>
        <v>0</v>
      </c>
      <c r="H32" s="108">
        <f t="shared" si="14"/>
        <v>0</v>
      </c>
      <c r="I32" s="108">
        <f t="shared" si="14"/>
        <v>0</v>
      </c>
      <c r="J32" s="108">
        <f t="shared" si="14"/>
        <v>0</v>
      </c>
      <c r="K32" s="108">
        <f t="shared" si="14"/>
        <v>0</v>
      </c>
      <c r="L32" s="108">
        <f t="shared" si="14"/>
        <v>0</v>
      </c>
      <c r="M32" s="108">
        <f t="shared" si="14"/>
        <v>0</v>
      </c>
      <c r="N32" s="108">
        <f t="shared" si="14"/>
        <v>0</v>
      </c>
      <c r="O32" s="108">
        <f t="shared" si="14"/>
        <v>0</v>
      </c>
      <c r="P32" s="108">
        <f t="shared" si="14"/>
        <v>0</v>
      </c>
      <c r="Q32" s="108">
        <f t="shared" si="14"/>
        <v>0</v>
      </c>
      <c r="R32" s="108">
        <f t="shared" si="14"/>
        <v>0</v>
      </c>
      <c r="S32" s="109">
        <f t="shared" si="14"/>
        <v>0</v>
      </c>
      <c r="T32" s="108">
        <f t="shared" si="14"/>
        <v>0</v>
      </c>
      <c r="U32" s="108">
        <f t="shared" si="14"/>
        <v>0</v>
      </c>
      <c r="V32" s="108">
        <f t="shared" si="14"/>
        <v>0</v>
      </c>
      <c r="W32" s="108">
        <f t="shared" si="14"/>
        <v>0</v>
      </c>
      <c r="X32" s="108">
        <f t="shared" si="14"/>
        <v>0</v>
      </c>
      <c r="Y32" s="108">
        <f t="shared" si="14"/>
        <v>0</v>
      </c>
      <c r="Z32" s="108">
        <f t="shared" si="14"/>
        <v>0</v>
      </c>
      <c r="AA32" s="108">
        <f t="shared" si="14"/>
        <v>0</v>
      </c>
      <c r="AB32" s="108">
        <f t="shared" si="14"/>
        <v>0</v>
      </c>
      <c r="AC32" s="108">
        <f t="shared" si="14"/>
        <v>0</v>
      </c>
      <c r="AD32" s="108">
        <f t="shared" si="14"/>
        <v>0</v>
      </c>
      <c r="AE32" s="108">
        <f t="shared" si="14"/>
        <v>0</v>
      </c>
      <c r="AF32" s="108">
        <f t="shared" si="14"/>
        <v>0</v>
      </c>
      <c r="AG32" s="108">
        <f t="shared" si="14"/>
        <v>0</v>
      </c>
      <c r="AH32" s="108">
        <f t="shared" si="14"/>
        <v>0</v>
      </c>
    </row>
    <row r="33" spans="1:34" hidden="1">
      <c r="A33" s="86"/>
      <c r="B33" s="102" t="s">
        <v>323</v>
      </c>
      <c r="C33" s="76"/>
      <c r="D33" s="76"/>
      <c r="E33" s="95">
        <f>SUM(E31:E32)</f>
        <v>0</v>
      </c>
      <c r="F33" s="95">
        <f t="shared" ref="F33:AH33" si="15">SUM(F31:F32)</f>
        <v>0</v>
      </c>
      <c r="G33" s="95">
        <f t="shared" si="15"/>
        <v>0</v>
      </c>
      <c r="H33" s="95">
        <f t="shared" si="15"/>
        <v>0</v>
      </c>
      <c r="I33" s="95">
        <f t="shared" si="15"/>
        <v>0</v>
      </c>
      <c r="J33" s="95">
        <f t="shared" si="15"/>
        <v>0</v>
      </c>
      <c r="K33" s="95">
        <f t="shared" si="15"/>
        <v>0</v>
      </c>
      <c r="L33" s="95">
        <f t="shared" si="15"/>
        <v>0</v>
      </c>
      <c r="M33" s="95">
        <f t="shared" si="15"/>
        <v>0</v>
      </c>
      <c r="N33" s="95">
        <f t="shared" si="15"/>
        <v>0</v>
      </c>
      <c r="O33" s="95">
        <f t="shared" si="15"/>
        <v>0</v>
      </c>
      <c r="P33" s="95">
        <f t="shared" si="15"/>
        <v>0</v>
      </c>
      <c r="Q33" s="95">
        <f t="shared" si="15"/>
        <v>0</v>
      </c>
      <c r="R33" s="95">
        <f t="shared" si="15"/>
        <v>0</v>
      </c>
      <c r="S33" s="96">
        <f t="shared" si="15"/>
        <v>0</v>
      </c>
      <c r="T33" s="95">
        <f t="shared" si="15"/>
        <v>0</v>
      </c>
      <c r="U33" s="95">
        <f t="shared" si="15"/>
        <v>0</v>
      </c>
      <c r="V33" s="95">
        <f t="shared" si="15"/>
        <v>0</v>
      </c>
      <c r="W33" s="95">
        <f t="shared" si="15"/>
        <v>0</v>
      </c>
      <c r="X33" s="95">
        <f t="shared" si="15"/>
        <v>0</v>
      </c>
      <c r="Y33" s="95">
        <f t="shared" si="15"/>
        <v>0</v>
      </c>
      <c r="Z33" s="95">
        <f t="shared" si="15"/>
        <v>0</v>
      </c>
      <c r="AA33" s="95">
        <f t="shared" si="15"/>
        <v>0</v>
      </c>
      <c r="AB33" s="95">
        <f t="shared" si="15"/>
        <v>0</v>
      </c>
      <c r="AC33" s="95">
        <f t="shared" si="15"/>
        <v>0</v>
      </c>
      <c r="AD33" s="95">
        <f t="shared" si="15"/>
        <v>0</v>
      </c>
      <c r="AE33" s="95">
        <f t="shared" si="15"/>
        <v>0</v>
      </c>
      <c r="AF33" s="95">
        <f t="shared" si="15"/>
        <v>0</v>
      </c>
      <c r="AG33" s="95">
        <f t="shared" si="15"/>
        <v>0</v>
      </c>
      <c r="AH33" s="95">
        <f t="shared" si="15"/>
        <v>0</v>
      </c>
    </row>
    <row r="34" spans="1:34" hidden="1">
      <c r="A34" s="86"/>
      <c r="B34" s="102"/>
      <c r="C34" s="76"/>
      <c r="D34" s="76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6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</row>
    <row r="35" spans="1:34" hidden="1">
      <c r="A35" s="86"/>
      <c r="B35" s="87" t="s">
        <v>324</v>
      </c>
      <c r="C35" s="76"/>
      <c r="D35" s="88">
        <v>2.5000000000000001E-2</v>
      </c>
      <c r="E35" s="95">
        <f>Data!F17</f>
        <v>0</v>
      </c>
      <c r="F35" s="89">
        <f>E35*(1+$D$35)</f>
        <v>0</v>
      </c>
      <c r="G35" s="89">
        <f t="shared" ref="G35:AH35" si="16">F35*(1+$D$35)</f>
        <v>0</v>
      </c>
      <c r="H35" s="89">
        <f t="shared" si="16"/>
        <v>0</v>
      </c>
      <c r="I35" s="89">
        <f t="shared" si="16"/>
        <v>0</v>
      </c>
      <c r="J35" s="89">
        <f t="shared" si="16"/>
        <v>0</v>
      </c>
      <c r="K35" s="89">
        <f t="shared" si="16"/>
        <v>0</v>
      </c>
      <c r="L35" s="89">
        <f t="shared" si="16"/>
        <v>0</v>
      </c>
      <c r="M35" s="89">
        <f t="shared" si="16"/>
        <v>0</v>
      </c>
      <c r="N35" s="89">
        <f t="shared" si="16"/>
        <v>0</v>
      </c>
      <c r="O35" s="89">
        <f t="shared" si="16"/>
        <v>0</v>
      </c>
      <c r="P35" s="89">
        <f t="shared" si="16"/>
        <v>0</v>
      </c>
      <c r="Q35" s="89">
        <f t="shared" si="16"/>
        <v>0</v>
      </c>
      <c r="R35" s="89">
        <f t="shared" si="16"/>
        <v>0</v>
      </c>
      <c r="S35" s="90">
        <f t="shared" si="16"/>
        <v>0</v>
      </c>
      <c r="T35" s="89">
        <f t="shared" si="16"/>
        <v>0</v>
      </c>
      <c r="U35" s="89">
        <f t="shared" si="16"/>
        <v>0</v>
      </c>
      <c r="V35" s="89">
        <f t="shared" si="16"/>
        <v>0</v>
      </c>
      <c r="W35" s="89">
        <f t="shared" si="16"/>
        <v>0</v>
      </c>
      <c r="X35" s="89">
        <f t="shared" si="16"/>
        <v>0</v>
      </c>
      <c r="Y35" s="89">
        <f t="shared" si="16"/>
        <v>0</v>
      </c>
      <c r="Z35" s="89">
        <f t="shared" si="16"/>
        <v>0</v>
      </c>
      <c r="AA35" s="89">
        <f t="shared" si="16"/>
        <v>0</v>
      </c>
      <c r="AB35" s="89">
        <f t="shared" si="16"/>
        <v>0</v>
      </c>
      <c r="AC35" s="89">
        <f t="shared" si="16"/>
        <v>0</v>
      </c>
      <c r="AD35" s="89">
        <f t="shared" si="16"/>
        <v>0</v>
      </c>
      <c r="AE35" s="89">
        <f t="shared" si="16"/>
        <v>0</v>
      </c>
      <c r="AF35" s="89">
        <f t="shared" si="16"/>
        <v>0</v>
      </c>
      <c r="AG35" s="89">
        <f t="shared" si="16"/>
        <v>0</v>
      </c>
      <c r="AH35" s="89">
        <f t="shared" si="16"/>
        <v>0</v>
      </c>
    </row>
    <row r="36" spans="1:34" hidden="1">
      <c r="A36" s="86"/>
      <c r="B36" s="97" t="s">
        <v>325</v>
      </c>
      <c r="C36" s="112"/>
      <c r="D36" s="112"/>
      <c r="E36" s="108">
        <f>Data!M18</f>
        <v>0</v>
      </c>
      <c r="F36" s="100">
        <f>E36</f>
        <v>0</v>
      </c>
      <c r="G36" s="100">
        <f t="shared" ref="G36:AH36" si="17">F36</f>
        <v>0</v>
      </c>
      <c r="H36" s="100">
        <f t="shared" si="17"/>
        <v>0</v>
      </c>
      <c r="I36" s="100">
        <f t="shared" si="17"/>
        <v>0</v>
      </c>
      <c r="J36" s="100">
        <f t="shared" si="17"/>
        <v>0</v>
      </c>
      <c r="K36" s="100">
        <f t="shared" si="17"/>
        <v>0</v>
      </c>
      <c r="L36" s="100">
        <f t="shared" si="17"/>
        <v>0</v>
      </c>
      <c r="M36" s="100">
        <f t="shared" si="17"/>
        <v>0</v>
      </c>
      <c r="N36" s="100">
        <f t="shared" si="17"/>
        <v>0</v>
      </c>
      <c r="O36" s="100">
        <f t="shared" si="17"/>
        <v>0</v>
      </c>
      <c r="P36" s="100">
        <f t="shared" si="17"/>
        <v>0</v>
      </c>
      <c r="Q36" s="100">
        <f t="shared" si="17"/>
        <v>0</v>
      </c>
      <c r="R36" s="100">
        <f t="shared" si="17"/>
        <v>0</v>
      </c>
      <c r="S36" s="101">
        <f t="shared" si="17"/>
        <v>0</v>
      </c>
      <c r="T36" s="100">
        <f t="shared" si="17"/>
        <v>0</v>
      </c>
      <c r="U36" s="100">
        <f t="shared" si="17"/>
        <v>0</v>
      </c>
      <c r="V36" s="100">
        <f t="shared" si="17"/>
        <v>0</v>
      </c>
      <c r="W36" s="100">
        <f t="shared" si="17"/>
        <v>0</v>
      </c>
      <c r="X36" s="100">
        <f t="shared" si="17"/>
        <v>0</v>
      </c>
      <c r="Y36" s="100">
        <f t="shared" si="17"/>
        <v>0</v>
      </c>
      <c r="Z36" s="100">
        <f t="shared" si="17"/>
        <v>0</v>
      </c>
      <c r="AA36" s="100">
        <f t="shared" si="17"/>
        <v>0</v>
      </c>
      <c r="AB36" s="100">
        <f t="shared" si="17"/>
        <v>0</v>
      </c>
      <c r="AC36" s="100">
        <f t="shared" si="17"/>
        <v>0</v>
      </c>
      <c r="AD36" s="100">
        <f t="shared" si="17"/>
        <v>0</v>
      </c>
      <c r="AE36" s="100">
        <f t="shared" si="17"/>
        <v>0</v>
      </c>
      <c r="AF36" s="100">
        <f t="shared" si="17"/>
        <v>0</v>
      </c>
      <c r="AG36" s="100">
        <f t="shared" si="17"/>
        <v>0</v>
      </c>
      <c r="AH36" s="100">
        <f t="shared" si="17"/>
        <v>0</v>
      </c>
    </row>
    <row r="37" spans="1:34" hidden="1">
      <c r="A37" s="86"/>
      <c r="B37" s="321" t="s">
        <v>326</v>
      </c>
      <c r="C37" s="76"/>
      <c r="D37" s="76"/>
      <c r="E37" s="95">
        <f>SUM(E33:E36)</f>
        <v>0</v>
      </c>
      <c r="F37" s="95">
        <f t="shared" ref="F37:AH37" si="18">SUM(F33:F36)</f>
        <v>0</v>
      </c>
      <c r="G37" s="95">
        <f t="shared" si="18"/>
        <v>0</v>
      </c>
      <c r="H37" s="95">
        <f t="shared" si="18"/>
        <v>0</v>
      </c>
      <c r="I37" s="95">
        <f t="shared" si="18"/>
        <v>0</v>
      </c>
      <c r="J37" s="95">
        <f t="shared" si="18"/>
        <v>0</v>
      </c>
      <c r="K37" s="95">
        <f t="shared" si="18"/>
        <v>0</v>
      </c>
      <c r="L37" s="95">
        <f t="shared" si="18"/>
        <v>0</v>
      </c>
      <c r="M37" s="95">
        <f t="shared" si="18"/>
        <v>0</v>
      </c>
      <c r="N37" s="95">
        <f t="shared" si="18"/>
        <v>0</v>
      </c>
      <c r="O37" s="95">
        <f t="shared" si="18"/>
        <v>0</v>
      </c>
      <c r="P37" s="95">
        <f t="shared" si="18"/>
        <v>0</v>
      </c>
      <c r="Q37" s="95">
        <f t="shared" si="18"/>
        <v>0</v>
      </c>
      <c r="R37" s="95">
        <f t="shared" si="18"/>
        <v>0</v>
      </c>
      <c r="S37" s="322">
        <f t="shared" si="18"/>
        <v>0</v>
      </c>
      <c r="T37" s="95">
        <f t="shared" si="18"/>
        <v>0</v>
      </c>
      <c r="U37" s="95">
        <f t="shared" si="18"/>
        <v>0</v>
      </c>
      <c r="V37" s="95">
        <f t="shared" si="18"/>
        <v>0</v>
      </c>
      <c r="W37" s="95">
        <f t="shared" si="18"/>
        <v>0</v>
      </c>
      <c r="X37" s="95">
        <f t="shared" si="18"/>
        <v>0</v>
      </c>
      <c r="Y37" s="95">
        <f t="shared" si="18"/>
        <v>0</v>
      </c>
      <c r="Z37" s="95">
        <f t="shared" si="18"/>
        <v>0</v>
      </c>
      <c r="AA37" s="95">
        <f t="shared" si="18"/>
        <v>0</v>
      </c>
      <c r="AB37" s="95">
        <f t="shared" si="18"/>
        <v>0</v>
      </c>
      <c r="AC37" s="95">
        <f t="shared" si="18"/>
        <v>0</v>
      </c>
      <c r="AD37" s="95">
        <f t="shared" si="18"/>
        <v>0</v>
      </c>
      <c r="AE37" s="95">
        <f t="shared" si="18"/>
        <v>0</v>
      </c>
      <c r="AF37" s="95">
        <f t="shared" si="18"/>
        <v>0</v>
      </c>
      <c r="AG37" s="95">
        <f t="shared" si="18"/>
        <v>0</v>
      </c>
      <c r="AH37" s="95">
        <f t="shared" si="18"/>
        <v>0</v>
      </c>
    </row>
    <row r="38" spans="1:34" hidden="1">
      <c r="A38" s="86"/>
      <c r="B38" s="110"/>
      <c r="C38" s="76"/>
      <c r="D38" s="76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6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</row>
    <row r="39" spans="1:34">
      <c r="A39" s="78"/>
      <c r="B39" s="79" t="s">
        <v>327</v>
      </c>
      <c r="C39" s="80" t="s">
        <v>276</v>
      </c>
      <c r="D39" s="80" t="s">
        <v>277</v>
      </c>
      <c r="E39" s="81" t="str">
        <f t="shared" ref="E39:AH39" si="19">E10</f>
        <v>Year 1</v>
      </c>
      <c r="F39" s="81" t="str">
        <f t="shared" si="19"/>
        <v>Year 2</v>
      </c>
      <c r="G39" s="81" t="str">
        <f t="shared" si="19"/>
        <v>Year 3</v>
      </c>
      <c r="H39" s="81" t="str">
        <f t="shared" si="19"/>
        <v>Year 4</v>
      </c>
      <c r="I39" s="81" t="str">
        <f t="shared" si="19"/>
        <v>Year 5</v>
      </c>
      <c r="J39" s="81" t="str">
        <f t="shared" si="19"/>
        <v>Year 6</v>
      </c>
      <c r="K39" s="81" t="str">
        <f t="shared" si="19"/>
        <v>Year 7</v>
      </c>
      <c r="L39" s="81" t="str">
        <f t="shared" si="19"/>
        <v>Year 8</v>
      </c>
      <c r="M39" s="81" t="str">
        <f t="shared" si="19"/>
        <v>Year 9</v>
      </c>
      <c r="N39" s="81" t="str">
        <f t="shared" si="19"/>
        <v>Year 10</v>
      </c>
      <c r="O39" s="81" t="str">
        <f t="shared" si="19"/>
        <v>Year 11</v>
      </c>
      <c r="P39" s="81" t="str">
        <f t="shared" si="19"/>
        <v>Year 12</v>
      </c>
      <c r="Q39" s="81" t="str">
        <f t="shared" si="19"/>
        <v>Year 13</v>
      </c>
      <c r="R39" s="81" t="str">
        <f t="shared" si="19"/>
        <v>Year 14</v>
      </c>
      <c r="S39" s="82" t="str">
        <f t="shared" si="19"/>
        <v>Year 15</v>
      </c>
      <c r="T39" s="81" t="str">
        <f t="shared" si="19"/>
        <v>Year 16</v>
      </c>
      <c r="U39" s="81" t="str">
        <f t="shared" si="19"/>
        <v>Year 17</v>
      </c>
      <c r="V39" s="81" t="str">
        <f t="shared" si="19"/>
        <v>Year 18</v>
      </c>
      <c r="W39" s="81" t="str">
        <f t="shared" si="19"/>
        <v>Year 19</v>
      </c>
      <c r="X39" s="81" t="str">
        <f t="shared" si="19"/>
        <v>Year 20</v>
      </c>
      <c r="Y39" s="81" t="str">
        <f t="shared" si="19"/>
        <v>Year 21</v>
      </c>
      <c r="Z39" s="81" t="str">
        <f t="shared" si="19"/>
        <v>Year 22</v>
      </c>
      <c r="AA39" s="81" t="str">
        <f t="shared" si="19"/>
        <v>Year 23</v>
      </c>
      <c r="AB39" s="81" t="str">
        <f t="shared" si="19"/>
        <v>Year 24</v>
      </c>
      <c r="AC39" s="81" t="str">
        <f t="shared" si="19"/>
        <v>Year 25</v>
      </c>
      <c r="AD39" s="81" t="str">
        <f t="shared" si="19"/>
        <v>Year 26</v>
      </c>
      <c r="AE39" s="81" t="str">
        <f t="shared" si="19"/>
        <v>Year 27</v>
      </c>
      <c r="AF39" s="81" t="str">
        <f t="shared" si="19"/>
        <v>Year 28</v>
      </c>
      <c r="AG39" s="81" t="str">
        <f t="shared" si="19"/>
        <v>Year 29</v>
      </c>
      <c r="AH39" s="81" t="str">
        <f t="shared" si="19"/>
        <v>Year 30</v>
      </c>
    </row>
    <row r="40" spans="1:34">
      <c r="A40" s="123"/>
      <c r="B40" s="124"/>
      <c r="C40" s="83"/>
      <c r="D40" s="8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6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</row>
    <row r="41" spans="1:34">
      <c r="A41" s="86"/>
      <c r="B41" s="110" t="s">
        <v>328</v>
      </c>
      <c r="C41" s="127"/>
      <c r="D41" s="128"/>
      <c r="E41" s="129">
        <f>E25+E37</f>
        <v>981618.14478057716</v>
      </c>
      <c r="F41" s="129">
        <f t="shared" ref="F41:S41" si="20">F25+F37</f>
        <v>1127625.5681391209</v>
      </c>
      <c r="G41" s="129">
        <f t="shared" si="20"/>
        <v>1276976.0983521454</v>
      </c>
      <c r="H41" s="129">
        <f t="shared" si="20"/>
        <v>1429739.9301068923</v>
      </c>
      <c r="I41" s="129">
        <f t="shared" si="20"/>
        <v>1585988.5116129918</v>
      </c>
      <c r="J41" s="129">
        <f t="shared" si="20"/>
        <v>1745794.5579816783</v>
      </c>
      <c r="K41" s="129">
        <f t="shared" si="20"/>
        <v>1909232.0643058205</v>
      </c>
      <c r="L41" s="129">
        <f t="shared" si="20"/>
        <v>2076376.3184109796</v>
      </c>
      <c r="M41" s="129">
        <f t="shared" si="20"/>
        <v>2247303.9132462712</v>
      </c>
      <c r="N41" s="129">
        <f t="shared" si="20"/>
        <v>2422092.7588822115</v>
      </c>
      <c r="O41" s="129">
        <f t="shared" si="20"/>
        <v>2600822.094081006</v>
      </c>
      <c r="P41" s="129">
        <f t="shared" si="20"/>
        <v>2783572.4974031541</v>
      </c>
      <c r="Q41" s="129">
        <f t="shared" si="20"/>
        <v>2970425.8978122417</v>
      </c>
      <c r="R41" s="129">
        <f t="shared" si="20"/>
        <v>3161465.5847381176</v>
      </c>
      <c r="S41" s="130">
        <f t="shared" si="20"/>
        <v>3356776.2175565707</v>
      </c>
      <c r="T41" s="130">
        <f t="shared" ref="T41:AH41" si="21">T25+T37</f>
        <v>3556443.834441606</v>
      </c>
      <c r="U41" s="130">
        <f t="shared" si="21"/>
        <v>3760555.86054435</v>
      </c>
      <c r="V41" s="130">
        <f t="shared" si="21"/>
        <v>3969201.1154503152</v>
      </c>
      <c r="W41" s="130">
        <f t="shared" si="21"/>
        <v>4182469.8198645581</v>
      </c>
      <c r="X41" s="130">
        <f t="shared" si="21"/>
        <v>4400453.6014717147</v>
      </c>
      <c r="Y41" s="130">
        <f t="shared" si="21"/>
        <v>4623245.4999155961</v>
      </c>
      <c r="Z41" s="130">
        <f t="shared" si="21"/>
        <v>4850939.9708401989</v>
      </c>
      <c r="AA41" s="130">
        <f t="shared" si="21"/>
        <v>5083632.8889314644</v>
      </c>
      <c r="AB41" s="130">
        <f t="shared" si="21"/>
        <v>5321421.5498961732</v>
      </c>
      <c r="AC41" s="130">
        <f t="shared" si="21"/>
        <v>5564404.6713114697</v>
      </c>
      <c r="AD41" s="130">
        <f t="shared" si="21"/>
        <v>5812682.392275475</v>
      </c>
      <c r="AE41" s="130">
        <f t="shared" si="21"/>
        <v>6066356.2717861589</v>
      </c>
      <c r="AF41" s="130">
        <f t="shared" si="21"/>
        <v>6325529.2857724819</v>
      </c>
      <c r="AG41" s="130">
        <f t="shared" si="21"/>
        <v>6590305.8226981759</v>
      </c>
      <c r="AH41" s="130">
        <f t="shared" si="21"/>
        <v>6860791.6776551325</v>
      </c>
    </row>
    <row r="42" spans="1:34">
      <c r="A42" s="86"/>
      <c r="B42" s="110" t="s">
        <v>329</v>
      </c>
      <c r="C42" s="323">
        <f>GapCalc!I33</f>
        <v>0.85</v>
      </c>
      <c r="D42" s="131" t="s">
        <v>1048</v>
      </c>
      <c r="E42" s="129">
        <f>((E41*$C$42))</f>
        <v>834375.42306349054</v>
      </c>
      <c r="F42" s="129">
        <f t="shared" ref="F42:S42" si="22">((F41*$C$42))</f>
        <v>958481.73291825282</v>
      </c>
      <c r="G42" s="129">
        <f t="shared" si="22"/>
        <v>1085429.6835993235</v>
      </c>
      <c r="H42" s="129">
        <f t="shared" si="22"/>
        <v>1215278.9405908585</v>
      </c>
      <c r="I42" s="129">
        <f t="shared" si="22"/>
        <v>1348090.2348710429</v>
      </c>
      <c r="J42" s="129">
        <f t="shared" si="22"/>
        <v>1483925.3742844264</v>
      </c>
      <c r="K42" s="129">
        <f t="shared" si="22"/>
        <v>1622847.2546599475</v>
      </c>
      <c r="L42" s="129">
        <f t="shared" si="22"/>
        <v>1764919.8706493326</v>
      </c>
      <c r="M42" s="129">
        <f t="shared" si="22"/>
        <v>1910208.3262593304</v>
      </c>
      <c r="N42" s="129">
        <f t="shared" si="22"/>
        <v>2058778.8450498797</v>
      </c>
      <c r="O42" s="129">
        <f t="shared" si="22"/>
        <v>2210698.779968855</v>
      </c>
      <c r="P42" s="129">
        <f t="shared" si="22"/>
        <v>2366036.6227926807</v>
      </c>
      <c r="Q42" s="129">
        <f t="shared" si="22"/>
        <v>2524862.0131404055</v>
      </c>
      <c r="R42" s="129">
        <f t="shared" si="22"/>
        <v>2687245.7470273999</v>
      </c>
      <c r="S42" s="129">
        <f t="shared" si="22"/>
        <v>2853259.784923085</v>
      </c>
      <c r="T42" s="129">
        <f t="shared" ref="T42:AH42" si="23">((T41*$C$42))</f>
        <v>3022977.2592753652</v>
      </c>
      <c r="U42" s="129">
        <f t="shared" si="23"/>
        <v>3196472.4814626975</v>
      </c>
      <c r="V42" s="129">
        <f t="shared" si="23"/>
        <v>3373820.9481327678</v>
      </c>
      <c r="W42" s="129">
        <f t="shared" si="23"/>
        <v>3555099.3468848742</v>
      </c>
      <c r="X42" s="129">
        <f t="shared" si="23"/>
        <v>3740385.5612509572</v>
      </c>
      <c r="Y42" s="129">
        <f t="shared" si="23"/>
        <v>3929758.6749282568</v>
      </c>
      <c r="Z42" s="129">
        <f t="shared" si="23"/>
        <v>4123298.9752141689</v>
      </c>
      <c r="AA42" s="129">
        <f t="shared" si="23"/>
        <v>4321087.9555917447</v>
      </c>
      <c r="AB42" s="129">
        <f t="shared" si="23"/>
        <v>4523208.3174117468</v>
      </c>
      <c r="AC42" s="129">
        <f t="shared" si="23"/>
        <v>4729743.970614749</v>
      </c>
      <c r="AD42" s="129">
        <f t="shared" si="23"/>
        <v>4940780.0334341535</v>
      </c>
      <c r="AE42" s="129">
        <f t="shared" si="23"/>
        <v>5156402.8310182346</v>
      </c>
      <c r="AF42" s="129">
        <f t="shared" si="23"/>
        <v>5376699.8929066099</v>
      </c>
      <c r="AG42" s="129">
        <f t="shared" si="23"/>
        <v>5601759.9492934495</v>
      </c>
      <c r="AH42" s="129">
        <f t="shared" si="23"/>
        <v>5831672.9260068629</v>
      </c>
    </row>
    <row r="43" spans="1:34">
      <c r="A43" s="86"/>
      <c r="B43" s="132" t="s">
        <v>330</v>
      </c>
      <c r="C43" s="324">
        <f>GapCalc!I32</f>
        <v>0.15000000000000002</v>
      </c>
      <c r="D43" s="133" t="s">
        <v>1048</v>
      </c>
      <c r="E43" s="108">
        <f>$C$43*(E41)</f>
        <v>147242.72171708659</v>
      </c>
      <c r="F43" s="108">
        <f t="shared" ref="F43:S43" si="24">$C$43*(F41)</f>
        <v>169143.83522086818</v>
      </c>
      <c r="G43" s="108">
        <f t="shared" si="24"/>
        <v>191546.41475282185</v>
      </c>
      <c r="H43" s="108">
        <f t="shared" si="24"/>
        <v>214460.98951603388</v>
      </c>
      <c r="I43" s="108">
        <f t="shared" si="24"/>
        <v>237898.27674194879</v>
      </c>
      <c r="J43" s="108">
        <f t="shared" si="24"/>
        <v>261869.18369725178</v>
      </c>
      <c r="K43" s="108">
        <f t="shared" si="24"/>
        <v>286384.80964587315</v>
      </c>
      <c r="L43" s="108">
        <f t="shared" si="24"/>
        <v>311456.447761647</v>
      </c>
      <c r="M43" s="108">
        <f t="shared" si="24"/>
        <v>337095.5869869407</v>
      </c>
      <c r="N43" s="108">
        <f t="shared" si="24"/>
        <v>363313.91383233177</v>
      </c>
      <c r="O43" s="108">
        <f t="shared" si="24"/>
        <v>390123.31411215098</v>
      </c>
      <c r="P43" s="108">
        <f t="shared" si="24"/>
        <v>417535.87461047317</v>
      </c>
      <c r="Q43" s="108">
        <f t="shared" si="24"/>
        <v>445563.88467183633</v>
      </c>
      <c r="R43" s="108">
        <f t="shared" si="24"/>
        <v>474219.83771071769</v>
      </c>
      <c r="S43" s="108">
        <f t="shared" si="24"/>
        <v>503516.43263348565</v>
      </c>
      <c r="T43" s="108">
        <f t="shared" ref="T43:AH43" si="25">$C$43*(T41)</f>
        <v>533466.57516624092</v>
      </c>
      <c r="U43" s="108">
        <f t="shared" si="25"/>
        <v>564083.37908165262</v>
      </c>
      <c r="V43" s="108">
        <f t="shared" si="25"/>
        <v>595380.16731754737</v>
      </c>
      <c r="W43" s="108">
        <f t="shared" si="25"/>
        <v>627370.47297968378</v>
      </c>
      <c r="X43" s="108">
        <f t="shared" si="25"/>
        <v>660068.04022075725</v>
      </c>
      <c r="Y43" s="108">
        <f t="shared" si="25"/>
        <v>693486.82498733955</v>
      </c>
      <c r="Z43" s="108">
        <f t="shared" si="25"/>
        <v>727640.99562602991</v>
      </c>
      <c r="AA43" s="108">
        <f t="shared" si="25"/>
        <v>762544.93333971978</v>
      </c>
      <c r="AB43" s="108">
        <f t="shared" si="25"/>
        <v>798213.23248442612</v>
      </c>
      <c r="AC43" s="108">
        <f t="shared" si="25"/>
        <v>834660.70069672063</v>
      </c>
      <c r="AD43" s="108">
        <f t="shared" si="25"/>
        <v>871902.35884132143</v>
      </c>
      <c r="AE43" s="108">
        <f t="shared" si="25"/>
        <v>909953.44076792395</v>
      </c>
      <c r="AF43" s="108">
        <f t="shared" si="25"/>
        <v>948829.39286587248</v>
      </c>
      <c r="AG43" s="108">
        <f t="shared" si="25"/>
        <v>988545.8734047265</v>
      </c>
      <c r="AH43" s="108">
        <f t="shared" si="25"/>
        <v>1029118.7516482701</v>
      </c>
    </row>
    <row r="44" spans="1:34" s="138" customFormat="1" ht="15.75" customHeight="1">
      <c r="A44" s="134"/>
      <c r="B44" s="117" t="s">
        <v>331</v>
      </c>
      <c r="C44" s="135"/>
      <c r="D44" s="136"/>
      <c r="E44" s="137">
        <f>E41-(E42+E43)</f>
        <v>0</v>
      </c>
      <c r="F44" s="137">
        <f t="shared" ref="F44:AH44" si="26">F41-(F42+F43)</f>
        <v>0</v>
      </c>
      <c r="G44" s="137">
        <f t="shared" si="26"/>
        <v>0</v>
      </c>
      <c r="H44" s="137">
        <f t="shared" si="26"/>
        <v>0</v>
      </c>
      <c r="I44" s="137">
        <f t="shared" si="26"/>
        <v>0</v>
      </c>
      <c r="J44" s="137">
        <f t="shared" si="26"/>
        <v>0</v>
      </c>
      <c r="K44" s="137">
        <f t="shared" si="26"/>
        <v>0</v>
      </c>
      <c r="L44" s="137">
        <f t="shared" si="26"/>
        <v>0</v>
      </c>
      <c r="M44" s="137">
        <f t="shared" si="26"/>
        <v>0</v>
      </c>
      <c r="N44" s="137">
        <f t="shared" si="26"/>
        <v>0</v>
      </c>
      <c r="O44" s="137">
        <f t="shared" si="26"/>
        <v>0</v>
      </c>
      <c r="P44" s="137">
        <f t="shared" si="26"/>
        <v>0</v>
      </c>
      <c r="Q44" s="137">
        <f t="shared" si="26"/>
        <v>0</v>
      </c>
      <c r="R44" s="137">
        <f t="shared" si="26"/>
        <v>0</v>
      </c>
      <c r="S44" s="137">
        <f t="shared" si="26"/>
        <v>0</v>
      </c>
      <c r="T44" s="137">
        <f t="shared" si="26"/>
        <v>0</v>
      </c>
      <c r="U44" s="137">
        <f t="shared" si="26"/>
        <v>0</v>
      </c>
      <c r="V44" s="137">
        <f t="shared" si="26"/>
        <v>0</v>
      </c>
      <c r="W44" s="137">
        <f t="shared" si="26"/>
        <v>0</v>
      </c>
      <c r="X44" s="137">
        <f t="shared" si="26"/>
        <v>0</v>
      </c>
      <c r="Y44" s="137">
        <f t="shared" si="26"/>
        <v>0</v>
      </c>
      <c r="Z44" s="137">
        <f t="shared" si="26"/>
        <v>0</v>
      </c>
      <c r="AA44" s="137">
        <f t="shared" si="26"/>
        <v>0</v>
      </c>
      <c r="AB44" s="137">
        <f t="shared" si="26"/>
        <v>0</v>
      </c>
      <c r="AC44" s="137">
        <f t="shared" si="26"/>
        <v>0</v>
      </c>
      <c r="AD44" s="137">
        <f t="shared" si="26"/>
        <v>0</v>
      </c>
      <c r="AE44" s="137">
        <f t="shared" si="26"/>
        <v>0</v>
      </c>
      <c r="AF44" s="137">
        <f t="shared" si="26"/>
        <v>0</v>
      </c>
      <c r="AG44" s="137">
        <f t="shared" si="26"/>
        <v>0</v>
      </c>
      <c r="AH44" s="137">
        <f t="shared" si="26"/>
        <v>0</v>
      </c>
    </row>
    <row r="45" spans="1:34" ht="6" customHeight="1">
      <c r="A45" s="86"/>
      <c r="B45" s="110"/>
      <c r="C45" s="128"/>
      <c r="D45" s="131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30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</row>
    <row r="46" spans="1:34">
      <c r="A46" s="86"/>
      <c r="B46" s="139"/>
      <c r="D46" s="141" t="s">
        <v>1049</v>
      </c>
      <c r="E46" s="1529">
        <f>E21/Data!$C$38</f>
        <v>7.2962684614927525E-2</v>
      </c>
      <c r="F46" s="1529">
        <f>F21/Data!$C$38</f>
        <v>7.4771448650547676E-2</v>
      </c>
      <c r="G46" s="1529">
        <f>G21/Data!$C$38</f>
        <v>7.6621627645123508E-2</v>
      </c>
      <c r="H46" s="1529">
        <f>H21/Data!$C$38</f>
        <v>7.8514091182014911E-2</v>
      </c>
      <c r="I46" s="1529">
        <f>I21/Data!$C$38</f>
        <v>8.0449724373423862E-2</v>
      </c>
      <c r="J46" s="1529">
        <f>J21/Data!$C$38</f>
        <v>8.2429428026138243E-2</v>
      </c>
      <c r="K46" s="1529">
        <f>K21/Data!$C$38</f>
        <v>8.4454118803569525E-2</v>
      </c>
      <c r="L46" s="1529">
        <f>L21/Data!$C$38</f>
        <v>8.6524729383714902E-2</v>
      </c>
      <c r="M46" s="1529">
        <f>M21/Data!$C$38</f>
        <v>8.8642208612657369E-2</v>
      </c>
      <c r="N46" s="1529">
        <f>N21/Data!$C$38</f>
        <v>9.0807521653197026E-2</v>
      </c>
      <c r="O46" s="1529">
        <f>O21/Data!$C$38</f>
        <v>9.3021650128185696E-2</v>
      </c>
      <c r="P46" s="1529">
        <f>P21/Data!$C$38</f>
        <v>9.5285592258117363E-2</v>
      </c>
      <c r="Q46" s="1529">
        <f>Q21/Data!$C$38</f>
        <v>9.760036299250216E-2</v>
      </c>
      <c r="R46" s="1529">
        <f>R21/Data!$C$38</f>
        <v>9.9966994134530557E-2</v>
      </c>
      <c r="S46" s="1529">
        <f>S21/Data!$C$38</f>
        <v>0.10238653445850927</v>
      </c>
      <c r="T46" s="93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</row>
    <row r="47" spans="1:34">
      <c r="A47" s="86"/>
      <c r="B47" s="129"/>
      <c r="C47" s="140"/>
      <c r="D47" s="141" t="s">
        <v>332</v>
      </c>
      <c r="E47" s="142">
        <f>E41/GapCalc!$H$33</f>
        <v>2.3683371222190035E-2</v>
      </c>
      <c r="F47" s="142">
        <f>F41/GapCalc!$H$33</f>
        <v>2.7206073025312076E-2</v>
      </c>
      <c r="G47" s="142">
        <f>G41/GapCalc!$H$33</f>
        <v>3.0809433525597681E-2</v>
      </c>
      <c r="H47" s="142">
        <f>H41/GapCalc!$H$33</f>
        <v>3.4495146300987115E-2</v>
      </c>
      <c r="I47" s="142">
        <f>I41/GapCalc!$H$33</f>
        <v>3.8264935172989629E-2</v>
      </c>
      <c r="J47" s="142">
        <f>J41/GapCalc!$H$33</f>
        <v>4.2120554529481991E-2</v>
      </c>
      <c r="K47" s="142">
        <f>K41/GapCalc!$H$33</f>
        <v>4.6063789640288677E-2</v>
      </c>
      <c r="L47" s="142">
        <f>L41/GapCalc!$H$33</f>
        <v>5.0096456964824947E-2</v>
      </c>
      <c r="M47" s="142">
        <f>M41/GapCalc!$H$33</f>
        <v>5.4220404451049531E-2</v>
      </c>
      <c r="N47" s="142">
        <f>N41/GapCalc!$H$33</f>
        <v>5.8437511824935097E-2</v>
      </c>
      <c r="O47" s="142">
        <f>O41/GapCalc!$H$33</f>
        <v>6.2749690869623065E-2</v>
      </c>
      <c r="P47" s="142">
        <f>P41/GapCalc!$H$33</f>
        <v>6.7158885693391193E-2</v>
      </c>
      <c r="Q47" s="142">
        <f>Q41/GapCalc!$H$33</f>
        <v>7.166707298551396E-2</v>
      </c>
      <c r="R47" s="142">
        <f>R41/GapCalc!$H$33</f>
        <v>7.6276262259055608E-2</v>
      </c>
      <c r="S47" s="142">
        <f>S41/GapCalc!$H$33</f>
        <v>8.0988496079584929E-2</v>
      </c>
      <c r="T47" s="93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</row>
    <row r="48" spans="1:34">
      <c r="A48" s="86"/>
      <c r="B48" s="128"/>
      <c r="C48" s="140"/>
      <c r="D48" s="141" t="s">
        <v>333</v>
      </c>
      <c r="E48" s="142">
        <f>E43/GapCalc!$H$32</f>
        <v>2.0130865538861526E-2</v>
      </c>
      <c r="F48" s="142">
        <f>F43/GapCalc!$H$32</f>
        <v>2.3125162071515264E-2</v>
      </c>
      <c r="G48" s="142">
        <f>G43/GapCalc!$H$32</f>
        <v>2.6188018496758027E-2</v>
      </c>
      <c r="H48" s="142">
        <f>H43/GapCalc!$H$32</f>
        <v>2.9320874355839049E-2</v>
      </c>
      <c r="I48" s="142">
        <f>I43/GapCalc!$H$32</f>
        <v>3.2525194897041185E-2</v>
      </c>
      <c r="J48" s="142">
        <f>J43/GapCalc!$H$32</f>
        <v>3.5802471350059692E-2</v>
      </c>
      <c r="K48" s="142">
        <f>K43/GapCalc!$H$32</f>
        <v>3.915422119424538E-2</v>
      </c>
      <c r="L48" s="142">
        <f>L43/GapCalc!$H$32</f>
        <v>4.2581988420101198E-2</v>
      </c>
      <c r="M48" s="142">
        <f>M43/GapCalc!$H$32</f>
        <v>4.6087343783392097E-2</v>
      </c>
      <c r="N48" s="142">
        <f>N43/GapCalc!$H$32</f>
        <v>4.9671885051194832E-2</v>
      </c>
      <c r="O48" s="142">
        <f>O43/GapCalc!$H$32</f>
        <v>5.3337237239179609E-2</v>
      </c>
      <c r="P48" s="142">
        <f>P43/GapCalc!$H$32</f>
        <v>5.7085052839382505E-2</v>
      </c>
      <c r="Q48" s="142">
        <f>Q43/GapCalc!$H$32</f>
        <v>6.0917012037686867E-2</v>
      </c>
      <c r="R48" s="142">
        <f>R43/GapCalc!$H$32</f>
        <v>6.4834822920197266E-2</v>
      </c>
      <c r="S48" s="142">
        <f>S43/GapCalc!$H$32</f>
        <v>6.8840221667647181E-2</v>
      </c>
      <c r="T48" s="93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</row>
    <row r="49" spans="1:34">
      <c r="A49" s="86"/>
      <c r="B49" s="135"/>
      <c r="C49" s="140"/>
      <c r="D49" s="143"/>
      <c r="E49" s="119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3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</row>
    <row r="50" spans="1:34">
      <c r="A50" s="86"/>
      <c r="B50" s="1638"/>
      <c r="C50" s="1639"/>
      <c r="D50" s="1639"/>
      <c r="E50" s="1561">
        <v>1</v>
      </c>
      <c r="F50" s="1561">
        <v>2</v>
      </c>
      <c r="G50" s="1562">
        <v>3</v>
      </c>
      <c r="H50" s="1562">
        <v>4</v>
      </c>
      <c r="I50" s="1563">
        <v>5</v>
      </c>
      <c r="J50" s="1563">
        <v>6</v>
      </c>
      <c r="K50" s="1562">
        <v>7</v>
      </c>
      <c r="L50" s="1562">
        <v>8</v>
      </c>
      <c r="M50" s="1563">
        <v>9</v>
      </c>
      <c r="N50" s="1563">
        <v>10</v>
      </c>
      <c r="O50" s="1562">
        <v>11</v>
      </c>
      <c r="P50" s="1562">
        <v>12</v>
      </c>
      <c r="Q50" s="1563">
        <v>13</v>
      </c>
      <c r="R50" s="1563">
        <v>14</v>
      </c>
      <c r="S50" s="1562">
        <v>15</v>
      </c>
      <c r="T50" s="1563">
        <v>16</v>
      </c>
      <c r="U50" s="1563">
        <v>17</v>
      </c>
      <c r="V50" s="1562">
        <v>18</v>
      </c>
      <c r="W50" s="1563">
        <v>19</v>
      </c>
      <c r="X50" s="1563">
        <v>20</v>
      </c>
      <c r="Y50" s="1562">
        <v>21</v>
      </c>
      <c r="Z50" s="1563">
        <v>22</v>
      </c>
      <c r="AA50" s="1563">
        <v>23</v>
      </c>
      <c r="AB50" s="1562">
        <v>24</v>
      </c>
      <c r="AC50" s="1563">
        <v>25</v>
      </c>
      <c r="AD50" s="1563">
        <v>26</v>
      </c>
      <c r="AE50" s="1562">
        <v>27</v>
      </c>
      <c r="AF50" s="1563">
        <v>28</v>
      </c>
      <c r="AG50" s="1563">
        <v>29</v>
      </c>
      <c r="AH50" s="1562">
        <v>30</v>
      </c>
    </row>
    <row r="51" spans="1:34">
      <c r="A51" s="76"/>
      <c r="B51" s="1535"/>
      <c r="C51" s="1539"/>
      <c r="D51" s="1640"/>
      <c r="G51" s="1535"/>
      <c r="H51" s="153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105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</row>
    <row r="52" spans="1:34">
      <c r="B52" s="1535"/>
      <c r="C52" s="1539"/>
      <c r="D52" s="1641"/>
      <c r="G52" s="1535"/>
      <c r="H52" s="1537"/>
    </row>
    <row r="53" spans="1:34">
      <c r="B53" s="1535"/>
      <c r="C53" s="1539"/>
      <c r="D53" s="1641"/>
      <c r="G53" s="1538"/>
      <c r="H53" s="1537"/>
    </row>
    <row r="54" spans="1:34">
      <c r="B54" s="1535"/>
      <c r="C54" s="1539"/>
      <c r="D54" s="1642"/>
      <c r="G54" s="1535"/>
      <c r="H54" s="1539"/>
    </row>
    <row r="55" spans="1:34">
      <c r="B55" s="1540"/>
      <c r="C55" s="1539"/>
      <c r="D55" s="1641"/>
      <c r="G55" s="1540"/>
      <c r="H55" s="1539"/>
    </row>
    <row r="56" spans="1:34">
      <c r="B56" s="1540"/>
      <c r="C56" s="1643"/>
      <c r="D56" s="1640"/>
      <c r="G56" s="1540"/>
      <c r="H56" s="1541"/>
    </row>
    <row r="57" spans="1:34">
      <c r="B57" s="1535"/>
      <c r="C57" s="1644"/>
      <c r="D57" s="1538"/>
      <c r="G57" s="1535"/>
      <c r="H57" s="1542"/>
    </row>
    <row r="58" spans="1:34">
      <c r="B58" s="1540"/>
      <c r="C58" s="1542"/>
      <c r="D58" s="1538"/>
      <c r="G58" s="1535"/>
      <c r="H58" s="1542"/>
    </row>
    <row r="59" spans="1:34">
      <c r="B59" s="1639"/>
      <c r="C59" s="1639"/>
      <c r="D59" s="1538"/>
      <c r="G59" s="1538"/>
      <c r="H59" s="1538"/>
    </row>
    <row r="61" spans="1:34">
      <c r="C61" s="1637"/>
    </row>
    <row r="64" spans="1:34" ht="13.5" thickBot="1">
      <c r="B64" s="70" t="s">
        <v>1057</v>
      </c>
      <c r="G64" s="70" t="s">
        <v>1069</v>
      </c>
    </row>
    <row r="65" spans="2:10" ht="13.5" thickBot="1">
      <c r="B65" s="1518" t="s">
        <v>1039</v>
      </c>
      <c r="C65" s="1519"/>
      <c r="D65" s="1543"/>
      <c r="E65" s="70" t="s">
        <v>1055</v>
      </c>
      <c r="G65" s="1518" t="s">
        <v>1039</v>
      </c>
      <c r="H65" s="1519"/>
      <c r="I65" s="1543"/>
      <c r="J65" s="70" t="s">
        <v>1055</v>
      </c>
    </row>
    <row r="66" spans="2:10">
      <c r="B66" s="1520" t="s">
        <v>1053</v>
      </c>
      <c r="C66" s="1565">
        <f>C70/1.63</f>
        <v>26513123.376535617</v>
      </c>
      <c r="D66" s="1544"/>
      <c r="E66" s="1564" t="s">
        <v>284</v>
      </c>
      <c r="G66" s="1520" t="s">
        <v>1072</v>
      </c>
      <c r="H66" s="1565">
        <f>H70/1.63</f>
        <v>4678786.4782121675</v>
      </c>
      <c r="I66" s="1544"/>
      <c r="J66" s="1564" t="s">
        <v>284</v>
      </c>
    </row>
    <row r="67" spans="2:10" ht="15">
      <c r="B67" s="1521" t="s">
        <v>1054</v>
      </c>
      <c r="C67" s="1580">
        <f>SUMIFS(E42:AH42, E50:AH50, "&lt;=" &amp; VALUE(RIGHT(E66, LEN(E66)-FIND(" ", E66))))</f>
        <v>8548428.6439873427</v>
      </c>
      <c r="D67" s="1545" t="s">
        <v>67</v>
      </c>
      <c r="G67" s="1521" t="s">
        <v>1073</v>
      </c>
      <c r="H67" s="1560">
        <f>SUMIFS(E43:AH43, E50:AH50, "&lt;=" &amp; VALUE(RIGHT(E66, LEN(E66)-FIND(" ", E66))))</f>
        <v>1508546.2312918841</v>
      </c>
      <c r="I67" s="1545" t="s">
        <v>67</v>
      </c>
    </row>
    <row r="68" spans="2:10">
      <c r="B68" s="1521" t="s">
        <v>1077</v>
      </c>
      <c r="C68" s="1568">
        <f>IF(GapCalc!D41*C42&lt; 0,0,GapCalc!D41*C42)</f>
        <v>0</v>
      </c>
      <c r="D68" s="1545" t="s">
        <v>67</v>
      </c>
      <c r="G68" s="1521" t="s">
        <v>1078</v>
      </c>
      <c r="H68" s="1568">
        <f>IF(GapCalc!D41*C43&lt; 0,0,GapCalc!D41*C43)</f>
        <v>0</v>
      </c>
      <c r="I68" s="1545" t="s">
        <v>67</v>
      </c>
    </row>
    <row r="69" spans="2:10">
      <c r="B69" s="1521" t="s">
        <v>1058</v>
      </c>
      <c r="C69" s="1568">
        <f>'Debt Calc'!E60</f>
        <v>34667962.45976571</v>
      </c>
      <c r="D69" s="1546">
        <v>0.9</v>
      </c>
      <c r="G69" s="1521" t="s">
        <v>1074</v>
      </c>
      <c r="H69" s="1568">
        <f>'Debt Calc'!E59*C43</f>
        <v>6117875.728193949</v>
      </c>
      <c r="I69" s="1546">
        <v>0.9</v>
      </c>
    </row>
    <row r="70" spans="2:10">
      <c r="B70" s="1523" t="s">
        <v>1041</v>
      </c>
      <c r="C70" s="1577">
        <f>C67+C68+C69</f>
        <v>43216391.103753053</v>
      </c>
      <c r="D70" s="1545" t="s">
        <v>67</v>
      </c>
      <c r="G70" s="1523" t="s">
        <v>1041</v>
      </c>
      <c r="H70" s="1577">
        <f>H67+H68+H69</f>
        <v>7626421.9594858326</v>
      </c>
      <c r="I70" s="1545" t="s">
        <v>67</v>
      </c>
    </row>
    <row r="71" spans="2:10">
      <c r="B71" s="1523" t="s">
        <v>1042</v>
      </c>
      <c r="C71" s="1571">
        <f>C70/C66</f>
        <v>1.63</v>
      </c>
      <c r="D71" s="1547"/>
      <c r="G71" s="1523" t="s">
        <v>1042</v>
      </c>
      <c r="H71" s="1571">
        <f>H70/H66</f>
        <v>1.63</v>
      </c>
      <c r="I71" s="1547"/>
    </row>
    <row r="72" spans="2:10">
      <c r="B72" s="1521" t="s">
        <v>1043</v>
      </c>
      <c r="C72" s="1524">
        <f>(C70-C66)/C66</f>
        <v>0.62999999999999989</v>
      </c>
      <c r="D72" s="1548"/>
      <c r="G72" s="1521" t="s">
        <v>1043</v>
      </c>
      <c r="H72" s="1524">
        <f>(H70-H66)/H66</f>
        <v>0.62999999999999989</v>
      </c>
      <c r="I72" s="1548"/>
    </row>
    <row r="73" spans="2:10">
      <c r="B73" s="1523" t="s">
        <v>1044</v>
      </c>
      <c r="C73" s="1566">
        <f>C72/7</f>
        <v>8.9999999999999983E-2</v>
      </c>
      <c r="D73" s="1548"/>
      <c r="G73" s="1523" t="s">
        <v>1044</v>
      </c>
      <c r="H73" s="1566">
        <f>H72/7</f>
        <v>8.9999999999999983E-2</v>
      </c>
      <c r="I73" s="1548"/>
    </row>
    <row r="74" spans="2:10" ht="13.5" thickBot="1">
      <c r="B74" s="1578" t="s">
        <v>1079</v>
      </c>
      <c r="C74" s="1581">
        <f>GapCalc!H33</f>
        <v>41447568.235591993</v>
      </c>
      <c r="D74" s="1549"/>
      <c r="F74" s="1559"/>
      <c r="G74" s="1578" t="s">
        <v>1081</v>
      </c>
      <c r="H74" s="1581">
        <f>GapCalc!H32</f>
        <v>7314276.7474574121</v>
      </c>
      <c r="I74" s="1549"/>
    </row>
    <row r="75" spans="2:10">
      <c r="B75" s="70" t="s">
        <v>1080</v>
      </c>
      <c r="C75" s="1579">
        <f>(C70-C74)/C74</f>
        <v>4.2676155525142014E-2</v>
      </c>
      <c r="G75" s="70" t="s">
        <v>1080</v>
      </c>
      <c r="H75" s="1579">
        <f>(H70-H74)/H74</f>
        <v>4.2676155525141757E-2</v>
      </c>
    </row>
    <row r="76" spans="2:10">
      <c r="B76" s="70" t="s">
        <v>1044</v>
      </c>
      <c r="C76" s="1579">
        <f>C75/7</f>
        <v>6.0965936464488588E-3</v>
      </c>
      <c r="G76" s="70" t="s">
        <v>1044</v>
      </c>
      <c r="H76" s="1579">
        <f>H75/7</f>
        <v>6.0965936464488224E-3</v>
      </c>
    </row>
    <row r="78" spans="2:10" ht="13.5" thickBot="1">
      <c r="B78" s="70" t="s">
        <v>1060</v>
      </c>
    </row>
    <row r="79" spans="2:10" ht="13.5" thickBot="1">
      <c r="B79" s="1518" t="s">
        <v>1039</v>
      </c>
      <c r="C79" s="1519"/>
      <c r="D79" s="1543"/>
      <c r="E79" s="70" t="s">
        <v>1055</v>
      </c>
    </row>
    <row r="80" spans="2:10">
      <c r="B80" s="1520" t="s">
        <v>1053</v>
      </c>
      <c r="C80" s="1565">
        <f>C84/1.8</f>
        <v>7934630.9366366025</v>
      </c>
      <c r="D80" s="1544"/>
      <c r="E80" s="1564" t="s">
        <v>287</v>
      </c>
    </row>
    <row r="81" spans="2:10" ht="15">
      <c r="B81" s="1521" t="s">
        <v>1054</v>
      </c>
      <c r="C81" s="1560">
        <f>SUMIFS(E42:AH42, E50:AH50, "&lt;=" &amp; VALUE(RIGHT(E80, LEN(E80)-FIND(" ", E80))))</f>
        <v>14282335.685945885</v>
      </c>
      <c r="D81" s="1545" t="s">
        <v>67</v>
      </c>
    </row>
    <row r="82" spans="2:10">
      <c r="B82" s="1521" t="s">
        <v>1058</v>
      </c>
      <c r="C82" s="1568">
        <f>C68</f>
        <v>0</v>
      </c>
      <c r="D82" s="1545" t="s">
        <v>67</v>
      </c>
    </row>
    <row r="83" spans="2:10">
      <c r="B83" s="1521" t="s">
        <v>1040</v>
      </c>
      <c r="C83" s="1522"/>
      <c r="D83" s="1546">
        <v>0.9</v>
      </c>
    </row>
    <row r="84" spans="2:10">
      <c r="B84" s="1523" t="s">
        <v>1041</v>
      </c>
      <c r="C84" s="1577">
        <f>C81+C82+C83</f>
        <v>14282335.685945885</v>
      </c>
      <c r="D84" s="1545" t="s">
        <v>67</v>
      </c>
    </row>
    <row r="85" spans="2:10">
      <c r="B85" s="1523" t="s">
        <v>1042</v>
      </c>
      <c r="C85" s="1567">
        <v>1.8</v>
      </c>
      <c r="D85" s="1547"/>
    </row>
    <row r="86" spans="2:10">
      <c r="B86" s="1521" t="s">
        <v>1043</v>
      </c>
      <c r="C86" s="1524">
        <f>(C84-C80)/C80</f>
        <v>0.8</v>
      </c>
      <c r="D86" s="1548"/>
    </row>
    <row r="87" spans="2:10">
      <c r="B87" s="1523" t="s">
        <v>1044</v>
      </c>
      <c r="C87" s="1566">
        <f>C86/10</f>
        <v>0.08</v>
      </c>
      <c r="D87" s="1548"/>
    </row>
    <row r="88" spans="2:10" ht="13.5" thickBot="1">
      <c r="B88" s="1525"/>
      <c r="C88" s="1526"/>
      <c r="D88" s="1549"/>
    </row>
    <row r="91" spans="2:10" ht="13.5" thickBot="1">
      <c r="B91" s="70" t="s">
        <v>1057</v>
      </c>
      <c r="G91" s="70" t="s">
        <v>1069</v>
      </c>
    </row>
    <row r="92" spans="2:10" ht="13.5" thickBot="1">
      <c r="B92" s="1518" t="s">
        <v>1039</v>
      </c>
      <c r="C92" s="1519"/>
      <c r="D92" s="1543"/>
      <c r="E92" s="70" t="s">
        <v>1055</v>
      </c>
      <c r="G92" s="1518" t="s">
        <v>1039</v>
      </c>
      <c r="H92" s="1519"/>
      <c r="I92" s="1543"/>
      <c r="J92" s="70" t="s">
        <v>1055</v>
      </c>
    </row>
    <row r="93" spans="2:10">
      <c r="B93" s="1520" t="s">
        <v>1053</v>
      </c>
      <c r="C93" s="1565">
        <f>C97/1.63</f>
        <v>39085135.528836265</v>
      </c>
      <c r="D93" s="1544"/>
      <c r="E93" s="1564" t="s">
        <v>287</v>
      </c>
      <c r="G93" s="1520" t="s">
        <v>1072</v>
      </c>
      <c r="H93" s="1565">
        <f>H97/1.63</f>
        <v>5299563.1337832846</v>
      </c>
      <c r="I93" s="1544"/>
      <c r="J93" s="1564" t="s">
        <v>287</v>
      </c>
    </row>
    <row r="94" spans="2:10" ht="15">
      <c r="B94" s="1521" t="s">
        <v>1054</v>
      </c>
      <c r="C94" s="1580">
        <f>SUMIFS(E42:AH42, E50:AH50, "&lt;=" &amp; VALUE(RIGHT(E93, LEN(E93)-FIND(" ", E93))))</f>
        <v>14282335.685945885</v>
      </c>
      <c r="D94" s="1545" t="s">
        <v>67</v>
      </c>
      <c r="G94" s="1521" t="s">
        <v>1073</v>
      </c>
      <c r="H94" s="1560">
        <f>SUMIFS(E43:AH43, E50:AH50, "&lt;=" &amp; VALUE(RIGHT(J93, LEN(J93)-FIND(" ", J93))))</f>
        <v>2520412.1798728034</v>
      </c>
      <c r="I94" s="1545" t="s">
        <v>67</v>
      </c>
    </row>
    <row r="95" spans="2:10">
      <c r="B95" s="1521" t="s">
        <v>1077</v>
      </c>
      <c r="C95" s="1568">
        <f>IF(GapCalc!D41*C42&lt; 0,0,GapCalc!D41*C42)</f>
        <v>0</v>
      </c>
      <c r="D95" s="1545" t="s">
        <v>67</v>
      </c>
      <c r="G95" s="1521" t="s">
        <v>1078</v>
      </c>
      <c r="H95" s="1568">
        <f>IF(GapCalc!D41*C43&lt; 0,0,GapCalc!D41*C43)</f>
        <v>0</v>
      </c>
      <c r="I95" s="1545" t="s">
        <v>67</v>
      </c>
    </row>
    <row r="96" spans="2:10">
      <c r="B96" s="1521" t="s">
        <v>1058</v>
      </c>
      <c r="C96" s="1568">
        <f>'Debt Calc'!H60</f>
        <v>49426435.226057224</v>
      </c>
      <c r="D96" s="1546">
        <v>0.9</v>
      </c>
      <c r="G96" s="1521" t="s">
        <v>1074</v>
      </c>
      <c r="H96" s="1568">
        <f>'Debt Calc'!E59*C43</f>
        <v>6117875.728193949</v>
      </c>
      <c r="I96" s="1546">
        <v>0.9</v>
      </c>
    </row>
    <row r="97" spans="2:9">
      <c r="B97" s="1523" t="s">
        <v>1041</v>
      </c>
      <c r="C97" s="1577">
        <f>C94+C95+C96</f>
        <v>63708770.912003107</v>
      </c>
      <c r="D97" s="1545" t="s">
        <v>67</v>
      </c>
      <c r="G97" s="1523" t="s">
        <v>1041</v>
      </c>
      <c r="H97" s="1577">
        <f>H94+H95+H96</f>
        <v>8638287.9080667533</v>
      </c>
      <c r="I97" s="1545" t="s">
        <v>67</v>
      </c>
    </row>
    <row r="98" spans="2:9">
      <c r="B98" s="1523" t="s">
        <v>1042</v>
      </c>
      <c r="C98" s="1571">
        <f>C97/C93</f>
        <v>1.63</v>
      </c>
      <c r="D98" s="1547"/>
      <c r="G98" s="1523" t="s">
        <v>1042</v>
      </c>
      <c r="H98" s="1571">
        <f>H97/H93</f>
        <v>1.63</v>
      </c>
      <c r="I98" s="1547"/>
    </row>
    <row r="99" spans="2:9">
      <c r="B99" s="1521" t="s">
        <v>1043</v>
      </c>
      <c r="C99" s="1524">
        <f>(C97-C93)/C93</f>
        <v>0.62999999999999989</v>
      </c>
      <c r="D99" s="1548"/>
      <c r="G99" s="1521" t="s">
        <v>1043</v>
      </c>
      <c r="H99" s="1524">
        <f>(H97-H93)/H93</f>
        <v>0.62999999999999989</v>
      </c>
      <c r="I99" s="1548"/>
    </row>
    <row r="100" spans="2:9">
      <c r="B100" s="1523" t="s">
        <v>1044</v>
      </c>
      <c r="C100" s="1566">
        <f>C99/7</f>
        <v>8.9999999999999983E-2</v>
      </c>
      <c r="D100" s="1548"/>
      <c r="G100" s="1523" t="s">
        <v>1044</v>
      </c>
      <c r="H100" s="1566">
        <f>H99/7</f>
        <v>8.9999999999999983E-2</v>
      </c>
      <c r="I100" s="1548"/>
    </row>
    <row r="101" spans="2:9" ht="13.5" thickBot="1">
      <c r="B101" s="1578" t="s">
        <v>1079</v>
      </c>
      <c r="C101" s="1581">
        <f>GapCalc!H33</f>
        <v>41447568.235591993</v>
      </c>
      <c r="D101" s="1549"/>
      <c r="G101" s="1578" t="s">
        <v>1081</v>
      </c>
      <c r="H101" s="1581">
        <f>GapCalc!H32</f>
        <v>7314276.7474574121</v>
      </c>
      <c r="I101" s="1549"/>
    </row>
    <row r="102" spans="2:9">
      <c r="B102" s="70" t="s">
        <v>1080</v>
      </c>
      <c r="C102" s="1579">
        <f>(C97-C101)/C101</f>
        <v>0.53709309433731511</v>
      </c>
      <c r="G102" s="70" t="s">
        <v>1080</v>
      </c>
      <c r="H102" s="1579">
        <f>(H97-H101)/H101</f>
        <v>0.18101737277983004</v>
      </c>
    </row>
    <row r="103" spans="2:9">
      <c r="B103" s="70" t="s">
        <v>1044</v>
      </c>
      <c r="C103" s="1579">
        <f>C102/10</f>
        <v>5.3709309433731513E-2</v>
      </c>
      <c r="G103" s="70" t="s">
        <v>1044</v>
      </c>
      <c r="H103" s="1579">
        <f>H102/10</f>
        <v>1.8101737277983004E-2</v>
      </c>
    </row>
  </sheetData>
  <conditionalFormatting sqref="C51:C55">
    <cfRule type="cellIs" dxfId="6" priority="7" stopIfTrue="1" operator="lessThan">
      <formula>0</formula>
    </cfRule>
  </conditionalFormatting>
  <conditionalFormatting sqref="C66:C70">
    <cfRule type="cellIs" dxfId="5" priority="6" stopIfTrue="1" operator="lessThan">
      <formula>0</formula>
    </cfRule>
  </conditionalFormatting>
  <conditionalFormatting sqref="C80:C84">
    <cfRule type="cellIs" dxfId="4" priority="3" stopIfTrue="1" operator="lessThan">
      <formula>0</formula>
    </cfRule>
  </conditionalFormatting>
  <conditionalFormatting sqref="C93:C97">
    <cfRule type="cellIs" dxfId="3" priority="2" stopIfTrue="1" operator="lessThan">
      <formula>0</formula>
    </cfRule>
  </conditionalFormatting>
  <conditionalFormatting sqref="H54:H55">
    <cfRule type="cellIs" dxfId="2" priority="9" stopIfTrue="1" operator="lessThan">
      <formula>0</formula>
    </cfRule>
  </conditionalFormatting>
  <conditionalFormatting sqref="H66:H70">
    <cfRule type="cellIs" dxfId="1" priority="4" stopIfTrue="1" operator="lessThan">
      <formula>0</formula>
    </cfRule>
  </conditionalFormatting>
  <conditionalFormatting sqref="H93:H97">
    <cfRule type="cellIs" dxfId="0" priority="1" stopIfTrue="1" operator="lessThan">
      <formula>0</formula>
    </cfRule>
  </conditionalFormatting>
  <dataValidations count="1">
    <dataValidation type="list" allowBlank="1" showInputMessage="1" showErrorMessage="1" sqref="C19" xr:uid="{38D3AFD7-684E-4730-97C1-ACD9477D77AA}">
      <formula1>"Abatement, No Abatement"</formula1>
    </dataValidation>
  </dataValidations>
  <pageMargins left="0.7" right="0.7" top="0.75" bottom="0.75" header="0.3" footer="0.3"/>
  <pageSetup scale="62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8"/>
  <sheetViews>
    <sheetView topLeftCell="A16" zoomScale="70" zoomScaleNormal="70" workbookViewId="0">
      <selection activeCell="C54" sqref="C54"/>
    </sheetView>
  </sheetViews>
  <sheetFormatPr defaultRowHeight="15.75"/>
  <cols>
    <col min="1" max="1" width="21.5" customWidth="1"/>
    <col min="2" max="2" width="35.375" customWidth="1"/>
    <col min="4" max="4" width="11.25" bestFit="1" customWidth="1"/>
    <col min="5" max="5" width="16.875" customWidth="1"/>
    <col min="6" max="6" width="16.5" customWidth="1"/>
    <col min="7" max="7" width="12.5" customWidth="1"/>
    <col min="9" max="9" width="10.875" customWidth="1"/>
    <col min="12" max="12" width="14" bestFit="1" customWidth="1"/>
    <col min="14" max="14" width="28.5" customWidth="1"/>
  </cols>
  <sheetData>
    <row r="1" spans="1:18">
      <c r="A1" s="855"/>
      <c r="B1" s="855"/>
      <c r="C1" s="855"/>
      <c r="D1" s="855"/>
      <c r="E1" s="855"/>
      <c r="F1" s="855"/>
      <c r="G1" s="855"/>
      <c r="H1" s="855"/>
      <c r="I1" s="855"/>
      <c r="J1" s="855"/>
      <c r="K1" s="855"/>
      <c r="L1" s="855"/>
      <c r="M1" s="856"/>
      <c r="N1" s="856"/>
      <c r="O1" s="855"/>
      <c r="P1" s="855"/>
      <c r="Q1" s="855"/>
      <c r="R1" s="855"/>
    </row>
    <row r="2" spans="1:18">
      <c r="A2" s="857"/>
      <c r="B2" s="857"/>
      <c r="C2" s="857"/>
      <c r="D2" s="857"/>
      <c r="E2" s="857"/>
      <c r="F2" s="857"/>
      <c r="G2" s="857"/>
      <c r="H2" s="857"/>
      <c r="I2" s="857"/>
      <c r="J2" s="858"/>
      <c r="K2" s="855"/>
      <c r="L2" s="855"/>
      <c r="M2" s="856"/>
      <c r="N2" s="856"/>
      <c r="O2" s="855"/>
      <c r="P2" s="855"/>
      <c r="Q2" s="855"/>
      <c r="R2" s="855"/>
    </row>
    <row r="3" spans="1:18">
      <c r="A3" s="859" t="str">
        <f>GapCalc!A1</f>
        <v>Generic Template Non-LIHTC</v>
      </c>
      <c r="B3" s="860"/>
      <c r="C3" s="860"/>
      <c r="D3" s="861"/>
      <c r="E3" s="861"/>
      <c r="F3" s="861"/>
      <c r="G3" s="861"/>
      <c r="H3" s="861"/>
      <c r="I3" s="861"/>
      <c r="J3" s="862"/>
      <c r="K3" s="863"/>
      <c r="L3" s="864"/>
      <c r="M3" s="856"/>
      <c r="N3" s="856"/>
      <c r="O3" s="855"/>
      <c r="P3" s="855"/>
      <c r="Q3" s="855"/>
      <c r="R3" s="855"/>
    </row>
    <row r="4" spans="1:18">
      <c r="A4" s="865" t="s">
        <v>649</v>
      </c>
      <c r="B4" s="861"/>
      <c r="C4" s="861"/>
      <c r="D4" s="861"/>
      <c r="E4" s="861"/>
      <c r="F4" s="861"/>
      <c r="G4" s="861"/>
      <c r="H4" s="861"/>
      <c r="I4" s="861"/>
      <c r="J4" s="862"/>
      <c r="K4" s="855"/>
      <c r="L4" s="855"/>
      <c r="M4" s="856"/>
      <c r="N4" s="856"/>
      <c r="O4" s="855"/>
      <c r="P4" s="855"/>
      <c r="Q4" s="855"/>
      <c r="R4" s="855"/>
    </row>
    <row r="5" spans="1:18">
      <c r="A5" s="866"/>
      <c r="B5" s="866"/>
      <c r="C5" s="866"/>
      <c r="D5" s="866"/>
      <c r="E5" s="866"/>
      <c r="F5" s="866"/>
      <c r="G5" s="866"/>
      <c r="H5" s="866"/>
      <c r="I5" s="866"/>
      <c r="J5" s="867"/>
      <c r="K5" s="855"/>
      <c r="L5" s="855"/>
      <c r="M5" s="856"/>
      <c r="N5" s="856"/>
      <c r="O5" s="855"/>
      <c r="P5" s="855"/>
      <c r="Q5" s="855"/>
      <c r="R5" s="855"/>
    </row>
    <row r="6" spans="1:18">
      <c r="A6" s="868"/>
      <c r="B6" s="855"/>
      <c r="C6" s="855"/>
      <c r="D6" s="855"/>
      <c r="E6" s="855"/>
      <c r="F6" s="855"/>
      <c r="G6" s="855"/>
      <c r="H6" s="855"/>
      <c r="I6" s="855"/>
      <c r="J6" s="855"/>
      <c r="K6" s="855"/>
      <c r="L6" s="855"/>
      <c r="M6" s="856"/>
      <c r="N6" s="856"/>
      <c r="O6" s="855"/>
      <c r="P6" s="855"/>
      <c r="Q6" s="855"/>
      <c r="R6" s="855"/>
    </row>
    <row r="7" spans="1:18">
      <c r="A7" s="869"/>
      <c r="B7" s="869"/>
      <c r="C7" s="869"/>
      <c r="D7" s="869"/>
      <c r="E7" s="869"/>
      <c r="F7" s="869"/>
      <c r="G7" s="869"/>
      <c r="H7" s="869"/>
      <c r="I7" s="869"/>
      <c r="J7" s="869"/>
      <c r="K7" s="855"/>
      <c r="L7" s="855"/>
      <c r="M7" s="856"/>
      <c r="N7" s="856"/>
      <c r="O7" s="855"/>
      <c r="P7" s="855"/>
      <c r="Q7" s="855"/>
      <c r="R7" s="855"/>
    </row>
    <row r="8" spans="1:18">
      <c r="A8" s="870" t="s">
        <v>650</v>
      </c>
      <c r="B8" s="869"/>
      <c r="C8" s="869"/>
      <c r="D8" s="869"/>
      <c r="E8" s="869"/>
      <c r="F8" s="869"/>
      <c r="G8" s="869"/>
      <c r="H8" s="869"/>
      <c r="I8" s="869"/>
      <c r="J8" s="869"/>
      <c r="K8" s="855"/>
      <c r="L8" s="855"/>
      <c r="M8" s="856"/>
      <c r="N8" s="856"/>
      <c r="O8" s="855"/>
      <c r="P8" s="855"/>
      <c r="Q8" s="855"/>
      <c r="R8" s="855"/>
    </row>
    <row r="9" spans="1:18">
      <c r="A9" s="871"/>
      <c r="B9" s="869"/>
      <c r="C9" s="869"/>
      <c r="D9" s="869"/>
      <c r="E9" s="869"/>
      <c r="F9" s="869"/>
      <c r="G9" s="869"/>
      <c r="H9" s="869"/>
      <c r="I9" s="869"/>
      <c r="J9" s="869"/>
      <c r="K9" s="855"/>
      <c r="L9" s="855"/>
      <c r="M9" s="856"/>
      <c r="N9" s="856"/>
      <c r="O9" s="855"/>
      <c r="P9" s="855"/>
      <c r="Q9" s="855"/>
      <c r="R9" s="855"/>
    </row>
    <row r="10" spans="1:18">
      <c r="A10" s="868" t="s">
        <v>651</v>
      </c>
      <c r="B10" s="855"/>
      <c r="C10" s="855"/>
      <c r="D10" s="855"/>
      <c r="E10" s="1550"/>
      <c r="F10" s="855"/>
      <c r="G10" s="944"/>
      <c r="H10" s="872"/>
      <c r="I10" s="1551"/>
      <c r="J10" s="855"/>
      <c r="K10" s="855"/>
      <c r="L10" s="873"/>
      <c r="M10" s="873"/>
      <c r="N10" s="873"/>
      <c r="O10" s="855"/>
      <c r="P10" s="855"/>
      <c r="Q10" s="855"/>
      <c r="R10" s="855"/>
    </row>
    <row r="11" spans="1:18">
      <c r="A11" s="855"/>
      <c r="B11" s="874" t="s">
        <v>652</v>
      </c>
      <c r="C11" s="875">
        <f>'Rental Income'!E17</f>
        <v>164050</v>
      </c>
      <c r="D11" s="876"/>
      <c r="E11" s="868"/>
      <c r="F11" s="855"/>
      <c r="G11" s="875"/>
      <c r="H11" s="855"/>
      <c r="I11" s="855"/>
      <c r="J11" s="855"/>
      <c r="K11" s="855"/>
      <c r="L11" s="856"/>
      <c r="M11" s="877"/>
      <c r="N11" s="878"/>
      <c r="O11" s="855"/>
      <c r="P11" s="855"/>
      <c r="Q11" s="879"/>
      <c r="R11" s="880"/>
    </row>
    <row r="12" spans="1:18">
      <c r="A12" s="855"/>
      <c r="B12" s="874" t="s">
        <v>653</v>
      </c>
      <c r="C12" s="881"/>
      <c r="D12" s="882"/>
      <c r="E12" s="855"/>
      <c r="F12" s="855"/>
      <c r="G12" s="1552"/>
      <c r="H12" s="855"/>
      <c r="I12" s="855"/>
      <c r="J12" s="855"/>
      <c r="K12" s="855"/>
      <c r="L12" s="856"/>
      <c r="M12" s="877"/>
      <c r="N12" s="878"/>
      <c r="O12" s="855"/>
      <c r="P12" s="855"/>
      <c r="Q12" s="879"/>
      <c r="R12" s="880"/>
    </row>
    <row r="13" spans="1:18">
      <c r="A13" s="855"/>
      <c r="B13" s="874" t="s">
        <v>654</v>
      </c>
      <c r="C13" s="875">
        <f>SUM(C11:C12)*D13</f>
        <v>32810</v>
      </c>
      <c r="D13" s="883">
        <v>0.2</v>
      </c>
      <c r="E13" s="884"/>
      <c r="F13" s="874"/>
      <c r="G13" s="855"/>
      <c r="H13" s="872"/>
      <c r="I13" s="874"/>
      <c r="J13" s="855"/>
      <c r="K13" s="855"/>
      <c r="L13" s="856"/>
      <c r="M13" s="877"/>
      <c r="N13" s="878"/>
      <c r="O13" s="855"/>
      <c r="P13" s="855"/>
      <c r="Q13" s="879"/>
      <c r="R13" s="880"/>
    </row>
    <row r="14" spans="1:18">
      <c r="A14" s="855"/>
      <c r="B14" s="885" t="s">
        <v>655</v>
      </c>
      <c r="C14" s="886">
        <f>SUM(C11:C13)</f>
        <v>196860</v>
      </c>
      <c r="D14" s="884"/>
      <c r="E14" s="855"/>
      <c r="F14" s="855"/>
      <c r="G14" s="855"/>
      <c r="H14" s="872"/>
      <c r="I14" s="1553"/>
      <c r="J14" s="855"/>
      <c r="K14" s="855"/>
      <c r="L14" s="856"/>
      <c r="M14" s="877"/>
      <c r="N14" s="878"/>
      <c r="O14" s="855"/>
      <c r="P14" s="855"/>
      <c r="Q14" s="855"/>
      <c r="R14" s="855"/>
    </row>
    <row r="15" spans="1:18">
      <c r="A15" s="855"/>
      <c r="B15" s="898"/>
      <c r="C15" s="887">
        <v>0</v>
      </c>
      <c r="D15" s="855"/>
      <c r="E15" s="855"/>
      <c r="F15" s="888"/>
      <c r="G15" s="889"/>
      <c r="H15" s="872"/>
      <c r="I15" s="874"/>
      <c r="J15" s="855"/>
      <c r="K15" s="855"/>
      <c r="L15" s="856"/>
      <c r="M15" s="877"/>
      <c r="N15" s="878"/>
      <c r="O15" s="855"/>
      <c r="P15" s="855"/>
      <c r="Q15" s="855"/>
      <c r="R15" s="855"/>
    </row>
    <row r="16" spans="1:18">
      <c r="A16" s="855"/>
      <c r="B16" s="874"/>
      <c r="C16" s="887">
        <v>0</v>
      </c>
      <c r="D16" s="855"/>
      <c r="E16" s="855"/>
      <c r="F16" s="855"/>
      <c r="G16" s="855"/>
      <c r="H16" s="855"/>
      <c r="I16" s="855"/>
      <c r="J16" s="855"/>
      <c r="K16" s="855"/>
      <c r="L16" s="873"/>
      <c r="M16" s="890"/>
      <c r="N16" s="891"/>
      <c r="O16" s="855"/>
      <c r="P16" s="855"/>
      <c r="Q16" s="1757"/>
      <c r="R16" s="1757"/>
    </row>
    <row r="17" spans="1:18">
      <c r="A17" s="855"/>
      <c r="B17" s="855"/>
      <c r="C17" s="892">
        <v>0</v>
      </c>
      <c r="D17" s="855"/>
      <c r="E17" s="855"/>
      <c r="F17" s="889"/>
      <c r="G17" s="889"/>
      <c r="H17" s="872"/>
      <c r="I17" s="1554"/>
      <c r="J17" s="855"/>
      <c r="K17" s="855"/>
      <c r="L17" s="1758"/>
      <c r="M17" s="877"/>
      <c r="N17" s="855"/>
      <c r="O17" s="884"/>
      <c r="P17" s="855"/>
      <c r="Q17" s="879"/>
      <c r="R17" s="880"/>
    </row>
    <row r="18" spans="1:18">
      <c r="A18" s="855"/>
      <c r="B18" s="893" t="s">
        <v>656</v>
      </c>
      <c r="C18" s="894">
        <f>SUM(C15:C17)</f>
        <v>0</v>
      </c>
      <c r="D18" s="855"/>
      <c r="E18" s="855"/>
      <c r="F18" s="855"/>
      <c r="G18" s="855"/>
      <c r="H18" s="872"/>
      <c r="I18" s="1551"/>
      <c r="J18" s="855"/>
      <c r="K18" s="855"/>
      <c r="L18" s="1759"/>
      <c r="M18" s="895"/>
      <c r="N18" s="855"/>
      <c r="O18" s="920"/>
      <c r="P18" s="855"/>
      <c r="Q18" s="879"/>
      <c r="R18" s="880"/>
    </row>
    <row r="19" spans="1:18">
      <c r="A19" s="855"/>
      <c r="B19" s="888" t="s">
        <v>657</v>
      </c>
      <c r="C19" s="897">
        <f>SUM(C14:C16)</f>
        <v>196860</v>
      </c>
      <c r="D19" s="855"/>
      <c r="E19" s="855"/>
      <c r="F19" s="855"/>
      <c r="G19" s="855"/>
      <c r="H19" s="872"/>
      <c r="I19" s="1555"/>
      <c r="J19" s="855"/>
      <c r="K19" s="855"/>
      <c r="L19" s="855"/>
      <c r="M19" s="856"/>
      <c r="N19" s="856"/>
      <c r="O19" s="920"/>
      <c r="P19" s="855"/>
      <c r="Q19" s="879"/>
      <c r="R19" s="880"/>
    </row>
    <row r="20" spans="1:18">
      <c r="A20" s="855"/>
      <c r="B20" s="888"/>
      <c r="C20" s="897"/>
      <c r="D20" s="855"/>
      <c r="E20" s="855"/>
      <c r="F20" s="855"/>
      <c r="G20" s="855"/>
      <c r="H20" s="872"/>
      <c r="I20" s="898"/>
      <c r="J20" s="855"/>
      <c r="K20" s="855"/>
      <c r="L20" s="855"/>
      <c r="M20" s="856"/>
      <c r="N20" s="856"/>
      <c r="O20" s="896"/>
      <c r="P20" s="855"/>
      <c r="Q20" s="879"/>
      <c r="R20" s="880"/>
    </row>
    <row r="21" spans="1:18">
      <c r="A21" s="855"/>
      <c r="B21" s="888" t="s">
        <v>658</v>
      </c>
      <c r="C21" s="899">
        <f>C14/C19</f>
        <v>1</v>
      </c>
      <c r="D21" s="855"/>
      <c r="E21" s="855"/>
      <c r="F21" s="855"/>
      <c r="G21" s="855"/>
      <c r="H21" s="855"/>
      <c r="I21" s="874"/>
      <c r="J21" s="855"/>
      <c r="K21" s="855"/>
      <c r="L21" s="855"/>
      <c r="M21" s="856"/>
      <c r="N21" s="856"/>
      <c r="O21" s="896"/>
      <c r="P21" s="855"/>
      <c r="Q21" s="879"/>
      <c r="R21" s="880"/>
    </row>
    <row r="22" spans="1:18">
      <c r="A22" s="855"/>
      <c r="B22" s="888" t="s">
        <v>659</v>
      </c>
      <c r="C22" s="899">
        <f>1-C21</f>
        <v>0</v>
      </c>
      <c r="D22" s="900"/>
      <c r="E22" s="855"/>
      <c r="F22" s="855"/>
      <c r="G22" s="855"/>
      <c r="H22" s="872"/>
      <c r="I22" s="898"/>
      <c r="J22" s="855"/>
      <c r="K22" s="855"/>
      <c r="L22" s="855"/>
      <c r="M22" s="856"/>
      <c r="N22" s="856"/>
      <c r="O22" s="896"/>
      <c r="P22" s="855"/>
      <c r="Q22" s="879"/>
      <c r="R22" s="880"/>
    </row>
    <row r="23" spans="1:18">
      <c r="A23" s="855"/>
      <c r="B23" s="888"/>
      <c r="C23" s="897"/>
      <c r="D23" s="855"/>
      <c r="E23" s="855"/>
      <c r="F23" s="855"/>
      <c r="G23" s="855"/>
      <c r="H23" s="872"/>
      <c r="I23" s="898"/>
      <c r="J23" s="855"/>
      <c r="K23" s="855"/>
      <c r="L23" s="855"/>
      <c r="M23" s="856"/>
      <c r="N23" s="856"/>
      <c r="O23" s="896"/>
      <c r="P23" s="855"/>
      <c r="Q23" s="879"/>
      <c r="R23" s="880"/>
    </row>
    <row r="24" spans="1:18">
      <c r="A24" s="868" t="s">
        <v>660</v>
      </c>
      <c r="B24" s="888"/>
      <c r="C24" s="897"/>
      <c r="D24" s="855"/>
      <c r="E24" s="868"/>
      <c r="F24" s="855"/>
      <c r="G24" s="855"/>
      <c r="H24" s="872"/>
      <c r="I24" s="898"/>
      <c r="J24" s="855"/>
      <c r="K24" s="855"/>
      <c r="L24" s="855"/>
      <c r="M24" s="856"/>
      <c r="N24" s="856"/>
      <c r="O24" s="896"/>
      <c r="P24" s="855"/>
      <c r="Q24" s="879"/>
      <c r="R24" s="880"/>
    </row>
    <row r="25" spans="1:18">
      <c r="A25" s="855"/>
      <c r="B25" s="888" t="s">
        <v>652</v>
      </c>
      <c r="C25" s="901">
        <v>0</v>
      </c>
      <c r="D25" s="855"/>
      <c r="E25" s="868"/>
      <c r="F25" s="855"/>
      <c r="G25" s="920"/>
      <c r="H25" s="872"/>
      <c r="I25" s="898"/>
      <c r="J25" s="855"/>
      <c r="K25" s="855"/>
      <c r="L25" s="855"/>
      <c r="M25" s="856"/>
      <c r="N25" s="856"/>
      <c r="O25" s="896"/>
      <c r="P25" s="855"/>
      <c r="Q25" s="879"/>
      <c r="R25" s="880"/>
    </row>
    <row r="26" spans="1:18">
      <c r="A26" s="855"/>
      <c r="B26" s="888" t="s">
        <v>654</v>
      </c>
      <c r="C26" s="901">
        <v>0</v>
      </c>
      <c r="D26" s="855"/>
      <c r="E26" s="868"/>
      <c r="F26" s="855"/>
      <c r="G26" s="855"/>
      <c r="H26" s="872"/>
      <c r="I26" s="898"/>
      <c r="J26" s="855"/>
      <c r="K26" s="855"/>
      <c r="L26" s="855"/>
      <c r="M26" s="856"/>
      <c r="N26" s="856"/>
      <c r="O26" s="896"/>
      <c r="P26" s="855"/>
      <c r="Q26" s="879"/>
      <c r="R26" s="880"/>
    </row>
    <row r="27" spans="1:18">
      <c r="A27" s="855"/>
      <c r="B27" s="888" t="s">
        <v>661</v>
      </c>
      <c r="C27" s="901">
        <v>0</v>
      </c>
      <c r="D27" s="855"/>
      <c r="E27" s="868"/>
      <c r="F27" s="855"/>
      <c r="G27" s="855"/>
      <c r="H27" s="872"/>
      <c r="I27" s="898"/>
      <c r="J27" s="855"/>
      <c r="K27" s="855"/>
      <c r="L27" s="855"/>
      <c r="M27" s="856"/>
      <c r="N27" s="856"/>
      <c r="O27" s="896"/>
      <c r="P27" s="855"/>
      <c r="Q27" s="879"/>
      <c r="R27" s="880"/>
    </row>
    <row r="28" spans="1:18">
      <c r="A28" s="855"/>
      <c r="B28" s="893" t="s">
        <v>655</v>
      </c>
      <c r="C28" s="902">
        <f>SUM(C25:C27)</f>
        <v>0</v>
      </c>
      <c r="D28" s="855"/>
      <c r="E28" s="855"/>
      <c r="F28" s="855"/>
      <c r="G28" s="855"/>
      <c r="H28" s="872"/>
      <c r="I28" s="898"/>
      <c r="J28" s="855"/>
      <c r="K28" s="855"/>
      <c r="L28" s="855"/>
      <c r="M28" s="856"/>
      <c r="N28" s="856"/>
      <c r="O28" s="896"/>
      <c r="P28" s="855"/>
      <c r="Q28" s="879"/>
      <c r="R28" s="880"/>
    </row>
    <row r="29" spans="1:18">
      <c r="A29" s="855"/>
      <c r="B29" s="888" t="s">
        <v>662</v>
      </c>
      <c r="C29" s="901">
        <v>0</v>
      </c>
      <c r="D29" s="855"/>
      <c r="E29" s="855"/>
      <c r="F29" s="855"/>
      <c r="G29" s="855"/>
      <c r="H29" s="872"/>
      <c r="I29" s="898"/>
      <c r="J29" s="855"/>
      <c r="K29" s="855"/>
      <c r="L29" s="855"/>
      <c r="M29" s="856"/>
      <c r="N29" s="856"/>
      <c r="O29" s="896"/>
      <c r="P29" s="855"/>
      <c r="Q29" s="879"/>
      <c r="R29" s="880"/>
    </row>
    <row r="30" spans="1:18">
      <c r="A30" s="855"/>
      <c r="B30" s="888" t="s">
        <v>663</v>
      </c>
      <c r="C30" s="901">
        <v>0</v>
      </c>
      <c r="D30" s="855"/>
      <c r="E30" s="855"/>
      <c r="F30" s="855"/>
      <c r="G30" s="855"/>
      <c r="H30" s="872"/>
      <c r="I30" s="898"/>
      <c r="J30" s="855"/>
      <c r="K30" s="855"/>
      <c r="L30" s="855"/>
      <c r="M30" s="856"/>
      <c r="N30" s="856"/>
      <c r="O30" s="896"/>
      <c r="P30" s="855"/>
      <c r="Q30" s="879"/>
      <c r="R30" s="880"/>
    </row>
    <row r="31" spans="1:18">
      <c r="A31" s="855"/>
      <c r="B31" s="893" t="s">
        <v>656</v>
      </c>
      <c r="C31" s="902">
        <f>SUM(C29:C30)</f>
        <v>0</v>
      </c>
      <c r="D31" s="855"/>
      <c r="E31" s="855"/>
      <c r="F31" s="855"/>
      <c r="G31" s="855"/>
      <c r="H31" s="872"/>
      <c r="I31" s="898"/>
      <c r="J31" s="855"/>
      <c r="K31" s="855"/>
      <c r="L31" s="855"/>
      <c r="M31" s="856"/>
      <c r="N31" s="856"/>
      <c r="O31" s="896"/>
      <c r="P31" s="855"/>
      <c r="Q31" s="879"/>
      <c r="R31" s="880"/>
    </row>
    <row r="32" spans="1:18">
      <c r="A32" s="855"/>
      <c r="B32" s="888" t="s">
        <v>657</v>
      </c>
      <c r="C32" s="897">
        <f>C28+C31</f>
        <v>0</v>
      </c>
      <c r="D32" s="855"/>
      <c r="E32" s="855"/>
      <c r="F32" s="855"/>
      <c r="G32" s="855"/>
      <c r="H32" s="872"/>
      <c r="I32" s="898"/>
      <c r="J32" s="855"/>
      <c r="K32" s="855"/>
      <c r="L32" s="855"/>
      <c r="M32" s="856"/>
      <c r="N32" s="856"/>
      <c r="O32" s="896"/>
      <c r="P32" s="855"/>
      <c r="Q32" s="879"/>
      <c r="R32" s="880"/>
    </row>
    <row r="33" spans="1:18">
      <c r="A33" s="855"/>
      <c r="B33" s="888"/>
      <c r="C33" s="897"/>
      <c r="D33" s="855"/>
      <c r="E33" s="855"/>
      <c r="F33" s="855"/>
      <c r="G33" s="855"/>
      <c r="H33" s="872"/>
      <c r="I33" s="898"/>
      <c r="J33" s="855"/>
      <c r="K33" s="855"/>
      <c r="L33" s="855"/>
      <c r="M33" s="856"/>
      <c r="N33" s="856"/>
      <c r="O33" s="896"/>
      <c r="P33" s="855"/>
      <c r="Q33" s="879"/>
      <c r="R33" s="880"/>
    </row>
    <row r="34" spans="1:18">
      <c r="A34" s="855"/>
      <c r="B34" s="903" t="s">
        <v>664</v>
      </c>
      <c r="C34" s="904">
        <f>C19+C32</f>
        <v>196860</v>
      </c>
      <c r="D34" s="855"/>
      <c r="E34" s="855"/>
      <c r="F34" s="855"/>
      <c r="G34" s="855"/>
      <c r="H34" s="872"/>
      <c r="I34" s="898"/>
      <c r="J34" s="855"/>
      <c r="K34" s="855"/>
      <c r="L34" s="855"/>
      <c r="M34" s="856"/>
      <c r="N34" s="856"/>
      <c r="O34" s="896"/>
      <c r="P34" s="855"/>
      <c r="Q34" s="879"/>
      <c r="R34" s="880"/>
    </row>
    <row r="35" spans="1:18">
      <c r="A35" s="855"/>
      <c r="B35" s="905" t="s">
        <v>665</v>
      </c>
      <c r="C35" s="906">
        <f>C19/C34</f>
        <v>1</v>
      </c>
      <c r="D35" s="855"/>
      <c r="E35" s="855"/>
      <c r="F35" s="855"/>
      <c r="G35" s="855"/>
      <c r="H35" s="872"/>
      <c r="I35" s="898"/>
      <c r="J35" s="855"/>
      <c r="K35" s="855"/>
      <c r="L35" s="855"/>
      <c r="M35" s="856"/>
      <c r="N35" s="856"/>
      <c r="O35" s="896"/>
      <c r="P35" s="855"/>
      <c r="Q35" s="879"/>
      <c r="R35" s="880"/>
    </row>
    <row r="36" spans="1:18">
      <c r="A36" s="855"/>
      <c r="B36" s="907" t="s">
        <v>666</v>
      </c>
      <c r="C36" s="906">
        <f>C32/C19</f>
        <v>0</v>
      </c>
      <c r="D36" s="855"/>
      <c r="E36" s="855"/>
      <c r="F36" s="855"/>
      <c r="G36" s="855"/>
      <c r="H36" s="872"/>
      <c r="I36" s="898"/>
      <c r="J36" s="855"/>
      <c r="K36" s="855"/>
      <c r="L36" s="855"/>
      <c r="M36" s="856"/>
      <c r="N36" s="856"/>
      <c r="O36" s="896"/>
      <c r="P36" s="855"/>
      <c r="Q36" s="879"/>
      <c r="R36" s="880"/>
    </row>
    <row r="37" spans="1:18">
      <c r="A37" s="855"/>
      <c r="B37" s="907"/>
      <c r="C37" s="908"/>
      <c r="D37" s="855"/>
      <c r="E37" s="855"/>
      <c r="F37" s="855"/>
      <c r="G37" s="855"/>
      <c r="H37" s="872"/>
      <c r="I37" s="898"/>
      <c r="J37" s="855"/>
      <c r="K37" s="855"/>
      <c r="L37" s="855"/>
      <c r="M37" s="856"/>
      <c r="N37" s="856"/>
      <c r="O37" s="896"/>
      <c r="P37" s="855"/>
      <c r="Q37" s="879"/>
      <c r="R37" s="880"/>
    </row>
    <row r="38" spans="1:18">
      <c r="A38" s="855"/>
      <c r="B38" s="907" t="s">
        <v>667</v>
      </c>
      <c r="C38" s="909" t="s">
        <v>668</v>
      </c>
      <c r="D38" s="855"/>
      <c r="E38" s="855"/>
      <c r="F38" s="855"/>
      <c r="G38" s="855"/>
      <c r="H38" s="872"/>
      <c r="I38" s="898"/>
      <c r="J38" s="855"/>
      <c r="K38" s="855"/>
      <c r="L38" s="855"/>
      <c r="M38" s="856"/>
      <c r="N38" s="856"/>
      <c r="O38" s="896"/>
      <c r="P38" s="855"/>
      <c r="Q38" s="879"/>
      <c r="R38" s="880"/>
    </row>
    <row r="39" spans="1:18">
      <c r="A39" s="855"/>
      <c r="B39" s="907" t="s">
        <v>669</v>
      </c>
      <c r="C39" s="906">
        <f>C14/C19</f>
        <v>1</v>
      </c>
      <c r="D39" s="855"/>
      <c r="E39" s="855"/>
      <c r="F39" s="855"/>
      <c r="G39" s="855"/>
      <c r="H39" s="872"/>
      <c r="I39" s="884"/>
      <c r="J39" s="855"/>
      <c r="K39" s="855"/>
      <c r="L39" s="855"/>
      <c r="M39" s="856"/>
      <c r="N39" s="856"/>
      <c r="O39" s="896"/>
      <c r="P39" s="855"/>
      <c r="Q39" s="879"/>
      <c r="R39" s="880"/>
    </row>
    <row r="40" spans="1:18">
      <c r="A40" s="855"/>
      <c r="B40" s="910" t="s">
        <v>605</v>
      </c>
      <c r="C40" s="911">
        <f>1-C39</f>
        <v>0</v>
      </c>
      <c r="D40" s="855"/>
      <c r="E40" s="855"/>
      <c r="F40" s="855"/>
      <c r="G40" s="855"/>
      <c r="H40" s="872"/>
      <c r="I40" s="884"/>
      <c r="J40" s="855"/>
      <c r="K40" s="855"/>
      <c r="L40" s="855"/>
      <c r="M40" s="856"/>
      <c r="N40" s="856"/>
      <c r="O40" s="896"/>
      <c r="P40" s="855"/>
      <c r="Q40" s="879"/>
      <c r="R40" s="880"/>
    </row>
    <row r="41" spans="1:18">
      <c r="A41" s="869"/>
      <c r="B41" s="869"/>
      <c r="C41" s="869"/>
      <c r="D41" s="869"/>
      <c r="E41" s="869"/>
      <c r="F41" s="869"/>
      <c r="G41" s="869"/>
      <c r="H41" s="869"/>
      <c r="I41" s="869"/>
      <c r="J41" s="869"/>
      <c r="K41" s="855"/>
      <c r="L41" s="855"/>
      <c r="M41" s="856"/>
      <c r="N41" s="856"/>
      <c r="O41" s="855"/>
      <c r="P41" s="855"/>
      <c r="Q41" s="855"/>
      <c r="R41" s="880"/>
    </row>
    <row r="42" spans="1:18">
      <c r="A42" s="870" t="s">
        <v>670</v>
      </c>
      <c r="B42" s="869"/>
      <c r="C42" s="869"/>
      <c r="D42" s="869"/>
      <c r="E42" s="869"/>
      <c r="F42" s="869"/>
      <c r="G42" s="869"/>
      <c r="H42" s="869"/>
      <c r="I42" s="869"/>
      <c r="J42" s="869"/>
      <c r="K42" s="855"/>
      <c r="L42" s="855"/>
      <c r="M42" s="856"/>
      <c r="N42" s="856"/>
      <c r="O42" s="855"/>
      <c r="P42" s="855"/>
      <c r="Q42" s="855"/>
    </row>
    <row r="43" spans="1:18">
      <c r="A43" s="869"/>
      <c r="B43" s="869"/>
      <c r="C43" s="869"/>
      <c r="D43" s="869"/>
      <c r="E43" s="869"/>
      <c r="F43" s="869"/>
      <c r="G43" s="869"/>
      <c r="H43" s="869"/>
      <c r="I43" s="869"/>
      <c r="J43" s="869"/>
      <c r="K43" s="855"/>
      <c r="L43" s="855"/>
      <c r="M43" s="856"/>
      <c r="N43" s="856"/>
      <c r="O43" s="855"/>
      <c r="P43" s="855"/>
      <c r="Q43" s="855"/>
    </row>
    <row r="44" spans="1:18">
      <c r="A44" s="855"/>
      <c r="B44" s="855"/>
      <c r="C44" s="855"/>
      <c r="D44" s="855"/>
      <c r="E44" s="855"/>
      <c r="F44" s="855"/>
      <c r="G44" s="855"/>
      <c r="H44" s="855"/>
      <c r="I44" s="855"/>
      <c r="J44" s="855"/>
      <c r="K44" s="855"/>
      <c r="L44" s="855"/>
      <c r="M44" s="856"/>
      <c r="N44" s="856"/>
      <c r="O44" s="855"/>
      <c r="P44" s="855"/>
      <c r="Q44" s="855"/>
    </row>
    <row r="45" spans="1:18">
      <c r="A45" s="912" t="s">
        <v>429</v>
      </c>
      <c r="B45" s="913"/>
      <c r="C45" s="913"/>
      <c r="D45" s="913"/>
      <c r="E45" s="913"/>
      <c r="F45" s="913"/>
      <c r="G45" s="913"/>
      <c r="H45" s="913"/>
      <c r="I45" s="913"/>
      <c r="J45" s="914"/>
      <c r="K45" s="855"/>
      <c r="L45" s="1393"/>
      <c r="M45" s="1393"/>
      <c r="N45" s="1393"/>
      <c r="O45" s="1393"/>
      <c r="P45" s="1393"/>
      <c r="Q45" s="855"/>
    </row>
    <row r="46" spans="1:18">
      <c r="A46" s="888" t="s">
        <v>671</v>
      </c>
      <c r="B46" s="855"/>
      <c r="C46" s="855"/>
      <c r="D46" s="855"/>
      <c r="E46" s="855" t="s">
        <v>672</v>
      </c>
      <c r="F46" s="915"/>
      <c r="G46" s="855"/>
      <c r="H46" s="855"/>
      <c r="I46" s="855"/>
      <c r="J46" s="855"/>
      <c r="K46" s="855"/>
      <c r="L46" s="1397" t="s">
        <v>969</v>
      </c>
      <c r="M46" s="1399">
        <f>'Rental Income'!D15</f>
        <v>202</v>
      </c>
      <c r="N46" s="1394"/>
      <c r="O46" s="1394"/>
      <c r="P46" s="1394"/>
      <c r="Q46" s="855"/>
    </row>
    <row r="47" spans="1:18">
      <c r="A47" s="889"/>
      <c r="B47" s="888" t="s">
        <v>673</v>
      </c>
      <c r="C47" s="916">
        <f>ROUNDDOWN(M46*M47,1)</f>
        <v>101</v>
      </c>
      <c r="D47" s="876"/>
      <c r="E47" s="917"/>
      <c r="F47" s="918"/>
      <c r="G47" s="873" t="s">
        <v>674</v>
      </c>
      <c r="H47" s="919" t="s">
        <v>675</v>
      </c>
      <c r="I47" s="873" t="s">
        <v>676</v>
      </c>
      <c r="J47" s="873" t="s">
        <v>677</v>
      </c>
      <c r="K47" s="855"/>
      <c r="L47" s="1398" t="s">
        <v>970</v>
      </c>
      <c r="M47" s="1400">
        <v>0.5</v>
      </c>
      <c r="N47" s="1395"/>
      <c r="O47" s="1396"/>
      <c r="P47" s="1395"/>
      <c r="Q47" s="920"/>
    </row>
    <row r="48" spans="1:18">
      <c r="A48" s="889"/>
      <c r="B48" s="921" t="s">
        <v>605</v>
      </c>
      <c r="C48" s="922">
        <f>P65</f>
        <v>0</v>
      </c>
      <c r="D48" s="876"/>
      <c r="E48" s="855" t="s">
        <v>678</v>
      </c>
      <c r="F48" s="855"/>
      <c r="G48" s="923">
        <v>90</v>
      </c>
      <c r="H48" s="884">
        <f>C52*D52</f>
        <v>0</v>
      </c>
      <c r="I48" s="884">
        <f>G48*H48</f>
        <v>0</v>
      </c>
      <c r="J48" s="924">
        <f>IFERROR(I48/C52,0)</f>
        <v>0</v>
      </c>
      <c r="K48" s="855"/>
      <c r="L48" s="1726"/>
      <c r="M48" s="856"/>
      <c r="N48" s="1727"/>
      <c r="O48" s="895"/>
      <c r="P48" s="1727"/>
      <c r="Q48" s="855"/>
    </row>
    <row r="49" spans="1:17">
      <c r="A49" s="889"/>
      <c r="B49" s="888" t="s">
        <v>679</v>
      </c>
      <c r="C49" s="916">
        <f>SUM(C47:C48)</f>
        <v>101</v>
      </c>
      <c r="D49" s="876"/>
      <c r="E49" s="855" t="s">
        <v>576</v>
      </c>
      <c r="F49" s="855"/>
      <c r="G49" s="923">
        <v>143</v>
      </c>
      <c r="H49" s="884">
        <f>C53*D53</f>
        <v>40133.903846153851</v>
      </c>
      <c r="I49" s="884">
        <f>G49*H49</f>
        <v>5739148.2500000009</v>
      </c>
      <c r="J49" s="925">
        <f>IFERROR(I49/C53,0)</f>
        <v>56823.250000000007</v>
      </c>
      <c r="K49" s="855"/>
      <c r="L49" s="1726"/>
      <c r="M49" s="856"/>
      <c r="N49" s="1727"/>
      <c r="O49" s="895"/>
      <c r="P49" s="1727"/>
      <c r="Q49" s="855"/>
    </row>
    <row r="50" spans="1:17">
      <c r="A50" s="855"/>
      <c r="B50" s="888"/>
      <c r="C50" s="880"/>
      <c r="D50" s="876"/>
      <c r="E50" s="917" t="s">
        <v>680</v>
      </c>
      <c r="F50" s="917"/>
      <c r="G50" s="926">
        <v>143</v>
      </c>
      <c r="H50" s="927">
        <f>C54*D54</f>
        <v>0</v>
      </c>
      <c r="I50" s="927">
        <f>G50*H50</f>
        <v>0</v>
      </c>
      <c r="J50" s="928">
        <f>IFERROR(I50/C54,0)</f>
        <v>0</v>
      </c>
      <c r="K50" s="855"/>
      <c r="L50" s="1726"/>
      <c r="M50" s="856"/>
      <c r="N50" s="1727"/>
      <c r="O50" s="895"/>
      <c r="P50" s="1727"/>
      <c r="Q50" s="855"/>
    </row>
    <row r="51" spans="1:17">
      <c r="A51" s="855"/>
      <c r="B51" s="917" t="s">
        <v>681</v>
      </c>
      <c r="C51" s="917"/>
      <c r="D51" s="918" t="s">
        <v>682</v>
      </c>
      <c r="E51" s="929" t="s">
        <v>59</v>
      </c>
      <c r="F51" s="929"/>
      <c r="G51" s="929"/>
      <c r="H51" s="930">
        <f>SUM(H48:H50)</f>
        <v>40133.903846153851</v>
      </c>
      <c r="I51" s="930">
        <f>SUM(I48:I50)</f>
        <v>5739148.2500000009</v>
      </c>
      <c r="J51" s="925"/>
      <c r="K51" s="855"/>
      <c r="L51" s="1726"/>
      <c r="M51" s="856"/>
      <c r="N51" s="1727"/>
      <c r="O51" s="895"/>
      <c r="P51" s="1727"/>
      <c r="Q51" s="855"/>
    </row>
    <row r="52" spans="1:17">
      <c r="A52" s="855"/>
      <c r="B52" s="855" t="s">
        <v>678</v>
      </c>
      <c r="C52" s="931">
        <v>0</v>
      </c>
      <c r="D52" s="932">
        <v>350</v>
      </c>
      <c r="E52" s="933"/>
      <c r="F52" s="855"/>
      <c r="G52" s="855"/>
      <c r="H52" s="855"/>
      <c r="I52" s="855"/>
      <c r="J52" s="884"/>
      <c r="K52" s="855"/>
      <c r="L52" s="1726"/>
      <c r="M52" s="1716"/>
      <c r="N52" s="1727"/>
      <c r="O52" s="895"/>
      <c r="P52" s="1727"/>
      <c r="Q52" s="855"/>
    </row>
    <row r="53" spans="1:17">
      <c r="A53" s="855"/>
      <c r="B53" s="855" t="s">
        <v>576</v>
      </c>
      <c r="C53" s="931">
        <v>101</v>
      </c>
      <c r="D53" s="932">
        <f>E53</f>
        <v>397.36538461538464</v>
      </c>
      <c r="E53" s="855">
        <f>36160.25/91</f>
        <v>397.36538461538464</v>
      </c>
      <c r="F53" s="855"/>
      <c r="G53" s="855"/>
      <c r="H53" s="879" t="s">
        <v>669</v>
      </c>
      <c r="I53" s="934">
        <f>I51/C49*C47</f>
        <v>5739148.2500000009</v>
      </c>
      <c r="J53" s="884"/>
      <c r="K53" s="855"/>
      <c r="L53" s="1726"/>
      <c r="M53" s="1716"/>
      <c r="N53" s="1727"/>
      <c r="O53" s="895"/>
      <c r="P53" s="1727"/>
      <c r="Q53" s="855"/>
    </row>
    <row r="54" spans="1:17">
      <c r="A54" s="855"/>
      <c r="B54" s="917" t="s">
        <v>680</v>
      </c>
      <c r="C54" s="935">
        <v>0</v>
      </c>
      <c r="D54" s="936">
        <v>425</v>
      </c>
      <c r="E54" s="855"/>
      <c r="F54" s="937"/>
      <c r="G54" s="855"/>
      <c r="H54" s="879" t="s">
        <v>683</v>
      </c>
      <c r="I54" s="937">
        <f>I51/C49*C48</f>
        <v>0</v>
      </c>
      <c r="J54" s="884"/>
      <c r="K54" s="855"/>
      <c r="L54" s="1726"/>
      <c r="M54" s="1727"/>
      <c r="N54" s="1727"/>
      <c r="O54" s="895"/>
      <c r="P54" s="1727"/>
      <c r="Q54" s="855"/>
    </row>
    <row r="55" spans="1:17">
      <c r="A55" s="938"/>
      <c r="B55" s="855" t="s">
        <v>679</v>
      </c>
      <c r="C55" s="880">
        <f>SUM(C52:C54)</f>
        <v>101</v>
      </c>
      <c r="D55" s="855"/>
      <c r="E55" s="855"/>
      <c r="F55" s="937"/>
      <c r="G55" s="855"/>
      <c r="H55" s="872" t="s">
        <v>684</v>
      </c>
      <c r="I55" s="939">
        <f>SUM(I53:I54)</f>
        <v>5739148.2500000009</v>
      </c>
      <c r="J55" s="855"/>
      <c r="K55" s="855"/>
      <c r="L55" s="1726"/>
      <c r="M55" s="1716"/>
      <c r="N55" s="1727"/>
      <c r="O55" s="895"/>
      <c r="P55" s="1727"/>
      <c r="Q55" s="855"/>
    </row>
    <row r="56" spans="1:17">
      <c r="A56" s="855"/>
      <c r="B56" s="940" t="s">
        <v>685</v>
      </c>
      <c r="C56" s="941">
        <f>C49-C55</f>
        <v>0</v>
      </c>
      <c r="D56" s="855"/>
      <c r="E56" s="855"/>
      <c r="F56" s="937"/>
      <c r="G56" s="855"/>
      <c r="H56" s="855"/>
      <c r="I56" s="884"/>
      <c r="J56" s="884"/>
      <c r="K56" s="855"/>
      <c r="L56" s="1726"/>
      <c r="M56" s="1716"/>
      <c r="N56" s="1727"/>
      <c r="O56" s="895"/>
      <c r="P56" s="1727"/>
      <c r="Q56" s="855"/>
    </row>
    <row r="57" spans="1:17">
      <c r="A57" s="942"/>
      <c r="B57" s="855"/>
      <c r="C57" s="855"/>
      <c r="D57" s="855"/>
      <c r="E57" s="855"/>
      <c r="F57" s="937"/>
      <c r="G57" s="855"/>
      <c r="H57" s="879"/>
      <c r="I57" s="943"/>
      <c r="J57" s="884"/>
      <c r="K57" s="855"/>
      <c r="L57" s="1726"/>
      <c r="M57" s="1716"/>
      <c r="N57" s="1727"/>
      <c r="O57" s="895"/>
      <c r="P57" s="1727"/>
      <c r="Q57" s="855"/>
    </row>
    <row r="58" spans="1:17">
      <c r="A58" s="1734" t="s">
        <v>686</v>
      </c>
      <c r="B58" s="1735"/>
      <c r="C58" s="1735"/>
      <c r="D58" s="1735"/>
      <c r="E58" s="1735"/>
      <c r="F58" s="1732"/>
      <c r="G58" s="1735"/>
      <c r="H58" s="1735"/>
      <c r="I58" s="1735"/>
      <c r="J58" s="1736"/>
      <c r="K58" s="1735"/>
      <c r="L58" s="1726"/>
      <c r="M58" s="856"/>
      <c r="N58" s="1727"/>
      <c r="O58" s="895"/>
      <c r="P58" s="1727"/>
      <c r="Q58" s="855"/>
    </row>
    <row r="59" spans="1:17">
      <c r="A59" s="1735" t="s">
        <v>687</v>
      </c>
      <c r="B59" s="1737"/>
      <c r="C59" s="1738"/>
      <c r="D59" s="1735"/>
      <c r="E59" s="1735"/>
      <c r="F59" s="1737"/>
      <c r="G59" s="1738"/>
      <c r="H59" s="1735"/>
      <c r="I59" s="1736"/>
      <c r="J59" s="1736"/>
      <c r="K59" s="1735"/>
      <c r="L59" s="1726"/>
      <c r="M59" s="856"/>
      <c r="N59" s="1727"/>
      <c r="O59" s="895"/>
      <c r="P59" s="1727"/>
      <c r="Q59" s="920"/>
    </row>
    <row r="60" spans="1:17">
      <c r="A60" s="1735"/>
      <c r="B60" s="1735" t="s">
        <v>688</v>
      </c>
      <c r="C60" s="1729">
        <v>33000</v>
      </c>
      <c r="D60" s="1735"/>
      <c r="E60" s="1735"/>
      <c r="F60" s="1735"/>
      <c r="G60" s="1735"/>
      <c r="H60" s="1729"/>
      <c r="I60" s="1739"/>
      <c r="J60" s="1736"/>
      <c r="K60" s="1735"/>
      <c r="L60" s="1726"/>
      <c r="M60" s="856"/>
      <c r="N60" s="1727"/>
      <c r="O60" s="895"/>
      <c r="P60" s="1727"/>
      <c r="Q60" s="920"/>
    </row>
    <row r="61" spans="1:17">
      <c r="A61" s="1735"/>
      <c r="B61" s="1735" t="s">
        <v>689</v>
      </c>
      <c r="C61" s="1730">
        <v>1</v>
      </c>
      <c r="D61" s="1735"/>
      <c r="E61" s="1735"/>
      <c r="F61" s="1737"/>
      <c r="G61" s="1735"/>
      <c r="H61" s="1731"/>
      <c r="I61" s="1736"/>
      <c r="J61" s="1740"/>
      <c r="K61" s="1735"/>
      <c r="L61" s="1726"/>
      <c r="M61" s="856"/>
      <c r="N61" s="1727"/>
      <c r="O61" s="895"/>
      <c r="P61" s="1727"/>
      <c r="Q61" s="855"/>
    </row>
    <row r="62" spans="1:17">
      <c r="A62" s="1735"/>
      <c r="B62" s="1735" t="s">
        <v>690</v>
      </c>
      <c r="C62" s="1732">
        <f>+C61*C60</f>
        <v>33000</v>
      </c>
      <c r="D62" s="1735"/>
      <c r="E62" s="1735"/>
      <c r="F62" s="1737"/>
      <c r="G62" s="1735"/>
      <c r="H62" s="1732"/>
      <c r="I62" s="1736"/>
      <c r="J62" s="1740"/>
      <c r="K62" s="1735"/>
      <c r="L62" s="874"/>
      <c r="M62" s="940"/>
      <c r="N62" s="1727"/>
      <c r="O62" s="879"/>
      <c r="P62" s="1727"/>
      <c r="Q62" s="855"/>
    </row>
    <row r="63" spans="1:17">
      <c r="A63" s="1735"/>
      <c r="B63" s="1732"/>
      <c r="C63" s="1735"/>
      <c r="D63" s="1735"/>
      <c r="E63" s="1741"/>
      <c r="F63" s="1735"/>
      <c r="G63" s="1735"/>
      <c r="H63" s="1735"/>
      <c r="I63" s="1735"/>
      <c r="J63" s="1735"/>
      <c r="K63" s="1735"/>
      <c r="L63" s="874"/>
      <c r="M63" s="856"/>
      <c r="N63" s="856"/>
      <c r="O63" s="879"/>
      <c r="P63" s="856"/>
      <c r="Q63" s="855"/>
    </row>
    <row r="64" spans="1:17">
      <c r="A64" s="1742" t="s">
        <v>692</v>
      </c>
      <c r="B64" s="1743"/>
      <c r="C64" s="1743"/>
      <c r="D64" s="1743"/>
      <c r="E64" s="1744"/>
      <c r="F64" s="1743"/>
      <c r="G64" s="1743"/>
      <c r="H64" s="1743"/>
      <c r="I64" s="1743"/>
      <c r="J64" s="1735"/>
      <c r="K64" s="1735"/>
      <c r="L64" s="874"/>
      <c r="M64" s="856"/>
      <c r="N64" s="1727"/>
      <c r="O64" s="879"/>
      <c r="P64" s="856"/>
      <c r="Q64" s="1728"/>
    </row>
    <row r="65" spans="1:17">
      <c r="A65" s="1735"/>
      <c r="B65" s="1745" t="s">
        <v>693</v>
      </c>
      <c r="C65" s="1743"/>
      <c r="D65" s="1743"/>
      <c r="E65" s="1735"/>
      <c r="F65" s="1745" t="s">
        <v>694</v>
      </c>
      <c r="G65" s="1743"/>
      <c r="H65" s="1743"/>
      <c r="I65" s="1743"/>
      <c r="J65" s="1735"/>
      <c r="K65" s="1735"/>
      <c r="L65" s="855"/>
      <c r="M65" s="856"/>
      <c r="N65" s="856"/>
      <c r="O65" s="879"/>
      <c r="P65" s="856"/>
      <c r="Q65" s="855"/>
    </row>
    <row r="66" spans="1:17">
      <c r="A66" s="1735"/>
      <c r="B66" s="1737" t="s">
        <v>695</v>
      </c>
      <c r="C66" s="1736">
        <f>2000+1000</f>
        <v>3000</v>
      </c>
      <c r="D66" s="1735"/>
      <c r="E66" s="1735"/>
      <c r="F66" s="1737" t="s">
        <v>696</v>
      </c>
      <c r="G66" s="1735"/>
      <c r="H66" s="1732">
        <v>0</v>
      </c>
      <c r="I66" s="1735">
        <v>3.5E-4</v>
      </c>
      <c r="J66" s="1735"/>
      <c r="K66" s="1735"/>
      <c r="L66" s="855"/>
      <c r="M66" s="856"/>
      <c r="N66" s="856"/>
      <c r="O66" s="879"/>
      <c r="P66" s="856"/>
      <c r="Q66" s="855"/>
    </row>
    <row r="67" spans="1:17">
      <c r="A67" s="1735"/>
      <c r="B67" s="1737" t="s">
        <v>697</v>
      </c>
      <c r="C67" s="1736">
        <v>0</v>
      </c>
      <c r="D67" s="1733">
        <v>0.04</v>
      </c>
      <c r="E67" s="1735"/>
      <c r="F67" s="1737" t="s">
        <v>698</v>
      </c>
      <c r="G67" s="1735"/>
      <c r="H67" s="1732">
        <v>0</v>
      </c>
      <c r="I67" s="1746">
        <v>5.0000000000000001E-3</v>
      </c>
      <c r="J67" s="1732"/>
      <c r="K67" s="1735"/>
      <c r="L67" s="855"/>
      <c r="M67" s="856"/>
      <c r="N67" s="856"/>
      <c r="O67" s="879"/>
      <c r="P67" s="855"/>
      <c r="Q67" s="855"/>
    </row>
    <row r="68" spans="1:17">
      <c r="A68" s="1735"/>
      <c r="B68" s="1737" t="s">
        <v>698</v>
      </c>
      <c r="C68" s="1736">
        <v>0</v>
      </c>
      <c r="D68" s="1733">
        <v>0.04</v>
      </c>
      <c r="E68" s="1735"/>
      <c r="F68" s="1735" t="s">
        <v>59</v>
      </c>
      <c r="G68" s="1735"/>
      <c r="H68" s="1736">
        <f>SUM(H66:H67)</f>
        <v>0</v>
      </c>
      <c r="I68" s="1735"/>
      <c r="J68" s="1735"/>
      <c r="K68" s="1735"/>
      <c r="L68" s="855"/>
      <c r="M68" s="856"/>
      <c r="N68" s="856"/>
      <c r="O68" s="855"/>
      <c r="P68" s="855"/>
      <c r="Q68" s="855"/>
    </row>
    <row r="69" spans="1:17">
      <c r="A69" s="1735"/>
      <c r="B69" s="1737" t="s">
        <v>699</v>
      </c>
      <c r="C69" s="1736">
        <v>5330</v>
      </c>
      <c r="D69" s="1747">
        <v>410</v>
      </c>
      <c r="E69" s="1735"/>
      <c r="F69" s="1735"/>
      <c r="G69" s="1735"/>
      <c r="H69" s="1735"/>
      <c r="I69" s="1735"/>
      <c r="J69" s="1735"/>
      <c r="K69" s="1735"/>
      <c r="L69" s="855"/>
      <c r="M69" s="856"/>
      <c r="N69" s="856"/>
      <c r="O69" s="855"/>
      <c r="P69" s="855"/>
      <c r="Q69" s="855"/>
    </row>
    <row r="70" spans="1:17">
      <c r="A70" s="1735"/>
      <c r="B70" s="1735" t="s">
        <v>59</v>
      </c>
      <c r="C70" s="1736">
        <f>SUM(C66:C69)</f>
        <v>8330</v>
      </c>
      <c r="D70" s="1748"/>
      <c r="E70" s="1735"/>
      <c r="F70" s="1749" t="s">
        <v>700</v>
      </c>
      <c r="G70" s="1750" t="s">
        <v>701</v>
      </c>
      <c r="H70" s="1735"/>
      <c r="I70" s="1735"/>
      <c r="J70" s="1735"/>
      <c r="K70" s="1735"/>
      <c r="L70" s="855"/>
      <c r="M70" s="856"/>
      <c r="N70" s="856"/>
      <c r="O70" s="855"/>
      <c r="P70" s="855"/>
      <c r="Q70" s="855"/>
    </row>
    <row r="71" spans="1:17">
      <c r="A71" s="1735"/>
      <c r="B71" s="1737"/>
      <c r="C71" s="1751"/>
      <c r="D71" s="1748"/>
      <c r="E71" s="1735"/>
      <c r="F71" s="1735"/>
      <c r="G71" s="1735"/>
      <c r="H71" s="1735"/>
      <c r="I71" s="1735"/>
      <c r="J71" s="1735"/>
      <c r="K71" s="1735"/>
      <c r="L71" s="855"/>
      <c r="M71" s="856"/>
      <c r="N71" s="856"/>
      <c r="O71" s="855"/>
      <c r="P71" s="855"/>
      <c r="Q71" s="855"/>
    </row>
    <row r="72" spans="1:17">
      <c r="A72" s="1735"/>
      <c r="B72" s="1745" t="s">
        <v>702</v>
      </c>
      <c r="C72" s="1743"/>
      <c r="D72" s="1748"/>
      <c r="E72" s="1735"/>
      <c r="F72" s="1735"/>
      <c r="G72" s="1735"/>
      <c r="H72" s="1735"/>
      <c r="I72" s="1735"/>
      <c r="J72" s="1735"/>
      <c r="K72" s="1735"/>
      <c r="L72" s="855"/>
      <c r="M72" s="856"/>
      <c r="N72" s="856"/>
      <c r="O72" s="855"/>
      <c r="P72" s="855"/>
      <c r="Q72" s="855"/>
    </row>
    <row r="73" spans="1:17">
      <c r="A73" s="1735"/>
      <c r="B73" s="1737" t="s">
        <v>695</v>
      </c>
      <c r="C73" s="1736">
        <v>1000</v>
      </c>
      <c r="D73" s="1748" t="s">
        <v>703</v>
      </c>
      <c r="E73" s="1735"/>
      <c r="F73" s="1735"/>
      <c r="G73" s="1735"/>
      <c r="H73" s="1735"/>
      <c r="I73" s="1735"/>
      <c r="J73" s="1735"/>
      <c r="K73" s="1735"/>
      <c r="L73" s="855"/>
      <c r="M73" s="856"/>
      <c r="N73" s="856"/>
      <c r="O73" s="855"/>
      <c r="P73" s="855"/>
      <c r="Q73" s="855"/>
    </row>
    <row r="74" spans="1:17">
      <c r="A74" s="1735"/>
      <c r="B74" s="1737" t="s">
        <v>704</v>
      </c>
      <c r="C74" s="1732">
        <v>0</v>
      </c>
      <c r="D74" s="1733">
        <v>0.01</v>
      </c>
      <c r="E74" s="1735"/>
      <c r="F74" s="1735"/>
      <c r="G74" s="1735"/>
      <c r="H74" s="1735"/>
      <c r="I74" s="1735"/>
      <c r="J74" s="1735"/>
      <c r="K74" s="1735"/>
      <c r="L74" s="855"/>
      <c r="M74" s="856"/>
      <c r="N74" s="856"/>
      <c r="O74" s="855"/>
      <c r="P74" s="855"/>
      <c r="Q74" s="855"/>
    </row>
    <row r="75" spans="1:17">
      <c r="A75" s="1735"/>
      <c r="B75" s="1737" t="s">
        <v>698</v>
      </c>
      <c r="C75" s="1732">
        <v>0</v>
      </c>
      <c r="D75" s="1733">
        <v>0.02</v>
      </c>
      <c r="E75" s="1735" t="s">
        <v>705</v>
      </c>
      <c r="F75" s="1735"/>
      <c r="G75" s="1735"/>
      <c r="H75" s="1735"/>
      <c r="I75" s="1735"/>
      <c r="J75" s="1735"/>
      <c r="K75" s="1735"/>
      <c r="L75" s="855"/>
      <c r="M75" s="856"/>
      <c r="N75" s="856"/>
      <c r="O75" s="855"/>
      <c r="P75" s="855"/>
      <c r="Q75" s="855"/>
    </row>
    <row r="76" spans="1:17">
      <c r="A76" s="1735"/>
      <c r="B76" s="1737" t="s">
        <v>699</v>
      </c>
      <c r="C76" s="1736">
        <v>5330</v>
      </c>
      <c r="D76" s="1747">
        <v>410</v>
      </c>
      <c r="E76" s="1735"/>
      <c r="F76" s="1735"/>
      <c r="G76" s="1735"/>
      <c r="H76" s="1735"/>
      <c r="I76" s="1735"/>
      <c r="J76" s="1735"/>
      <c r="K76" s="1735"/>
      <c r="L76" s="855"/>
      <c r="M76" s="856"/>
      <c r="N76" s="856"/>
      <c r="O76" s="855"/>
      <c r="P76" s="855"/>
      <c r="Q76" s="855"/>
    </row>
    <row r="77" spans="1:17">
      <c r="A77" s="1735"/>
      <c r="B77" s="1735" t="s">
        <v>59</v>
      </c>
      <c r="C77" s="1736">
        <f>SUM(C73:C76)</f>
        <v>6330</v>
      </c>
      <c r="D77" s="1735"/>
      <c r="E77" s="1735"/>
      <c r="F77" s="1735"/>
      <c r="G77" s="1735"/>
      <c r="H77" s="1735"/>
      <c r="I77" s="1735"/>
      <c r="J77" s="1735"/>
      <c r="K77" s="1735"/>
      <c r="L77" s="855"/>
      <c r="M77" s="856"/>
      <c r="N77" s="856"/>
      <c r="O77" s="855"/>
      <c r="P77" s="855"/>
      <c r="Q77" s="855"/>
    </row>
    <row r="78" spans="1:17">
      <c r="A78" s="1735"/>
      <c r="B78" s="1735"/>
      <c r="C78" s="1735"/>
      <c r="D78" s="1735"/>
      <c r="E78" s="1735"/>
      <c r="F78" s="1735"/>
      <c r="G78" s="1735"/>
      <c r="H78" s="1735"/>
      <c r="I78" s="1735"/>
      <c r="J78" s="1735"/>
      <c r="K78" s="1735"/>
      <c r="L78" s="855"/>
      <c r="M78" s="856"/>
      <c r="N78" s="856"/>
      <c r="O78" s="855"/>
      <c r="P78" s="855"/>
      <c r="Q78" s="855"/>
    </row>
    <row r="79" spans="1:17">
      <c r="A79" s="1749" t="s">
        <v>700</v>
      </c>
      <c r="B79" s="1752" t="s">
        <v>706</v>
      </c>
      <c r="C79" s="1735"/>
      <c r="D79" s="1735"/>
      <c r="E79" s="1735"/>
      <c r="F79" s="1735"/>
      <c r="G79" s="1735"/>
      <c r="H79" s="1735"/>
      <c r="I79" s="1735"/>
      <c r="J79" s="1735"/>
      <c r="K79" s="1735"/>
      <c r="L79" s="855"/>
      <c r="M79" s="856"/>
      <c r="N79" s="856"/>
      <c r="O79" s="855"/>
      <c r="P79" s="855"/>
      <c r="Q79" s="855"/>
    </row>
    <row r="80" spans="1:17">
      <c r="A80" s="1735"/>
      <c r="B80" s="1737"/>
      <c r="C80" s="1751"/>
      <c r="D80" s="1735"/>
      <c r="E80" s="1735"/>
      <c r="F80" s="1735"/>
      <c r="G80" s="1735"/>
      <c r="H80" s="1735"/>
      <c r="I80" s="1735"/>
      <c r="J80" s="1735"/>
      <c r="K80" s="1735"/>
      <c r="L80" s="855"/>
      <c r="M80" s="856"/>
      <c r="N80" s="856"/>
      <c r="O80" s="855"/>
    </row>
    <row r="81" spans="1:15">
      <c r="A81" s="1734"/>
      <c r="B81" s="1734"/>
      <c r="C81" s="1735"/>
      <c r="D81" s="1735"/>
      <c r="E81" s="1735"/>
      <c r="F81" s="1735"/>
      <c r="G81" s="1735"/>
      <c r="H81" s="1735"/>
      <c r="I81" s="1735"/>
      <c r="J81" s="1735"/>
      <c r="K81" s="1735"/>
      <c r="L81" s="855"/>
      <c r="M81" s="856"/>
      <c r="N81" s="856"/>
      <c r="O81" s="855"/>
    </row>
    <row r="82" spans="1:15">
      <c r="A82" s="855"/>
      <c r="B82" s="855"/>
      <c r="C82" s="856"/>
      <c r="D82" s="855"/>
      <c r="E82" s="855"/>
      <c r="F82" s="856"/>
      <c r="G82" s="856"/>
      <c r="H82" s="855"/>
      <c r="I82" s="855"/>
      <c r="J82" s="855"/>
      <c r="K82" s="855"/>
      <c r="L82" s="855"/>
      <c r="M82" s="856"/>
      <c r="N82" s="856"/>
      <c r="O82" s="855"/>
    </row>
    <row r="83" spans="1:15">
      <c r="A83" s="868"/>
      <c r="B83" s="855"/>
      <c r="C83" s="1717"/>
      <c r="D83" s="896"/>
      <c r="E83" s="855"/>
      <c r="F83" s="856"/>
      <c r="G83" s="856"/>
      <c r="H83" s="855"/>
      <c r="I83" s="855"/>
      <c r="J83" s="855"/>
      <c r="K83" s="855"/>
      <c r="L83" s="855"/>
      <c r="M83" s="856"/>
      <c r="N83" s="856"/>
      <c r="O83" s="855"/>
    </row>
    <row r="84" spans="1:15">
      <c r="A84" s="879"/>
      <c r="B84" s="855"/>
      <c r="C84" s="856"/>
      <c r="D84" s="937"/>
      <c r="E84" s="855"/>
      <c r="F84" s="946"/>
      <c r="G84" s="937"/>
      <c r="H84" s="1718"/>
      <c r="I84" s="937"/>
      <c r="J84" s="855"/>
      <c r="K84" s="855"/>
      <c r="L84" s="855"/>
      <c r="M84" s="856"/>
      <c r="N84" s="856"/>
      <c r="O84" s="855"/>
    </row>
    <row r="85" spans="1:15">
      <c r="A85" s="855"/>
      <c r="B85" s="879"/>
      <c r="C85" s="947"/>
      <c r="D85" s="855"/>
      <c r="E85" s="855"/>
      <c r="F85" s="946"/>
      <c r="G85" s="937"/>
      <c r="H85" s="1718"/>
      <c r="I85" s="937"/>
      <c r="J85" s="855"/>
      <c r="K85" s="855"/>
      <c r="L85" s="855"/>
      <c r="M85" s="856"/>
      <c r="N85" s="856"/>
      <c r="O85" s="855"/>
    </row>
    <row r="86" spans="1:15">
      <c r="A86" s="855"/>
      <c r="B86" s="879"/>
      <c r="C86" s="947"/>
      <c r="D86" s="855"/>
      <c r="E86" s="855"/>
      <c r="F86" s="946"/>
      <c r="G86" s="937"/>
      <c r="H86" s="1718"/>
      <c r="I86" s="937"/>
      <c r="J86" s="855"/>
      <c r="K86" s="855"/>
      <c r="L86" s="855"/>
      <c r="M86" s="856"/>
      <c r="N86" s="856"/>
      <c r="O86" s="855"/>
    </row>
    <row r="87" spans="1:15">
      <c r="A87" s="855"/>
      <c r="B87" s="855"/>
      <c r="C87" s="947"/>
      <c r="D87" s="855"/>
      <c r="E87" s="855"/>
      <c r="F87" s="946"/>
      <c r="G87" s="948"/>
      <c r="H87" s="1719"/>
      <c r="I87" s="856"/>
      <c r="J87" s="855"/>
      <c r="K87" s="855"/>
      <c r="L87" s="855"/>
      <c r="M87" s="856"/>
      <c r="N87" s="856"/>
      <c r="O87" s="855"/>
    </row>
    <row r="88" spans="1:15">
      <c r="A88" s="879"/>
      <c r="B88" s="855"/>
      <c r="C88" s="879"/>
      <c r="D88" s="855"/>
      <c r="E88" s="855"/>
      <c r="F88" s="946"/>
      <c r="G88" s="948"/>
      <c r="H88" s="1719"/>
      <c r="I88" s="856"/>
      <c r="J88" s="855"/>
      <c r="K88" s="855"/>
      <c r="L88" s="855"/>
      <c r="M88" s="856"/>
      <c r="N88" s="856"/>
      <c r="O88" s="855"/>
    </row>
    <row r="89" spans="1:15">
      <c r="A89" s="855"/>
      <c r="B89" s="879"/>
      <c r="C89" s="892"/>
      <c r="D89" s="855"/>
      <c r="E89" s="855"/>
      <c r="F89" s="946"/>
      <c r="G89" s="855"/>
      <c r="H89" s="855"/>
      <c r="I89" s="856"/>
      <c r="J89" s="855"/>
      <c r="K89" s="855"/>
      <c r="L89" s="855"/>
      <c r="M89" s="856"/>
      <c r="N89" s="856"/>
      <c r="O89" s="855"/>
    </row>
    <row r="90" spans="1:15">
      <c r="A90" s="855"/>
      <c r="B90" s="879"/>
      <c r="C90" s="892"/>
      <c r="D90" s="945"/>
      <c r="E90" s="855"/>
      <c r="F90" s="946"/>
      <c r="G90" s="948"/>
      <c r="H90" s="1719"/>
      <c r="I90" s="856"/>
      <c r="J90" s="855"/>
      <c r="K90" s="855"/>
      <c r="L90" s="855"/>
      <c r="M90" s="856"/>
      <c r="N90" s="856"/>
      <c r="O90" s="855"/>
    </row>
    <row r="91" spans="1:15">
      <c r="A91" s="855"/>
      <c r="B91" s="855"/>
      <c r="C91" s="892"/>
      <c r="D91" s="855"/>
      <c r="E91" s="855"/>
      <c r="F91" s="946"/>
      <c r="G91" s="948"/>
      <c r="H91" s="1719"/>
      <c r="I91" s="856"/>
      <c r="J91" s="855"/>
      <c r="K91" s="855"/>
      <c r="L91" s="855"/>
      <c r="M91" s="856"/>
      <c r="N91" s="856"/>
      <c r="O91" s="855"/>
    </row>
    <row r="92" spans="1:15">
      <c r="A92" s="879"/>
      <c r="B92" s="855"/>
      <c r="C92" s="892"/>
      <c r="D92" s="1760"/>
      <c r="E92" s="1760"/>
      <c r="F92" s="946"/>
      <c r="G92" s="948"/>
      <c r="H92" s="1719"/>
      <c r="I92" s="856"/>
      <c r="J92" s="855"/>
      <c r="K92" s="855"/>
      <c r="L92" s="855"/>
      <c r="M92" s="856"/>
      <c r="N92" s="856"/>
      <c r="O92" s="855"/>
    </row>
    <row r="93" spans="1:15">
      <c r="A93" s="855"/>
      <c r="B93" s="855"/>
      <c r="C93" s="855"/>
      <c r="D93" s="855"/>
      <c r="E93" s="855"/>
      <c r="F93" s="946"/>
      <c r="G93" s="948"/>
      <c r="H93" s="1719"/>
      <c r="I93" s="856"/>
      <c r="J93" s="855"/>
      <c r="K93" s="855"/>
      <c r="L93" s="855"/>
      <c r="M93" s="856"/>
      <c r="N93" s="856"/>
      <c r="O93" s="855"/>
    </row>
    <row r="94" spans="1:15">
      <c r="A94" s="855"/>
      <c r="B94" s="855"/>
      <c r="C94" s="855"/>
      <c r="D94" s="855"/>
      <c r="E94" s="855"/>
      <c r="F94" s="946"/>
      <c r="G94" s="948"/>
      <c r="H94" s="1719"/>
      <c r="I94" s="856"/>
      <c r="J94" s="855"/>
      <c r="K94" s="855"/>
      <c r="L94" s="855"/>
      <c r="M94" s="856"/>
      <c r="N94" s="856"/>
      <c r="O94" s="855"/>
    </row>
    <row r="95" spans="1:15">
      <c r="A95" s="855"/>
      <c r="B95" s="879"/>
      <c r="C95" s="880"/>
      <c r="D95" s="855"/>
      <c r="E95" s="855"/>
      <c r="F95" s="946"/>
      <c r="G95" s="948"/>
      <c r="H95" s="1719"/>
      <c r="I95" s="856"/>
      <c r="J95" s="855"/>
      <c r="K95" s="855"/>
      <c r="L95" s="855"/>
      <c r="M95" s="856"/>
      <c r="N95" s="856"/>
      <c r="O95" s="855"/>
    </row>
    <row r="96" spans="1:15">
      <c r="A96" s="855"/>
      <c r="B96" s="855"/>
      <c r="C96" s="855"/>
      <c r="D96" s="855"/>
      <c r="E96" s="855"/>
      <c r="F96" s="946"/>
      <c r="G96" s="948"/>
      <c r="H96" s="1719"/>
      <c r="I96" s="856"/>
      <c r="J96" s="855"/>
      <c r="K96" s="855"/>
      <c r="L96" s="855"/>
      <c r="M96" s="856"/>
      <c r="N96" s="856"/>
      <c r="O96" s="855"/>
    </row>
    <row r="97" spans="1:15">
      <c r="A97" s="855"/>
      <c r="B97" s="879"/>
      <c r="C97" s="880"/>
      <c r="D97" s="855"/>
      <c r="E97" s="855"/>
      <c r="F97" s="946"/>
      <c r="G97" s="948"/>
      <c r="H97" s="1719"/>
      <c r="I97" s="856"/>
      <c r="J97" s="855"/>
      <c r="K97" s="855"/>
      <c r="L97" s="855"/>
      <c r="M97" s="856"/>
      <c r="N97" s="856"/>
      <c r="O97" s="855"/>
    </row>
    <row r="98" spans="1:15">
      <c r="A98" s="855"/>
      <c r="B98" s="855"/>
      <c r="C98" s="856"/>
      <c r="D98" s="855"/>
      <c r="E98" s="855"/>
      <c r="F98" s="946"/>
      <c r="G98" s="948"/>
      <c r="H98" s="1719"/>
      <c r="I98" s="856"/>
      <c r="J98" s="855"/>
      <c r="K98" s="855"/>
      <c r="L98" s="855"/>
      <c r="M98" s="856"/>
      <c r="N98" s="856"/>
      <c r="O98" s="855"/>
    </row>
    <row r="99" spans="1:15">
      <c r="A99" s="855"/>
      <c r="B99" s="855"/>
      <c r="C99" s="856"/>
      <c r="D99" s="855"/>
      <c r="E99" s="855"/>
      <c r="F99" s="946"/>
      <c r="G99" s="948"/>
      <c r="H99" s="1719"/>
      <c r="I99" s="856"/>
      <c r="J99" s="855"/>
      <c r="K99" s="855"/>
      <c r="L99" s="855"/>
      <c r="M99" s="856"/>
      <c r="N99" s="856"/>
      <c r="O99" s="855"/>
    </row>
    <row r="100" spans="1:15">
      <c r="A100" s="855"/>
      <c r="B100" s="855"/>
      <c r="C100" s="856"/>
      <c r="D100" s="855"/>
      <c r="E100" s="855"/>
      <c r="F100" s="946"/>
      <c r="G100" s="948"/>
      <c r="H100" s="1719"/>
      <c r="I100" s="856"/>
      <c r="J100" s="855"/>
      <c r="K100" s="855"/>
      <c r="L100" s="855"/>
      <c r="M100" s="856"/>
      <c r="N100" s="856"/>
      <c r="O100" s="855"/>
    </row>
    <row r="101" spans="1:15">
      <c r="A101" s="855"/>
      <c r="B101" s="855"/>
      <c r="C101" s="856"/>
      <c r="D101" s="1720"/>
      <c r="E101" s="855"/>
      <c r="F101" s="946"/>
      <c r="G101" s="948"/>
      <c r="H101" s="1719"/>
      <c r="I101" s="856"/>
      <c r="J101" s="855"/>
      <c r="K101" s="855"/>
      <c r="L101" s="855"/>
      <c r="M101" s="856"/>
      <c r="N101" s="856"/>
      <c r="O101" s="855"/>
    </row>
    <row r="102" spans="1:15">
      <c r="A102" s="855"/>
      <c r="B102" s="855"/>
      <c r="C102" s="856"/>
      <c r="D102" s="1720"/>
      <c r="E102" s="945"/>
      <c r="F102" s="946"/>
      <c r="G102" s="948"/>
      <c r="H102" s="1719"/>
      <c r="I102" s="856"/>
      <c r="J102" s="855"/>
      <c r="K102" s="855"/>
      <c r="L102" s="855"/>
      <c r="M102" s="856"/>
      <c r="N102" s="856"/>
      <c r="O102" s="855"/>
    </row>
    <row r="103" spans="1:15">
      <c r="A103" s="855"/>
      <c r="B103" s="855"/>
      <c r="C103" s="856"/>
      <c r="D103" s="1720"/>
      <c r="E103" s="855"/>
      <c r="F103" s="946"/>
      <c r="G103" s="948"/>
      <c r="H103" s="1719"/>
      <c r="I103" s="856"/>
      <c r="J103" s="855"/>
      <c r="K103" s="855"/>
      <c r="L103" s="855"/>
      <c r="M103" s="856"/>
      <c r="N103" s="856"/>
      <c r="O103" s="855"/>
    </row>
    <row r="104" spans="1:15">
      <c r="A104" s="855"/>
      <c r="B104" s="855"/>
      <c r="C104" s="856"/>
      <c r="D104" s="1720"/>
      <c r="E104" s="855"/>
      <c r="F104" s="946"/>
      <c r="G104" s="948"/>
      <c r="H104" s="1719"/>
      <c r="I104" s="856"/>
      <c r="J104" s="855"/>
      <c r="K104" s="855"/>
      <c r="L104" s="855"/>
      <c r="M104" s="856"/>
      <c r="N104" s="856"/>
      <c r="O104" s="855"/>
    </row>
    <row r="105" spans="1:15">
      <c r="A105" s="855"/>
      <c r="B105" s="855"/>
      <c r="C105" s="856"/>
      <c r="D105" s="1720"/>
      <c r="E105" s="855"/>
      <c r="F105" s="946"/>
      <c r="G105" s="948"/>
      <c r="H105" s="1719"/>
      <c r="I105" s="856"/>
      <c r="J105" s="855"/>
      <c r="K105" s="855"/>
      <c r="L105" s="855"/>
      <c r="M105" s="856"/>
      <c r="N105" s="856"/>
      <c r="O105" s="855"/>
    </row>
    <row r="106" spans="1:15">
      <c r="A106" s="855"/>
      <c r="B106" s="855"/>
      <c r="C106" s="855"/>
      <c r="D106" s="1720"/>
      <c r="E106" s="855"/>
      <c r="F106" s="946"/>
      <c r="G106" s="948"/>
      <c r="H106" s="1719"/>
      <c r="I106" s="856"/>
      <c r="J106" s="855"/>
      <c r="K106" s="855"/>
      <c r="L106" s="855"/>
      <c r="M106" s="856"/>
      <c r="N106" s="856"/>
      <c r="O106" s="855"/>
    </row>
    <row r="107" spans="1:15">
      <c r="A107" s="855"/>
      <c r="B107" s="855"/>
      <c r="C107" s="855"/>
      <c r="D107" s="1720"/>
      <c r="E107" s="855"/>
      <c r="F107" s="946"/>
      <c r="G107" s="948"/>
      <c r="H107" s="1719"/>
      <c r="I107" s="856"/>
      <c r="J107" s="855"/>
      <c r="K107" s="855"/>
      <c r="L107" s="855"/>
      <c r="M107" s="856"/>
      <c r="N107" s="856"/>
      <c r="O107" s="855"/>
    </row>
    <row r="108" spans="1:15">
      <c r="A108" s="855"/>
      <c r="B108" s="855"/>
      <c r="C108" s="855"/>
      <c r="D108" s="1720"/>
      <c r="E108" s="855"/>
      <c r="F108" s="946"/>
      <c r="G108" s="948"/>
      <c r="H108" s="1719"/>
      <c r="I108" s="856"/>
      <c r="J108" s="855"/>
      <c r="K108" s="855"/>
      <c r="L108" s="855"/>
      <c r="M108" s="856"/>
      <c r="N108" s="856"/>
      <c r="O108" s="855"/>
    </row>
    <row r="109" spans="1:15">
      <c r="A109" s="855"/>
      <c r="B109" s="855"/>
      <c r="C109" s="855"/>
      <c r="D109" s="1720"/>
      <c r="E109" s="855"/>
      <c r="F109" s="946"/>
      <c r="G109" s="948"/>
      <c r="H109" s="1719"/>
      <c r="I109" s="856"/>
      <c r="J109" s="855"/>
      <c r="K109" s="855"/>
      <c r="L109" s="855"/>
      <c r="M109" s="856"/>
      <c r="N109" s="856"/>
      <c r="O109" s="855"/>
    </row>
    <row r="110" spans="1:15">
      <c r="A110" s="855"/>
      <c r="B110" s="855"/>
      <c r="C110" s="855"/>
      <c r="D110" s="1720"/>
      <c r="E110" s="855"/>
      <c r="F110" s="946"/>
      <c r="G110" s="948"/>
      <c r="H110" s="1719"/>
      <c r="I110" s="856"/>
      <c r="J110" s="855"/>
      <c r="K110" s="855"/>
      <c r="L110" s="855"/>
      <c r="M110" s="856"/>
      <c r="N110" s="856"/>
      <c r="O110" s="855"/>
    </row>
    <row r="111" spans="1:15">
      <c r="A111" s="855"/>
      <c r="B111" s="855"/>
      <c r="C111" s="856"/>
      <c r="D111" s="1720"/>
      <c r="E111" s="855"/>
      <c r="F111" s="946"/>
      <c r="G111" s="948"/>
      <c r="H111" s="1719"/>
      <c r="I111" s="856"/>
      <c r="J111" s="855"/>
      <c r="K111" s="855"/>
      <c r="L111" s="855"/>
      <c r="M111" s="856"/>
      <c r="N111" s="856"/>
      <c r="O111" s="855"/>
    </row>
    <row r="112" spans="1:15">
      <c r="A112" s="855"/>
      <c r="B112" s="855"/>
      <c r="C112" s="856"/>
      <c r="D112" s="1720"/>
      <c r="E112" s="855"/>
      <c r="F112" s="946"/>
      <c r="G112" s="948"/>
      <c r="H112" s="1719"/>
      <c r="I112" s="856"/>
      <c r="J112" s="855"/>
      <c r="K112" s="855"/>
      <c r="L112" s="855"/>
      <c r="M112" s="856"/>
      <c r="N112" s="856"/>
      <c r="O112" s="855"/>
    </row>
    <row r="113" spans="1:15">
      <c r="A113" s="855"/>
      <c r="B113" s="855"/>
      <c r="C113" s="856"/>
      <c r="D113" s="1720"/>
      <c r="E113" s="855"/>
      <c r="F113" s="946"/>
      <c r="G113" s="948"/>
      <c r="H113" s="1719"/>
      <c r="I113" s="856"/>
      <c r="J113" s="855"/>
      <c r="K113" s="855"/>
      <c r="L113" s="855"/>
      <c r="M113" s="856"/>
      <c r="N113" s="856"/>
      <c r="O113" s="855"/>
    </row>
    <row r="114" spans="1:15">
      <c r="A114" s="855"/>
      <c r="B114" s="855"/>
      <c r="C114" s="856"/>
      <c r="D114" s="1720"/>
      <c r="E114" s="855"/>
      <c r="F114" s="946"/>
      <c r="G114" s="948"/>
      <c r="H114" s="1719"/>
      <c r="I114" s="856"/>
      <c r="J114" s="855"/>
      <c r="K114" s="855"/>
      <c r="L114" s="855"/>
      <c r="M114" s="856"/>
      <c r="N114" s="856"/>
      <c r="O114" s="855"/>
    </row>
    <row r="115" spans="1:15">
      <c r="A115" s="855"/>
      <c r="B115" s="855"/>
      <c r="C115" s="855"/>
      <c r="D115" s="1720"/>
      <c r="E115" s="855"/>
      <c r="F115" s="946"/>
      <c r="G115" s="948"/>
      <c r="H115" s="1719"/>
      <c r="I115" s="856"/>
      <c r="J115" s="855"/>
      <c r="K115" s="855"/>
      <c r="L115" s="855"/>
      <c r="M115" s="856"/>
      <c r="N115" s="856"/>
      <c r="O115" s="855"/>
    </row>
    <row r="116" spans="1:15">
      <c r="A116" s="855"/>
      <c r="B116" s="855"/>
      <c r="C116" s="855"/>
      <c r="D116" s="1720"/>
      <c r="E116" s="855"/>
      <c r="F116" s="946"/>
      <c r="G116" s="948"/>
      <c r="H116" s="1719"/>
      <c r="I116" s="856"/>
      <c r="J116" s="855"/>
      <c r="K116" s="855"/>
      <c r="L116" s="855"/>
      <c r="M116" s="856"/>
      <c r="N116" s="856"/>
      <c r="O116" s="855"/>
    </row>
    <row r="117" spans="1:15">
      <c r="A117" s="855"/>
      <c r="B117" s="855"/>
      <c r="C117" s="855"/>
      <c r="D117" s="1720"/>
      <c r="E117" s="855"/>
      <c r="F117" s="946"/>
      <c r="G117" s="948"/>
      <c r="H117" s="1719"/>
      <c r="I117" s="856"/>
      <c r="J117" s="855"/>
      <c r="K117" s="855"/>
      <c r="L117" s="855"/>
      <c r="M117" s="856"/>
      <c r="N117" s="856"/>
      <c r="O117" s="855"/>
    </row>
    <row r="118" spans="1:15">
      <c r="A118" s="855"/>
      <c r="B118" s="855"/>
      <c r="C118" s="855"/>
      <c r="D118" s="1720"/>
      <c r="E118" s="855"/>
      <c r="F118" s="946"/>
      <c r="G118" s="948"/>
      <c r="H118" s="1719"/>
      <c r="I118" s="856"/>
      <c r="J118" s="855"/>
      <c r="K118" s="855"/>
      <c r="L118" s="855"/>
      <c r="M118" s="856"/>
      <c r="N118" s="856"/>
      <c r="O118" s="855"/>
    </row>
    <row r="119" spans="1:15">
      <c r="A119" s="855"/>
      <c r="B119" s="855"/>
      <c r="C119" s="855"/>
      <c r="D119" s="1720"/>
      <c r="E119" s="876"/>
      <c r="F119" s="946"/>
      <c r="G119" s="948"/>
      <c r="H119" s="1719"/>
      <c r="I119" s="856"/>
      <c r="J119" s="855"/>
      <c r="K119" s="855"/>
      <c r="L119" s="855"/>
      <c r="M119" s="856"/>
      <c r="N119" s="856"/>
      <c r="O119" s="855"/>
    </row>
    <row r="120" spans="1:15">
      <c r="A120" s="855"/>
      <c r="B120" s="855"/>
      <c r="C120" s="1716"/>
      <c r="D120" s="946"/>
      <c r="E120" s="855"/>
      <c r="F120" s="946"/>
      <c r="G120" s="948"/>
      <c r="H120" s="1719"/>
      <c r="I120" s="856"/>
      <c r="J120" s="855"/>
      <c r="K120" s="855"/>
      <c r="L120" s="855"/>
      <c r="M120" s="856"/>
      <c r="N120" s="856"/>
      <c r="O120" s="855"/>
    </row>
    <row r="121" spans="1:15">
      <c r="A121" s="855"/>
      <c r="B121" s="855"/>
      <c r="C121" s="1716"/>
      <c r="D121" s="946"/>
      <c r="E121" s="855"/>
      <c r="F121" s="946"/>
      <c r="G121" s="948"/>
      <c r="H121" s="1719"/>
      <c r="I121" s="856"/>
      <c r="J121" s="855"/>
      <c r="K121" s="855"/>
      <c r="L121" s="855"/>
      <c r="M121" s="856"/>
      <c r="N121" s="856"/>
      <c r="O121" s="855"/>
    </row>
    <row r="122" spans="1:15">
      <c r="A122" s="855"/>
      <c r="B122" s="855"/>
      <c r="C122" s="1721"/>
      <c r="D122" s="946"/>
      <c r="E122" s="855"/>
      <c r="F122" s="946"/>
      <c r="G122" s="948"/>
      <c r="H122" s="1719"/>
      <c r="I122" s="856"/>
      <c r="J122" s="855"/>
      <c r="K122" s="855"/>
      <c r="L122" s="855"/>
      <c r="M122" s="856"/>
      <c r="N122" s="856"/>
      <c r="O122" s="855"/>
    </row>
    <row r="123" spans="1:15">
      <c r="A123" s="855"/>
      <c r="B123" s="855"/>
      <c r="C123" s="1722"/>
      <c r="D123" s="946"/>
      <c r="E123" s="855"/>
      <c r="F123" s="946"/>
      <c r="G123" s="948"/>
      <c r="H123" s="1719"/>
      <c r="I123" s="856"/>
      <c r="J123" s="855"/>
      <c r="K123" s="855"/>
      <c r="L123" s="855"/>
      <c r="M123" s="856"/>
      <c r="N123" s="856"/>
      <c r="O123" s="855"/>
    </row>
    <row r="124" spans="1:15">
      <c r="A124" s="855"/>
      <c r="B124" s="855"/>
      <c r="C124" s="1721"/>
      <c r="D124" s="946"/>
      <c r="E124" s="855"/>
      <c r="F124" s="946"/>
      <c r="G124" s="948"/>
      <c r="H124" s="1719"/>
      <c r="I124" s="856"/>
      <c r="J124" s="855"/>
      <c r="K124" s="855"/>
      <c r="L124" s="855"/>
      <c r="M124" s="856"/>
      <c r="N124" s="856"/>
      <c r="O124" s="855"/>
    </row>
    <row r="125" spans="1:15">
      <c r="A125" s="855"/>
      <c r="B125" s="855"/>
      <c r="C125" s="1721"/>
      <c r="D125" s="946"/>
      <c r="E125" s="855"/>
      <c r="F125" s="946"/>
      <c r="G125" s="948"/>
      <c r="H125" s="1719"/>
      <c r="I125" s="856"/>
      <c r="J125" s="855"/>
      <c r="K125" s="855"/>
      <c r="L125" s="855"/>
      <c r="M125" s="856"/>
      <c r="N125" s="856"/>
      <c r="O125" s="855"/>
    </row>
    <row r="126" spans="1:15">
      <c r="A126" s="855"/>
      <c r="B126" s="855"/>
      <c r="C126" s="856"/>
      <c r="D126" s="946"/>
      <c r="E126" s="855"/>
      <c r="F126" s="946"/>
      <c r="G126" s="948"/>
      <c r="H126" s="1719"/>
      <c r="I126" s="856"/>
      <c r="J126" s="855"/>
      <c r="K126" s="855"/>
      <c r="L126" s="855"/>
      <c r="M126" s="856"/>
      <c r="N126" s="856"/>
      <c r="O126" s="855"/>
    </row>
    <row r="127" spans="1:15">
      <c r="A127" s="855"/>
      <c r="B127" s="855"/>
      <c r="C127" s="1723"/>
      <c r="D127" s="1025"/>
      <c r="E127" s="855"/>
      <c r="F127" s="946"/>
      <c r="G127" s="948"/>
      <c r="H127" s="1719"/>
      <c r="I127" s="856"/>
      <c r="J127" s="855"/>
      <c r="K127" s="855"/>
      <c r="L127" s="855"/>
      <c r="M127" s="856"/>
      <c r="N127" s="856"/>
      <c r="O127" s="855"/>
    </row>
    <row r="128" spans="1:15">
      <c r="A128" s="855"/>
      <c r="B128" s="855"/>
      <c r="C128" s="855"/>
      <c r="D128" s="855"/>
      <c r="E128" s="855"/>
      <c r="F128" s="946"/>
      <c r="G128" s="948"/>
      <c r="H128" s="1719"/>
      <c r="I128" s="856"/>
      <c r="J128" s="855"/>
      <c r="K128" s="855"/>
      <c r="L128" s="855"/>
      <c r="M128" s="856"/>
      <c r="N128" s="856"/>
      <c r="O128" s="855"/>
    </row>
    <row r="129" spans="1:15">
      <c r="A129" s="868"/>
      <c r="B129" s="855"/>
      <c r="C129" s="855"/>
      <c r="D129" s="855"/>
      <c r="E129" s="855"/>
      <c r="F129" s="855"/>
      <c r="G129" s="855"/>
      <c r="H129" s="855"/>
      <c r="I129" s="855"/>
      <c r="J129" s="855"/>
      <c r="K129" s="855"/>
      <c r="L129" s="855"/>
      <c r="M129" s="856"/>
      <c r="N129" s="856"/>
      <c r="O129" s="855"/>
    </row>
    <row r="130" spans="1:15">
      <c r="A130" s="855"/>
      <c r="B130" s="855"/>
      <c r="C130" s="855"/>
      <c r="D130" s="855"/>
      <c r="E130" s="855"/>
      <c r="F130" s="855"/>
      <c r="G130" s="855"/>
      <c r="H130" s="855"/>
      <c r="I130" s="855"/>
      <c r="J130" s="855"/>
      <c r="K130" s="855"/>
      <c r="L130" s="855"/>
      <c r="M130" s="856"/>
      <c r="N130" s="856"/>
      <c r="O130" s="855"/>
    </row>
    <row r="131" spans="1:15">
      <c r="A131" s="868"/>
      <c r="B131" s="855"/>
      <c r="C131" s="855"/>
      <c r="D131" s="855"/>
      <c r="E131" s="855"/>
      <c r="F131" s="855"/>
      <c r="G131" s="855"/>
      <c r="H131" s="855"/>
      <c r="I131" s="855"/>
      <c r="J131" s="855"/>
      <c r="K131" s="855"/>
      <c r="L131" s="855"/>
      <c r="M131" s="856"/>
      <c r="N131" s="856"/>
      <c r="O131" s="855"/>
    </row>
    <row r="132" spans="1:15">
      <c r="A132" s="855"/>
      <c r="B132" s="855"/>
      <c r="C132" s="856"/>
      <c r="D132" s="856"/>
      <c r="E132" s="856"/>
      <c r="F132" s="856"/>
      <c r="G132" s="856"/>
      <c r="H132" s="856"/>
      <c r="I132" s="856"/>
      <c r="J132" s="855"/>
      <c r="K132" s="855"/>
      <c r="L132" s="855"/>
      <c r="M132" s="856"/>
      <c r="N132" s="856"/>
      <c r="O132" s="855"/>
    </row>
    <row r="133" spans="1:15">
      <c r="A133" s="855"/>
      <c r="B133" s="855"/>
      <c r="C133" s="855"/>
      <c r="D133" s="855"/>
      <c r="E133" s="855"/>
      <c r="F133" s="855"/>
      <c r="G133" s="855"/>
      <c r="H133" s="855"/>
      <c r="I133" s="855"/>
      <c r="J133" s="855"/>
      <c r="K133" s="855"/>
      <c r="L133" s="855"/>
      <c r="M133" s="856"/>
      <c r="N133" s="856"/>
      <c r="O133" s="855"/>
    </row>
    <row r="134" spans="1:15">
      <c r="A134" s="855"/>
      <c r="B134" s="855"/>
      <c r="C134" s="1721"/>
      <c r="D134" s="1721"/>
      <c r="E134" s="1721"/>
      <c r="F134" s="1721"/>
      <c r="G134" s="1721"/>
      <c r="H134" s="1721"/>
      <c r="I134" s="1721"/>
      <c r="J134" s="855"/>
      <c r="K134" s="855"/>
      <c r="L134" s="855"/>
      <c r="M134" s="856"/>
      <c r="N134" s="856"/>
      <c r="O134" s="855"/>
    </row>
    <row r="135" spans="1:15">
      <c r="A135" s="855"/>
      <c r="B135" s="855"/>
      <c r="C135" s="1721"/>
      <c r="D135" s="1721"/>
      <c r="E135" s="1721"/>
      <c r="F135" s="1721"/>
      <c r="G135" s="1721"/>
      <c r="H135" s="1721"/>
      <c r="I135" s="1721"/>
      <c r="J135" s="855"/>
      <c r="K135" s="855"/>
      <c r="L135" s="855"/>
      <c r="M135" s="856"/>
      <c r="N135" s="856"/>
      <c r="O135" s="855"/>
    </row>
    <row r="136" spans="1:15">
      <c r="A136" s="855"/>
      <c r="B136" s="855"/>
      <c r="C136" s="1721"/>
      <c r="D136" s="1721"/>
      <c r="E136" s="1721"/>
      <c r="F136" s="1721"/>
      <c r="G136" s="1721"/>
      <c r="H136" s="1721"/>
      <c r="I136" s="1721"/>
      <c r="J136" s="855"/>
      <c r="K136" s="855"/>
      <c r="L136" s="855"/>
      <c r="M136" s="856"/>
      <c r="N136" s="856"/>
      <c r="O136" s="855"/>
    </row>
    <row r="137" spans="1:15">
      <c r="A137" s="855"/>
      <c r="B137" s="855"/>
      <c r="C137" s="1721"/>
      <c r="D137" s="1721"/>
      <c r="E137" s="1721"/>
      <c r="F137" s="1721"/>
      <c r="G137" s="1721"/>
      <c r="H137" s="1721"/>
      <c r="I137" s="1721"/>
      <c r="J137" s="855"/>
      <c r="K137" s="855"/>
      <c r="L137" s="855"/>
      <c r="M137" s="856"/>
      <c r="N137" s="856"/>
      <c r="O137" s="855"/>
    </row>
    <row r="138" spans="1:15">
      <c r="A138" s="855"/>
      <c r="B138" s="855"/>
      <c r="C138" s="1721"/>
      <c r="D138" s="1721"/>
      <c r="E138" s="1721"/>
      <c r="F138" s="1721"/>
      <c r="G138" s="1721"/>
      <c r="H138" s="1721"/>
      <c r="I138" s="1721"/>
      <c r="J138" s="855"/>
      <c r="K138" s="855"/>
      <c r="L138" s="855"/>
      <c r="M138" s="856"/>
      <c r="N138" s="856"/>
      <c r="O138" s="855"/>
    </row>
    <row r="139" spans="1:15">
      <c r="A139" s="855"/>
      <c r="B139" s="855"/>
      <c r="C139" s="1721"/>
      <c r="D139" s="1721"/>
      <c r="E139" s="1721"/>
      <c r="F139" s="1721"/>
      <c r="G139" s="1721"/>
      <c r="H139" s="1721"/>
      <c r="I139" s="1721"/>
      <c r="J139" s="855"/>
      <c r="K139" s="855"/>
      <c r="L139" s="855"/>
      <c r="M139" s="856"/>
      <c r="N139" s="856"/>
      <c r="O139" s="855"/>
    </row>
    <row r="140" spans="1:15">
      <c r="A140" s="855"/>
      <c r="B140" s="855"/>
      <c r="C140" s="1721"/>
      <c r="D140" s="1721"/>
      <c r="E140" s="1721"/>
      <c r="F140" s="1721"/>
      <c r="G140" s="1721"/>
      <c r="H140" s="1721"/>
      <c r="I140" s="1721"/>
      <c r="J140" s="855"/>
      <c r="K140" s="855"/>
      <c r="L140" s="855"/>
      <c r="M140" s="856"/>
      <c r="N140" s="856"/>
      <c r="O140" s="855"/>
    </row>
    <row r="141" spans="1:15">
      <c r="A141" s="855"/>
      <c r="B141" s="855"/>
      <c r="C141" s="1721"/>
      <c r="D141" s="1721"/>
      <c r="E141" s="1721"/>
      <c r="F141" s="1721"/>
      <c r="G141" s="1721"/>
      <c r="H141" s="1721"/>
      <c r="I141" s="1721"/>
      <c r="J141" s="855"/>
      <c r="K141" s="855"/>
      <c r="L141" s="855"/>
      <c r="M141" s="856"/>
      <c r="N141" s="856"/>
      <c r="O141" s="855"/>
    </row>
    <row r="142" spans="1:15">
      <c r="A142" s="855"/>
      <c r="B142" s="855"/>
      <c r="C142" s="1721"/>
      <c r="D142" s="1721"/>
      <c r="E142" s="1721"/>
      <c r="F142" s="1721"/>
      <c r="G142" s="1721"/>
      <c r="H142" s="1721"/>
      <c r="I142" s="1721"/>
      <c r="J142" s="855"/>
      <c r="K142" s="855"/>
      <c r="L142" s="855"/>
      <c r="M142" s="856"/>
      <c r="N142" s="856"/>
      <c r="O142" s="855"/>
    </row>
    <row r="143" spans="1:15">
      <c r="A143" s="855"/>
      <c r="B143" s="855"/>
      <c r="C143" s="1721"/>
      <c r="D143" s="1721"/>
      <c r="E143" s="1721"/>
      <c r="F143" s="1721"/>
      <c r="G143" s="1721"/>
      <c r="H143" s="1721"/>
      <c r="I143" s="1721"/>
      <c r="J143" s="855"/>
      <c r="K143" s="855"/>
      <c r="L143" s="855"/>
      <c r="M143" s="856"/>
      <c r="N143" s="856"/>
      <c r="O143" s="855"/>
    </row>
    <row r="144" spans="1:15">
      <c r="A144" s="868"/>
      <c r="B144" s="868"/>
      <c r="C144" s="1724"/>
      <c r="D144" s="1724"/>
      <c r="E144" s="1724"/>
      <c r="F144" s="1724"/>
      <c r="G144" s="1724"/>
      <c r="H144" s="1724"/>
      <c r="I144" s="1724"/>
      <c r="J144" s="855"/>
      <c r="K144" s="855"/>
      <c r="L144" s="855"/>
      <c r="M144" s="856"/>
      <c r="N144" s="856"/>
      <c r="O144" s="855"/>
    </row>
    <row r="145" spans="1:15">
      <c r="A145" s="1725"/>
      <c r="B145" s="855"/>
      <c r="C145" s="855"/>
      <c r="D145" s="855"/>
      <c r="E145" s="855"/>
      <c r="F145" s="855"/>
      <c r="G145" s="855"/>
      <c r="H145" s="855"/>
      <c r="I145" s="855"/>
      <c r="J145" s="855"/>
      <c r="K145" s="855"/>
      <c r="L145" s="855"/>
      <c r="M145" s="856"/>
      <c r="N145" s="856"/>
      <c r="O145" s="855"/>
    </row>
    <row r="146" spans="1:15">
      <c r="A146" s="855"/>
      <c r="B146" s="855"/>
      <c r="C146" s="855"/>
      <c r="D146" s="855"/>
      <c r="E146" s="855"/>
      <c r="F146" s="855"/>
      <c r="G146" s="855"/>
      <c r="H146" s="855"/>
      <c r="I146" s="855"/>
      <c r="J146" s="855"/>
      <c r="K146" s="855"/>
      <c r="L146" s="855"/>
      <c r="M146" s="856"/>
      <c r="N146" s="856"/>
      <c r="O146" s="855"/>
    </row>
    <row r="147" spans="1:15">
      <c r="A147" s="855"/>
      <c r="B147" s="855"/>
      <c r="C147" s="855"/>
      <c r="D147" s="855"/>
      <c r="E147" s="855"/>
      <c r="F147" s="855"/>
      <c r="G147" s="855"/>
      <c r="H147" s="855"/>
      <c r="I147" s="855"/>
      <c r="J147" s="855"/>
      <c r="K147" s="855"/>
      <c r="L147" s="855"/>
      <c r="M147" s="856"/>
      <c r="N147" s="856"/>
      <c r="O147" s="855"/>
    </row>
    <row r="148" spans="1:15">
      <c r="A148" s="855"/>
      <c r="B148" s="855"/>
      <c r="C148" s="855"/>
      <c r="D148" s="855"/>
      <c r="E148" s="855"/>
      <c r="F148" s="855"/>
      <c r="G148" s="855"/>
      <c r="H148" s="855"/>
      <c r="I148" s="855"/>
      <c r="J148" s="855"/>
      <c r="K148" s="855"/>
      <c r="L148" s="855"/>
      <c r="M148" s="856"/>
      <c r="N148" s="856"/>
      <c r="O148" s="855"/>
    </row>
    <row r="149" spans="1:15">
      <c r="A149" s="855"/>
      <c r="B149" s="855"/>
      <c r="C149" s="855"/>
      <c r="D149" s="855"/>
      <c r="E149" s="855"/>
      <c r="F149" s="855"/>
      <c r="G149" s="855"/>
      <c r="H149" s="855"/>
      <c r="I149" s="855"/>
      <c r="J149" s="855"/>
      <c r="K149" s="855"/>
      <c r="L149" s="855"/>
      <c r="M149" s="856"/>
      <c r="N149" s="856"/>
      <c r="O149" s="855"/>
    </row>
    <row r="150" spans="1:15">
      <c r="A150" s="855"/>
      <c r="B150" s="855"/>
      <c r="C150" s="855"/>
      <c r="D150" s="855"/>
      <c r="E150" s="855"/>
      <c r="F150" s="855"/>
      <c r="G150" s="855"/>
      <c r="H150" s="855"/>
      <c r="I150" s="855"/>
      <c r="J150" s="855"/>
      <c r="K150" s="855"/>
      <c r="L150" s="855"/>
      <c r="M150" s="856"/>
      <c r="N150" s="856"/>
      <c r="O150" s="855"/>
    </row>
    <row r="151" spans="1:15">
      <c r="A151" s="855"/>
      <c r="B151" s="855"/>
      <c r="C151" s="855"/>
      <c r="D151" s="855"/>
      <c r="E151" s="855"/>
      <c r="F151" s="855"/>
      <c r="G151" s="855"/>
      <c r="H151" s="855"/>
      <c r="I151" s="855"/>
      <c r="J151" s="855"/>
      <c r="K151" s="855"/>
      <c r="L151" s="855"/>
      <c r="M151" s="856"/>
      <c r="N151" s="856"/>
      <c r="O151" s="855"/>
    </row>
    <row r="152" spans="1:15">
      <c r="A152" s="855"/>
      <c r="B152" s="855"/>
      <c r="C152" s="855"/>
      <c r="D152" s="855"/>
      <c r="E152" s="855"/>
      <c r="F152" s="855"/>
      <c r="G152" s="855"/>
      <c r="H152" s="855"/>
      <c r="I152" s="855"/>
      <c r="J152" s="855"/>
      <c r="K152" s="855"/>
      <c r="L152" s="855"/>
      <c r="M152" s="856"/>
      <c r="N152" s="856"/>
      <c r="O152" s="855"/>
    </row>
    <row r="153" spans="1:15">
      <c r="A153" s="855"/>
      <c r="B153" s="855"/>
      <c r="C153" s="855"/>
      <c r="D153" s="855"/>
      <c r="E153" s="855"/>
      <c r="F153" s="855"/>
      <c r="G153" s="855"/>
      <c r="H153" s="855"/>
      <c r="I153" s="855"/>
      <c r="J153" s="855"/>
      <c r="K153" s="855"/>
      <c r="L153" s="855"/>
      <c r="M153" s="856"/>
      <c r="N153" s="856"/>
      <c r="O153" s="855"/>
    </row>
    <row r="154" spans="1:15">
      <c r="A154" s="855"/>
      <c r="B154" s="855"/>
      <c r="C154" s="855"/>
      <c r="D154" s="855"/>
      <c r="E154" s="855"/>
      <c r="F154" s="855"/>
      <c r="G154" s="855"/>
      <c r="H154" s="855"/>
      <c r="I154" s="855"/>
      <c r="J154" s="855"/>
      <c r="K154" s="855"/>
      <c r="L154" s="855"/>
      <c r="M154" s="856"/>
      <c r="N154" s="856"/>
      <c r="O154" s="855"/>
    </row>
    <row r="155" spans="1:15">
      <c r="A155" s="855"/>
      <c r="B155" s="855"/>
      <c r="C155" s="855"/>
      <c r="D155" s="855"/>
      <c r="E155" s="855"/>
      <c r="F155" s="855"/>
      <c r="G155" s="855"/>
      <c r="H155" s="855"/>
      <c r="I155" s="855"/>
      <c r="J155" s="855"/>
      <c r="K155" s="855"/>
      <c r="L155" s="855"/>
      <c r="M155" s="856"/>
      <c r="N155" s="856"/>
      <c r="O155" s="855"/>
    </row>
    <row r="156" spans="1:15">
      <c r="A156" s="855"/>
      <c r="B156" s="855"/>
      <c r="C156" s="855"/>
      <c r="D156" s="855"/>
      <c r="E156" s="855"/>
      <c r="F156" s="855"/>
      <c r="G156" s="855"/>
      <c r="H156" s="855"/>
      <c r="I156" s="855"/>
      <c r="J156" s="855"/>
      <c r="K156" s="855"/>
      <c r="L156" s="855"/>
      <c r="M156" s="856"/>
      <c r="N156" s="856"/>
      <c r="O156" s="855"/>
    </row>
    <row r="157" spans="1:15">
      <c r="A157" s="855"/>
      <c r="B157" s="855"/>
      <c r="C157" s="855"/>
      <c r="D157" s="855"/>
      <c r="E157" s="855"/>
      <c r="F157" s="855"/>
      <c r="G157" s="855"/>
      <c r="H157" s="855"/>
      <c r="I157" s="855"/>
      <c r="J157" s="855"/>
      <c r="K157" s="855"/>
      <c r="L157" s="855"/>
      <c r="M157" s="856"/>
      <c r="N157" s="856"/>
      <c r="O157" s="855"/>
    </row>
    <row r="158" spans="1:15">
      <c r="A158" s="855"/>
      <c r="B158" s="855"/>
      <c r="C158" s="855"/>
      <c r="D158" s="855"/>
      <c r="E158" s="855"/>
      <c r="F158" s="855"/>
      <c r="G158" s="855"/>
      <c r="H158" s="855"/>
      <c r="I158" s="855"/>
      <c r="J158" s="855"/>
      <c r="K158" s="855"/>
      <c r="L158" s="855"/>
      <c r="M158" s="856"/>
      <c r="N158" s="856"/>
      <c r="O158" s="855"/>
    </row>
  </sheetData>
  <mergeCells count="3">
    <mergeCell ref="Q16:R16"/>
    <mergeCell ref="L17:L18"/>
    <mergeCell ref="D92:E92"/>
  </mergeCells>
  <dataValidations disablePrompts="1" count="2">
    <dataValidation type="list" allowBlank="1" showInputMessage="1" showErrorMessage="1" sqref="C101" xr:uid="{00000000-0002-0000-0100-000000000000}">
      <formula1>"N,Y"</formula1>
    </dataValidation>
    <dataValidation type="list" allowBlank="1" showInputMessage="1" showErrorMessage="1" sqref="B92" xr:uid="{00000000-0002-0000-0100-000001000000}">
      <formula1>"9% - Competitive Rehab or Adaptive Reuse, 9% - New Construction, 4% - New Construction or Rehab Only, 4% - Acquisition/Rehabilitation"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70C0"/>
    <pageSetUpPr fitToPage="1"/>
  </sheetPr>
  <dimension ref="B2:AJ144"/>
  <sheetViews>
    <sheetView topLeftCell="A28" zoomScaleNormal="100" workbookViewId="0">
      <selection activeCell="H60" sqref="H60"/>
    </sheetView>
  </sheetViews>
  <sheetFormatPr defaultColWidth="7.875" defaultRowHeight="12.75"/>
  <cols>
    <col min="1" max="1" width="7.875" style="530" customWidth="1"/>
    <col min="2" max="2" width="1.375" style="530" customWidth="1"/>
    <col min="3" max="3" width="9.625" style="530" customWidth="1"/>
    <col min="4" max="4" width="11.5" style="530" customWidth="1"/>
    <col min="5" max="5" width="14" style="530" bestFit="1" customWidth="1"/>
    <col min="6" max="6" width="9.625" style="530" customWidth="1"/>
    <col min="7" max="7" width="11.5" style="530" customWidth="1"/>
    <col min="8" max="8" width="14.125" style="530" customWidth="1"/>
    <col min="9" max="9" width="1.375" style="530" customWidth="1"/>
    <col min="10" max="10" width="3.125" style="530" customWidth="1"/>
    <col min="11" max="11" width="1.375" style="530" customWidth="1"/>
    <col min="12" max="12" width="7.875" style="530" customWidth="1"/>
    <col min="13" max="13" width="9.625" style="530" customWidth="1"/>
    <col min="14" max="15" width="8.75" style="530" customWidth="1"/>
    <col min="16" max="16" width="7.875" style="530" customWidth="1"/>
    <col min="17" max="17" width="12.375" style="530" customWidth="1"/>
    <col min="18" max="18" width="1.375" style="530" customWidth="1"/>
    <col min="19" max="19" width="3.125" style="530" customWidth="1"/>
    <col min="20" max="20" width="1.375" style="530" customWidth="1"/>
    <col min="21" max="21" width="7.875" style="530" customWidth="1"/>
    <col min="22" max="22" width="8.75" style="530" customWidth="1"/>
    <col min="23" max="25" width="7.875" style="530" customWidth="1"/>
    <col min="26" max="26" width="8.75" style="530" customWidth="1"/>
    <col min="27" max="27" width="1.375" style="530" customWidth="1"/>
    <col min="28" max="28" width="3.125" style="530" customWidth="1"/>
    <col min="29" max="29" width="1.375" style="530" customWidth="1"/>
    <col min="30" max="34" width="7.875" style="530"/>
    <col min="35" max="35" width="9.625" style="530" customWidth="1"/>
    <col min="36" max="36" width="1.375" style="530" customWidth="1"/>
    <col min="37" max="16384" width="7.875" style="530"/>
  </cols>
  <sheetData>
    <row r="2" spans="2:36" ht="6" customHeight="1">
      <c r="B2" s="525"/>
      <c r="C2" s="526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8"/>
      <c r="AB2" s="529"/>
    </row>
    <row r="3" spans="2:36" ht="15.75">
      <c r="B3" s="531"/>
      <c r="C3" s="532"/>
      <c r="D3" s="529"/>
      <c r="E3" s="529"/>
      <c r="F3" s="529"/>
      <c r="G3" s="529"/>
      <c r="H3" s="529"/>
      <c r="I3" s="529"/>
      <c r="J3" s="529"/>
      <c r="K3" s="529"/>
      <c r="L3" s="529"/>
      <c r="M3" s="529"/>
      <c r="N3" s="529"/>
      <c r="O3" s="529"/>
      <c r="P3" s="529"/>
      <c r="Q3" s="529"/>
      <c r="R3" s="529"/>
      <c r="S3" s="529"/>
      <c r="T3" s="529"/>
      <c r="U3" s="529"/>
      <c r="V3" s="529"/>
      <c r="W3" s="529"/>
      <c r="X3" s="529"/>
      <c r="Y3" s="529"/>
      <c r="Z3" s="529"/>
      <c r="AA3" s="533"/>
      <c r="AB3" s="529"/>
    </row>
    <row r="4" spans="2:36">
      <c r="B4" s="531"/>
      <c r="C4" s="534" t="s">
        <v>628</v>
      </c>
      <c r="D4" s="529"/>
      <c r="E4" s="529"/>
      <c r="F4" s="529"/>
      <c r="G4" s="529"/>
      <c r="H4" s="529"/>
      <c r="I4" s="529"/>
      <c r="J4" s="529"/>
      <c r="K4" s="529"/>
      <c r="L4" s="529"/>
      <c r="M4" s="529"/>
      <c r="N4" s="529"/>
      <c r="O4" s="529"/>
      <c r="P4" s="529"/>
      <c r="Q4" s="529"/>
      <c r="R4" s="529"/>
      <c r="S4" s="529"/>
      <c r="T4" s="529"/>
      <c r="U4" s="529"/>
      <c r="V4" s="529"/>
      <c r="W4" s="529"/>
      <c r="X4" s="529"/>
      <c r="Y4" s="529"/>
      <c r="Z4" s="529"/>
      <c r="AA4" s="533"/>
      <c r="AB4" s="529"/>
    </row>
    <row r="5" spans="2:36" ht="6" customHeight="1">
      <c r="B5" s="828"/>
      <c r="C5" s="829"/>
      <c r="D5" s="829"/>
      <c r="E5" s="829"/>
      <c r="F5" s="829"/>
      <c r="G5" s="829"/>
      <c r="H5" s="829"/>
      <c r="I5" s="829"/>
      <c r="J5" s="829"/>
      <c r="K5" s="829"/>
      <c r="L5" s="829"/>
      <c r="M5" s="829"/>
      <c r="N5" s="829"/>
      <c r="O5" s="829"/>
      <c r="P5" s="829"/>
      <c r="Q5" s="829"/>
      <c r="R5" s="829"/>
      <c r="S5" s="829"/>
      <c r="T5" s="829"/>
      <c r="U5" s="829"/>
      <c r="V5" s="829"/>
      <c r="W5" s="829"/>
      <c r="X5" s="829"/>
      <c r="Y5" s="829"/>
      <c r="Z5" s="829"/>
      <c r="AA5" s="830"/>
      <c r="AB5" s="529"/>
    </row>
    <row r="6" spans="2:36">
      <c r="K6" s="535"/>
      <c r="L6" s="535"/>
      <c r="M6" s="535"/>
      <c r="N6" s="535"/>
      <c r="O6" s="535"/>
      <c r="P6" s="535"/>
      <c r="Q6" s="535"/>
      <c r="R6" s="535"/>
      <c r="T6" s="535"/>
      <c r="U6" s="535"/>
      <c r="V6" s="535"/>
      <c r="W6" s="535"/>
      <c r="X6" s="535"/>
      <c r="Y6" s="535"/>
      <c r="Z6" s="535"/>
      <c r="AA6" s="535"/>
      <c r="AB6" s="535"/>
    </row>
    <row r="7" spans="2:36">
      <c r="B7" s="536"/>
      <c r="C7" s="537"/>
      <c r="D7" s="537"/>
      <c r="E7" s="537"/>
      <c r="F7" s="537"/>
      <c r="G7" s="537"/>
      <c r="H7" s="537"/>
      <c r="I7" s="538"/>
      <c r="K7" s="539"/>
      <c r="L7" s="540"/>
      <c r="M7" s="540"/>
      <c r="N7" s="540"/>
      <c r="O7" s="540"/>
      <c r="P7" s="540"/>
      <c r="Q7" s="540"/>
      <c r="R7" s="541"/>
      <c r="T7" s="539"/>
      <c r="U7" s="540"/>
      <c r="V7" s="540"/>
      <c r="W7" s="540"/>
      <c r="X7" s="540"/>
      <c r="Y7" s="540"/>
      <c r="Z7" s="540"/>
      <c r="AA7" s="541"/>
      <c r="AB7" s="542"/>
      <c r="AC7" s="543"/>
      <c r="AD7" s="543"/>
      <c r="AE7" s="543"/>
      <c r="AF7" s="543"/>
      <c r="AG7" s="543"/>
      <c r="AH7" s="544">
        <v>4.7500000000000001E-2</v>
      </c>
      <c r="AI7" s="543"/>
      <c r="AJ7" s="543"/>
    </row>
    <row r="8" spans="2:36">
      <c r="B8" s="545"/>
      <c r="C8" s="546" t="s">
        <v>629</v>
      </c>
      <c r="D8" s="547"/>
      <c r="E8" s="547"/>
      <c r="F8" s="547"/>
      <c r="G8" s="547"/>
      <c r="H8" s="547"/>
      <c r="I8" s="548"/>
      <c r="K8" s="549"/>
      <c r="L8" s="550"/>
      <c r="M8" s="551"/>
      <c r="N8" s="551"/>
      <c r="O8" s="551"/>
      <c r="P8" s="551"/>
      <c r="Q8" s="551"/>
      <c r="R8" s="552"/>
      <c r="T8" s="549"/>
      <c r="U8" s="550"/>
      <c r="V8" s="551"/>
      <c r="W8" s="551"/>
      <c r="X8" s="551"/>
      <c r="Y8" s="551"/>
      <c r="Z8" s="551"/>
      <c r="AA8" s="552"/>
      <c r="AB8" s="542"/>
      <c r="AC8" s="543"/>
      <c r="AD8" s="553"/>
      <c r="AE8" s="543"/>
      <c r="AF8" s="543"/>
      <c r="AG8" s="543"/>
      <c r="AH8" s="554">
        <v>420</v>
      </c>
      <c r="AI8" s="543"/>
      <c r="AJ8" s="543"/>
    </row>
    <row r="9" spans="2:36">
      <c r="B9" s="831"/>
      <c r="C9" s="832"/>
      <c r="D9" s="832"/>
      <c r="E9" s="832"/>
      <c r="F9" s="832"/>
      <c r="G9" s="832"/>
      <c r="H9" s="832"/>
      <c r="I9" s="833"/>
      <c r="K9" s="834"/>
      <c r="L9" s="835"/>
      <c r="M9" s="835"/>
      <c r="N9" s="835"/>
      <c r="O9" s="835"/>
      <c r="P9" s="835"/>
      <c r="Q9" s="835"/>
      <c r="R9" s="836"/>
      <c r="T9" s="834"/>
      <c r="U9" s="835"/>
      <c r="V9" s="835"/>
      <c r="W9" s="835"/>
      <c r="X9" s="835"/>
      <c r="Y9" s="835"/>
      <c r="Z9" s="835"/>
      <c r="AA9" s="836"/>
      <c r="AB9" s="542"/>
      <c r="AC9" s="543"/>
      <c r="AD9" s="543"/>
      <c r="AE9" s="543"/>
      <c r="AF9" s="543"/>
      <c r="AG9" s="543"/>
      <c r="AH9" s="555">
        <v>1.2</v>
      </c>
      <c r="AI9" s="543"/>
      <c r="AJ9" s="543"/>
    </row>
    <row r="10" spans="2:36">
      <c r="B10" s="556"/>
      <c r="I10" s="557"/>
      <c r="K10" s="558"/>
      <c r="L10" s="542"/>
      <c r="M10" s="542"/>
      <c r="N10" s="542"/>
      <c r="O10" s="542"/>
      <c r="P10" s="542"/>
      <c r="Q10" s="542"/>
      <c r="R10" s="559"/>
      <c r="T10" s="558"/>
      <c r="U10" s="542"/>
      <c r="V10" s="542"/>
      <c r="W10" s="542"/>
      <c r="X10" s="542"/>
      <c r="Y10" s="542"/>
      <c r="Z10" s="542"/>
      <c r="AA10" s="559"/>
      <c r="AB10" s="542"/>
    </row>
    <row r="11" spans="2:36">
      <c r="B11" s="556"/>
      <c r="C11" s="560" t="s">
        <v>630</v>
      </c>
      <c r="H11" s="561">
        <f>'Cash Flow'!E21/Data!C26</f>
        <v>4908090.7239028849</v>
      </c>
      <c r="I11" s="557"/>
      <c r="K11" s="558"/>
      <c r="L11" s="560"/>
      <c r="M11" s="542"/>
      <c r="N11" s="542"/>
      <c r="O11" s="542"/>
      <c r="P11" s="542"/>
      <c r="Q11" s="561"/>
      <c r="R11" s="559"/>
      <c r="T11" s="558"/>
      <c r="U11" s="560"/>
      <c r="V11" s="542"/>
      <c r="W11" s="542"/>
      <c r="X11" s="542"/>
      <c r="Y11" s="542"/>
      <c r="Z11" s="562"/>
      <c r="AA11" s="559"/>
      <c r="AB11" s="542"/>
      <c r="AI11" s="563">
        <v>1030818.1661650968</v>
      </c>
    </row>
    <row r="12" spans="2:36">
      <c r="B12" s="556"/>
      <c r="C12" s="560" t="s">
        <v>631</v>
      </c>
      <c r="H12" s="561">
        <f>IF(PV(Data!C24/12,Data!C29*12,-(H11/12))&lt;0,0,PV(Data!C24/12,Data!C29*12,-(H11/12)))</f>
        <v>70700902.797364295</v>
      </c>
      <c r="I12" s="557"/>
      <c r="K12" s="558"/>
      <c r="L12" s="560"/>
      <c r="M12" s="542"/>
      <c r="N12" s="542"/>
      <c r="O12" s="542"/>
      <c r="P12" s="542"/>
      <c r="Q12" s="561"/>
      <c r="R12" s="559"/>
      <c r="T12" s="558"/>
      <c r="U12" s="560"/>
      <c r="V12" s="542"/>
      <c r="W12" s="542"/>
      <c r="X12" s="542"/>
      <c r="Y12" s="542"/>
      <c r="Z12" s="561"/>
      <c r="AA12" s="559"/>
      <c r="AB12" s="542"/>
      <c r="AI12" s="564">
        <f>IF(PV(AH7/12,AH8,-(AI11/12))&lt;0,0,PV(AH7/12,AH8,-(AI11/12)))</f>
        <v>17571919.533477988</v>
      </c>
    </row>
    <row r="13" spans="2:36">
      <c r="B13" s="556"/>
      <c r="H13" s="561"/>
      <c r="I13" s="557"/>
      <c r="K13" s="558"/>
      <c r="L13" s="542"/>
      <c r="M13" s="542"/>
      <c r="N13" s="542"/>
      <c r="O13" s="542"/>
      <c r="P13" s="542"/>
      <c r="Q13" s="565"/>
      <c r="R13" s="559"/>
      <c r="T13" s="558"/>
      <c r="U13" s="542"/>
      <c r="V13" s="542"/>
      <c r="W13" s="542"/>
      <c r="X13" s="542"/>
      <c r="Y13" s="542"/>
      <c r="Z13" s="566"/>
      <c r="AA13" s="559"/>
      <c r="AB13" s="542"/>
    </row>
    <row r="14" spans="2:36">
      <c r="B14" s="556"/>
      <c r="C14" s="560" t="s">
        <v>632</v>
      </c>
      <c r="H14" s="566">
        <f>IF(H12=0,0,ROUND(H12-50,-2))</f>
        <v>70700900</v>
      </c>
      <c r="I14" s="557"/>
      <c r="K14" s="558"/>
      <c r="L14" s="560"/>
      <c r="M14" s="542"/>
      <c r="N14" s="542"/>
      <c r="O14" s="542"/>
      <c r="P14" s="542"/>
      <c r="Q14" s="566"/>
      <c r="R14" s="567"/>
      <c r="T14" s="558"/>
      <c r="U14" s="560"/>
      <c r="V14" s="542"/>
      <c r="W14" s="542"/>
      <c r="X14" s="542"/>
      <c r="Y14" s="542"/>
      <c r="Z14" s="566"/>
      <c r="AA14" s="567"/>
      <c r="AB14" s="568"/>
      <c r="AI14" s="561">
        <f>H30</f>
        <v>21619994.702915113</v>
      </c>
    </row>
    <row r="15" spans="2:36">
      <c r="B15" s="556"/>
      <c r="C15" s="560" t="s">
        <v>633</v>
      </c>
      <c r="H15" s="561">
        <f>12*PMT(Data!C24/12,Data!C29*12,-'Debt Calc'!H14)</f>
        <v>4908090.5297084861</v>
      </c>
      <c r="I15" s="557"/>
      <c r="K15" s="558"/>
      <c r="L15" s="560"/>
      <c r="M15" s="542"/>
      <c r="N15" s="542"/>
      <c r="O15" s="542"/>
      <c r="P15" s="542"/>
      <c r="Q15" s="561"/>
      <c r="R15" s="559"/>
      <c r="T15" s="558"/>
      <c r="U15" s="560"/>
      <c r="V15" s="542"/>
      <c r="W15" s="542"/>
      <c r="X15" s="542"/>
      <c r="Y15" s="542"/>
      <c r="Z15" s="561"/>
      <c r="AA15" s="559"/>
      <c r="AB15" s="542"/>
    </row>
    <row r="16" spans="2:36">
      <c r="B16" s="556"/>
      <c r="C16" s="560"/>
      <c r="H16" s="561"/>
      <c r="I16" s="557"/>
      <c r="K16" s="558"/>
      <c r="L16" s="560"/>
      <c r="M16" s="542"/>
      <c r="N16" s="542"/>
      <c r="O16" s="542"/>
      <c r="P16" s="542"/>
      <c r="Q16" s="566"/>
      <c r="R16" s="559"/>
      <c r="T16" s="558"/>
      <c r="U16" s="560"/>
      <c r="V16" s="542"/>
      <c r="W16" s="542"/>
      <c r="X16" s="542"/>
      <c r="Y16" s="542"/>
      <c r="Z16" s="566"/>
      <c r="AA16" s="559"/>
      <c r="AB16" s="542"/>
      <c r="AI16" s="564">
        <f>AI12-AI14</f>
        <v>-4048075.1694371253</v>
      </c>
    </row>
    <row r="17" spans="2:35">
      <c r="B17" s="556"/>
      <c r="F17" s="561"/>
      <c r="I17" s="557"/>
      <c r="K17" s="558"/>
      <c r="L17" s="542"/>
      <c r="M17" s="542"/>
      <c r="N17" s="542"/>
      <c r="O17" s="542"/>
      <c r="P17" s="542"/>
      <c r="Q17" s="542"/>
      <c r="R17" s="559"/>
      <c r="T17" s="558"/>
      <c r="U17" s="542"/>
      <c r="V17" s="542"/>
      <c r="W17" s="542"/>
      <c r="X17" s="542"/>
      <c r="Y17" s="542"/>
      <c r="Z17" s="542"/>
      <c r="AA17" s="559"/>
      <c r="AB17" s="542"/>
      <c r="AI17" s="561">
        <v>0</v>
      </c>
    </row>
    <row r="18" spans="2:35">
      <c r="B18" s="556"/>
      <c r="C18" s="569"/>
      <c r="D18" s="569" t="s">
        <v>634</v>
      </c>
      <c r="E18" s="569" t="s">
        <v>37</v>
      </c>
      <c r="F18" s="569"/>
      <c r="G18" s="569"/>
      <c r="H18" s="569" t="s">
        <v>635</v>
      </c>
      <c r="I18" s="557"/>
      <c r="K18" s="558"/>
      <c r="L18" s="570"/>
      <c r="M18" s="570"/>
      <c r="N18" s="570"/>
      <c r="O18" s="570"/>
      <c r="P18" s="570"/>
      <c r="Q18" s="570"/>
      <c r="R18" s="559"/>
      <c r="T18" s="558"/>
      <c r="U18" s="570"/>
      <c r="V18" s="570"/>
      <c r="W18" s="570"/>
      <c r="X18" s="570"/>
      <c r="Y18" s="570"/>
      <c r="Z18" s="570"/>
      <c r="AA18" s="559"/>
      <c r="AB18" s="542"/>
    </row>
    <row r="19" spans="2:35">
      <c r="B19" s="556"/>
      <c r="C19" s="569" t="s">
        <v>636</v>
      </c>
      <c r="D19" s="569" t="s">
        <v>637</v>
      </c>
      <c r="E19" s="569" t="s">
        <v>440</v>
      </c>
      <c r="F19" s="569" t="s">
        <v>638</v>
      </c>
      <c r="G19" s="569" t="s">
        <v>639</v>
      </c>
      <c r="H19" s="569" t="s">
        <v>637</v>
      </c>
      <c r="I19" s="557"/>
      <c r="K19" s="558"/>
      <c r="L19" s="570"/>
      <c r="M19" s="570"/>
      <c r="N19" s="570"/>
      <c r="O19" s="570"/>
      <c r="P19" s="570"/>
      <c r="Q19" s="570"/>
      <c r="R19" s="559"/>
      <c r="T19" s="558"/>
      <c r="U19" s="570"/>
      <c r="V19" s="570"/>
      <c r="W19" s="570"/>
      <c r="X19" s="570"/>
      <c r="Y19" s="570"/>
      <c r="Z19" s="570"/>
      <c r="AA19" s="559"/>
      <c r="AB19" s="542"/>
      <c r="AI19" s="564">
        <f>SUM(AI16:AI17)</f>
        <v>-4048075.1694371253</v>
      </c>
    </row>
    <row r="20" spans="2:35">
      <c r="B20" s="556"/>
      <c r="C20" s="569">
        <v>0</v>
      </c>
      <c r="D20" s="561">
        <f>H13</f>
        <v>0</v>
      </c>
      <c r="E20" s="569"/>
      <c r="F20" s="569"/>
      <c r="G20" s="569"/>
      <c r="H20" s="569"/>
      <c r="I20" s="557"/>
      <c r="K20" s="558"/>
      <c r="L20" s="570"/>
      <c r="M20" s="570"/>
      <c r="N20" s="570"/>
      <c r="O20" s="570"/>
      <c r="P20" s="570"/>
      <c r="Q20" s="570"/>
      <c r="R20" s="559"/>
      <c r="T20" s="558"/>
      <c r="U20" s="570"/>
      <c r="V20" s="570"/>
      <c r="W20" s="570"/>
      <c r="X20" s="570"/>
      <c r="Y20" s="570"/>
      <c r="Z20" s="570"/>
      <c r="AA20" s="559"/>
      <c r="AB20" s="542"/>
      <c r="AI20" s="564"/>
    </row>
    <row r="21" spans="2:35">
      <c r="B21" s="556"/>
      <c r="C21" s="542">
        <v>1</v>
      </c>
      <c r="D21" s="561">
        <f>H14</f>
        <v>70700900</v>
      </c>
      <c r="E21" s="561">
        <f>$H$15</f>
        <v>4908090.5297084861</v>
      </c>
      <c r="F21" s="561">
        <f>E21-G21</f>
        <v>0</v>
      </c>
      <c r="G21" s="561">
        <f>D21-H21</f>
        <v>4908090.5297084898</v>
      </c>
      <c r="H21" s="561">
        <f>D21-E21</f>
        <v>65792809.47029151</v>
      </c>
      <c r="I21" s="557"/>
      <c r="K21" s="558"/>
      <c r="L21" s="542"/>
      <c r="M21" s="566"/>
      <c r="N21" s="566"/>
      <c r="O21" s="566"/>
      <c r="P21" s="566"/>
      <c r="Q21" s="561"/>
      <c r="R21" s="559"/>
      <c r="T21" s="558"/>
      <c r="U21" s="542"/>
      <c r="V21" s="566"/>
      <c r="W21" s="566"/>
      <c r="X21" s="566"/>
      <c r="Y21" s="566"/>
      <c r="Z21" s="561"/>
      <c r="AA21" s="559"/>
      <c r="AB21" s="542"/>
    </row>
    <row r="22" spans="2:35">
      <c r="B22" s="556"/>
      <c r="C22" s="542">
        <f t="shared" ref="C22:C50" si="0">C21+1</f>
        <v>2</v>
      </c>
      <c r="D22" s="561">
        <f>H21</f>
        <v>65792809.47029151</v>
      </c>
      <c r="E22" s="561">
        <f t="shared" ref="E22:E50" si="1">$H$15</f>
        <v>4908090.5297084861</v>
      </c>
      <c r="F22" s="561">
        <f t="shared" ref="F22:F50" si="2">E22-G22</f>
        <v>0</v>
      </c>
      <c r="G22" s="561">
        <f t="shared" ref="G22:G50" si="3">D22-H22</f>
        <v>4908090.5297084898</v>
      </c>
      <c r="H22" s="561">
        <f t="shared" ref="H22:H39" si="4">D22-E22</f>
        <v>60884718.94058302</v>
      </c>
      <c r="I22" s="557"/>
      <c r="K22" s="558"/>
      <c r="L22" s="542"/>
      <c r="M22" s="566"/>
      <c r="N22" s="566"/>
      <c r="O22" s="566"/>
      <c r="P22" s="566"/>
      <c r="Q22" s="561"/>
      <c r="R22" s="559"/>
      <c r="T22" s="558"/>
      <c r="U22" s="542"/>
      <c r="V22" s="566"/>
      <c r="W22" s="566"/>
      <c r="X22" s="566"/>
      <c r="Y22" s="566"/>
      <c r="Z22" s="561"/>
      <c r="AA22" s="559"/>
      <c r="AB22" s="542"/>
    </row>
    <row r="23" spans="2:35">
      <c r="B23" s="556"/>
      <c r="C23" s="542">
        <f t="shared" si="0"/>
        <v>3</v>
      </c>
      <c r="D23" s="561">
        <f t="shared" ref="D23:D50" si="5">H22</f>
        <v>60884718.94058302</v>
      </c>
      <c r="E23" s="561">
        <f t="shared" si="1"/>
        <v>4908090.5297084861</v>
      </c>
      <c r="F23" s="561">
        <f t="shared" si="2"/>
        <v>0</v>
      </c>
      <c r="G23" s="561">
        <f t="shared" si="3"/>
        <v>4908090.5297084898</v>
      </c>
      <c r="H23" s="561">
        <f t="shared" si="4"/>
        <v>55976628.410874531</v>
      </c>
      <c r="I23" s="557"/>
      <c r="K23" s="558"/>
      <c r="L23" s="542"/>
      <c r="M23" s="566"/>
      <c r="N23" s="566"/>
      <c r="O23" s="566"/>
      <c r="P23" s="566"/>
      <c r="Q23" s="561"/>
      <c r="R23" s="559"/>
      <c r="T23" s="558"/>
      <c r="U23" s="542"/>
      <c r="V23" s="566"/>
      <c r="W23" s="566"/>
      <c r="X23" s="566"/>
      <c r="Y23" s="566"/>
      <c r="Z23" s="561"/>
      <c r="AA23" s="559"/>
      <c r="AB23" s="542"/>
    </row>
    <row r="24" spans="2:35">
      <c r="B24" s="556"/>
      <c r="C24" s="542">
        <f t="shared" si="0"/>
        <v>4</v>
      </c>
      <c r="D24" s="561">
        <f t="shared" si="5"/>
        <v>55976628.410874531</v>
      </c>
      <c r="E24" s="561">
        <f t="shared" si="1"/>
        <v>4908090.5297084861</v>
      </c>
      <c r="F24" s="561">
        <f t="shared" si="2"/>
        <v>0</v>
      </c>
      <c r="G24" s="561">
        <f t="shared" si="3"/>
        <v>4908090.5297084898</v>
      </c>
      <c r="H24" s="561">
        <f t="shared" si="4"/>
        <v>51068537.881166041</v>
      </c>
      <c r="I24" s="557"/>
      <c r="K24" s="558"/>
      <c r="L24" s="542"/>
      <c r="M24" s="566"/>
      <c r="N24" s="566"/>
      <c r="O24" s="566"/>
      <c r="P24" s="566"/>
      <c r="Q24" s="561"/>
      <c r="R24" s="559"/>
      <c r="T24" s="558"/>
      <c r="U24" s="542"/>
      <c r="V24" s="566"/>
      <c r="W24" s="566"/>
      <c r="X24" s="566"/>
      <c r="Y24" s="566"/>
      <c r="Z24" s="561"/>
      <c r="AA24" s="559"/>
      <c r="AB24" s="542"/>
    </row>
    <row r="25" spans="2:35">
      <c r="B25" s="556"/>
      <c r="C25" s="542">
        <f t="shared" si="0"/>
        <v>5</v>
      </c>
      <c r="D25" s="561">
        <f t="shared" si="5"/>
        <v>51068537.881166041</v>
      </c>
      <c r="E25" s="561">
        <f t="shared" si="1"/>
        <v>4908090.5297084861</v>
      </c>
      <c r="F25" s="561">
        <f t="shared" si="2"/>
        <v>0</v>
      </c>
      <c r="G25" s="561">
        <f t="shared" si="3"/>
        <v>4908090.5297084898</v>
      </c>
      <c r="H25" s="561">
        <f t="shared" si="4"/>
        <v>46160447.351457551</v>
      </c>
      <c r="I25" s="557"/>
      <c r="K25" s="558"/>
      <c r="L25" s="542"/>
      <c r="M25" s="566"/>
      <c r="N25" s="566"/>
      <c r="O25" s="566"/>
      <c r="P25" s="566"/>
      <c r="Q25" s="561"/>
      <c r="R25" s="559"/>
      <c r="T25" s="558"/>
      <c r="U25" s="542"/>
      <c r="V25" s="566"/>
      <c r="W25" s="566"/>
      <c r="X25" s="566"/>
      <c r="Y25" s="566"/>
      <c r="Z25" s="561"/>
      <c r="AA25" s="559"/>
      <c r="AB25" s="542"/>
    </row>
    <row r="26" spans="2:35">
      <c r="B26" s="556"/>
      <c r="C26" s="542">
        <f t="shared" si="0"/>
        <v>6</v>
      </c>
      <c r="D26" s="561">
        <f t="shared" si="5"/>
        <v>46160447.351457551</v>
      </c>
      <c r="E26" s="561">
        <f t="shared" si="1"/>
        <v>4908090.5297084861</v>
      </c>
      <c r="F26" s="561">
        <f t="shared" si="2"/>
        <v>0</v>
      </c>
      <c r="G26" s="561">
        <f t="shared" si="3"/>
        <v>4908090.5297084898</v>
      </c>
      <c r="H26" s="561">
        <f t="shared" si="4"/>
        <v>41252356.821749061</v>
      </c>
      <c r="I26" s="557"/>
      <c r="K26" s="558"/>
      <c r="L26" s="542"/>
      <c r="M26" s="566"/>
      <c r="N26" s="566"/>
      <c r="O26" s="566"/>
      <c r="P26" s="566"/>
      <c r="Q26" s="561"/>
      <c r="R26" s="559"/>
      <c r="T26" s="558"/>
      <c r="U26" s="542"/>
      <c r="V26" s="566"/>
      <c r="W26" s="566"/>
      <c r="X26" s="566"/>
      <c r="Y26" s="566"/>
      <c r="Z26" s="561"/>
      <c r="AA26" s="559"/>
      <c r="AB26" s="542"/>
    </row>
    <row r="27" spans="2:35">
      <c r="B27" s="556"/>
      <c r="C27" s="542">
        <f t="shared" si="0"/>
        <v>7</v>
      </c>
      <c r="D27" s="561">
        <f t="shared" si="5"/>
        <v>41252356.821749061</v>
      </c>
      <c r="E27" s="561">
        <f t="shared" si="1"/>
        <v>4908090.5297084861</v>
      </c>
      <c r="F27" s="561">
        <f t="shared" si="2"/>
        <v>0</v>
      </c>
      <c r="G27" s="561">
        <f t="shared" si="3"/>
        <v>4908090.5297084898</v>
      </c>
      <c r="H27" s="561">
        <f t="shared" si="4"/>
        <v>36344266.292040572</v>
      </c>
      <c r="I27" s="557"/>
      <c r="K27" s="558"/>
      <c r="L27" s="542"/>
      <c r="M27" s="566"/>
      <c r="N27" s="566"/>
      <c r="O27" s="566"/>
      <c r="P27" s="566"/>
      <c r="Q27" s="561"/>
      <c r="R27" s="559"/>
      <c r="T27" s="558"/>
      <c r="U27" s="542"/>
      <c r="V27" s="566"/>
      <c r="W27" s="566"/>
      <c r="X27" s="566"/>
      <c r="Y27" s="566"/>
      <c r="Z27" s="561"/>
      <c r="AA27" s="559"/>
      <c r="AB27" s="542"/>
    </row>
    <row r="28" spans="2:35">
      <c r="B28" s="556"/>
      <c r="C28" s="542">
        <f t="shared" si="0"/>
        <v>8</v>
      </c>
      <c r="D28" s="561">
        <f t="shared" si="5"/>
        <v>36344266.292040572</v>
      </c>
      <c r="E28" s="561">
        <f t="shared" si="1"/>
        <v>4908090.5297084861</v>
      </c>
      <c r="F28" s="561">
        <f t="shared" si="2"/>
        <v>0</v>
      </c>
      <c r="G28" s="561">
        <f t="shared" si="3"/>
        <v>4908090.5297084861</v>
      </c>
      <c r="H28" s="561">
        <f t="shared" si="4"/>
        <v>31436175.762332086</v>
      </c>
      <c r="I28" s="557"/>
      <c r="K28" s="558"/>
      <c r="L28" s="542"/>
      <c r="M28" s="566"/>
      <c r="N28" s="566"/>
      <c r="O28" s="566"/>
      <c r="P28" s="566"/>
      <c r="Q28" s="561"/>
      <c r="R28" s="559"/>
      <c r="T28" s="558"/>
      <c r="U28" s="542"/>
      <c r="V28" s="566"/>
      <c r="W28" s="566"/>
      <c r="X28" s="566"/>
      <c r="Y28" s="566"/>
      <c r="Z28" s="561"/>
      <c r="AA28" s="559"/>
      <c r="AB28" s="542"/>
    </row>
    <row r="29" spans="2:35">
      <c r="B29" s="556"/>
      <c r="C29" s="542">
        <f t="shared" si="0"/>
        <v>9</v>
      </c>
      <c r="D29" s="561">
        <f t="shared" si="5"/>
        <v>31436175.762332086</v>
      </c>
      <c r="E29" s="561">
        <f t="shared" si="1"/>
        <v>4908090.5297084861</v>
      </c>
      <c r="F29" s="561">
        <f t="shared" si="2"/>
        <v>0</v>
      </c>
      <c r="G29" s="561">
        <f t="shared" si="3"/>
        <v>4908090.5297084861</v>
      </c>
      <c r="H29" s="561">
        <f t="shared" si="4"/>
        <v>26528085.232623599</v>
      </c>
      <c r="I29" s="557"/>
      <c r="K29" s="558"/>
      <c r="L29" s="542"/>
      <c r="M29" s="566"/>
      <c r="N29" s="566"/>
      <c r="O29" s="566"/>
      <c r="P29" s="566"/>
      <c r="Q29" s="561"/>
      <c r="R29" s="559"/>
      <c r="T29" s="558"/>
      <c r="U29" s="542"/>
      <c r="V29" s="566"/>
      <c r="W29" s="566"/>
      <c r="X29" s="566"/>
      <c r="Y29" s="566"/>
      <c r="Z29" s="561"/>
      <c r="AA29" s="559"/>
      <c r="AB29" s="542"/>
    </row>
    <row r="30" spans="2:35">
      <c r="B30" s="556"/>
      <c r="C30" s="542">
        <f t="shared" si="0"/>
        <v>10</v>
      </c>
      <c r="D30" s="561">
        <f t="shared" si="5"/>
        <v>26528085.232623599</v>
      </c>
      <c r="E30" s="561">
        <f t="shared" si="1"/>
        <v>4908090.5297084861</v>
      </c>
      <c r="F30" s="561">
        <f t="shared" si="2"/>
        <v>0</v>
      </c>
      <c r="G30" s="561">
        <f t="shared" si="3"/>
        <v>4908090.5297084861</v>
      </c>
      <c r="H30" s="561">
        <f>D30-E30</f>
        <v>21619994.702915113</v>
      </c>
      <c r="I30" s="557"/>
      <c r="K30" s="558"/>
      <c r="L30" s="542"/>
      <c r="M30" s="566"/>
      <c r="N30" s="566"/>
      <c r="O30" s="566"/>
      <c r="P30" s="566"/>
      <c r="Q30" s="561"/>
      <c r="R30" s="559"/>
      <c r="T30" s="558"/>
      <c r="U30" s="542"/>
      <c r="V30" s="566"/>
      <c r="W30" s="566"/>
      <c r="X30" s="566"/>
      <c r="Y30" s="566"/>
      <c r="Z30" s="561"/>
      <c r="AA30" s="559"/>
      <c r="AB30" s="542"/>
    </row>
    <row r="31" spans="2:35">
      <c r="B31" s="556"/>
      <c r="C31" s="542">
        <f t="shared" si="0"/>
        <v>11</v>
      </c>
      <c r="D31" s="561">
        <f t="shared" si="5"/>
        <v>21619994.702915113</v>
      </c>
      <c r="E31" s="561">
        <f t="shared" si="1"/>
        <v>4908090.5297084861</v>
      </c>
      <c r="F31" s="561">
        <f t="shared" si="2"/>
        <v>0</v>
      </c>
      <c r="G31" s="561">
        <f t="shared" si="3"/>
        <v>4908090.5297084861</v>
      </c>
      <c r="H31" s="561">
        <f t="shared" si="4"/>
        <v>16711904.173206627</v>
      </c>
      <c r="I31" s="557"/>
      <c r="K31" s="558"/>
      <c r="L31" s="542"/>
      <c r="M31" s="566"/>
      <c r="N31" s="566"/>
      <c r="O31" s="566"/>
      <c r="P31" s="566"/>
      <c r="Q31" s="561"/>
      <c r="R31" s="559"/>
      <c r="T31" s="558"/>
      <c r="U31" s="542"/>
      <c r="V31" s="566"/>
      <c r="W31" s="566"/>
      <c r="X31" s="566"/>
      <c r="Y31" s="566"/>
      <c r="Z31" s="561"/>
      <c r="AA31" s="559"/>
      <c r="AB31" s="542"/>
    </row>
    <row r="32" spans="2:35">
      <c r="B32" s="556"/>
      <c r="C32" s="542">
        <f t="shared" si="0"/>
        <v>12</v>
      </c>
      <c r="D32" s="561">
        <f t="shared" si="5"/>
        <v>16711904.173206627</v>
      </c>
      <c r="E32" s="561">
        <f t="shared" si="1"/>
        <v>4908090.5297084861</v>
      </c>
      <c r="F32" s="561">
        <f t="shared" si="2"/>
        <v>0</v>
      </c>
      <c r="G32" s="561">
        <f t="shared" si="3"/>
        <v>4908090.5297084861</v>
      </c>
      <c r="H32" s="561">
        <f t="shared" si="4"/>
        <v>11803813.643498141</v>
      </c>
      <c r="I32" s="557"/>
      <c r="K32" s="558"/>
      <c r="L32" s="542"/>
      <c r="M32" s="566"/>
      <c r="N32" s="566"/>
      <c r="O32" s="566"/>
      <c r="P32" s="566"/>
      <c r="Q32" s="561"/>
      <c r="R32" s="559"/>
      <c r="T32" s="558"/>
      <c r="U32" s="542"/>
      <c r="V32" s="566"/>
      <c r="W32" s="566"/>
      <c r="X32" s="566"/>
      <c r="Y32" s="566"/>
      <c r="Z32" s="561"/>
      <c r="AA32" s="559"/>
      <c r="AB32" s="542"/>
    </row>
    <row r="33" spans="2:28">
      <c r="B33" s="556"/>
      <c r="C33" s="542">
        <f t="shared" si="0"/>
        <v>13</v>
      </c>
      <c r="D33" s="561">
        <f t="shared" si="5"/>
        <v>11803813.643498141</v>
      </c>
      <c r="E33" s="561">
        <f t="shared" si="1"/>
        <v>4908090.5297084861</v>
      </c>
      <c r="F33" s="561">
        <f t="shared" si="2"/>
        <v>0</v>
      </c>
      <c r="G33" s="561">
        <f t="shared" si="3"/>
        <v>4908090.5297084861</v>
      </c>
      <c r="H33" s="561">
        <f t="shared" si="4"/>
        <v>6895723.1137896553</v>
      </c>
      <c r="I33" s="557"/>
      <c r="K33" s="558"/>
      <c r="L33" s="542"/>
      <c r="M33" s="566"/>
      <c r="N33" s="566"/>
      <c r="O33" s="566"/>
      <c r="P33" s="566"/>
      <c r="Q33" s="561"/>
      <c r="R33" s="559"/>
      <c r="T33" s="558"/>
      <c r="U33" s="542"/>
      <c r="V33" s="566"/>
      <c r="W33" s="566"/>
      <c r="X33" s="566"/>
      <c r="Y33" s="566"/>
      <c r="Z33" s="561"/>
      <c r="AA33" s="559"/>
      <c r="AB33" s="542"/>
    </row>
    <row r="34" spans="2:28">
      <c r="B34" s="556"/>
      <c r="C34" s="542">
        <f t="shared" si="0"/>
        <v>14</v>
      </c>
      <c r="D34" s="561">
        <f t="shared" si="5"/>
        <v>6895723.1137896553</v>
      </c>
      <c r="E34" s="561">
        <f t="shared" si="1"/>
        <v>4908090.5297084861</v>
      </c>
      <c r="F34" s="561">
        <f t="shared" si="2"/>
        <v>0</v>
      </c>
      <c r="G34" s="561">
        <f t="shared" si="3"/>
        <v>4908090.5297084861</v>
      </c>
      <c r="H34" s="561">
        <f t="shared" si="4"/>
        <v>1987632.5840811692</v>
      </c>
      <c r="I34" s="557"/>
      <c r="K34" s="558"/>
      <c r="L34" s="542"/>
      <c r="M34" s="566"/>
      <c r="N34" s="566"/>
      <c r="O34" s="566"/>
      <c r="P34" s="566"/>
      <c r="Q34" s="561"/>
      <c r="R34" s="559"/>
      <c r="T34" s="558"/>
      <c r="U34" s="542"/>
      <c r="V34" s="566"/>
      <c r="W34" s="566"/>
      <c r="X34" s="566"/>
      <c r="Y34" s="566"/>
      <c r="Z34" s="561"/>
      <c r="AA34" s="559"/>
      <c r="AB34" s="542"/>
    </row>
    <row r="35" spans="2:28">
      <c r="B35" s="556"/>
      <c r="C35" s="542">
        <f t="shared" si="0"/>
        <v>15</v>
      </c>
      <c r="D35" s="561">
        <f t="shared" si="5"/>
        <v>1987632.5840811692</v>
      </c>
      <c r="E35" s="561">
        <f t="shared" si="1"/>
        <v>4908090.5297084861</v>
      </c>
      <c r="F35" s="561">
        <f t="shared" si="2"/>
        <v>0</v>
      </c>
      <c r="G35" s="561">
        <f t="shared" si="3"/>
        <v>4908090.5297084861</v>
      </c>
      <c r="H35" s="561">
        <f t="shared" si="4"/>
        <v>-2920457.9456273168</v>
      </c>
      <c r="I35" s="557"/>
      <c r="K35" s="571"/>
      <c r="L35" s="542"/>
      <c r="M35" s="566"/>
      <c r="N35" s="566"/>
      <c r="O35" s="566"/>
      <c r="P35" s="566"/>
      <c r="Q35" s="561"/>
      <c r="R35" s="559"/>
      <c r="T35" s="571"/>
      <c r="U35" s="542"/>
      <c r="V35" s="566"/>
      <c r="W35" s="566"/>
      <c r="X35" s="566"/>
      <c r="Y35" s="566"/>
      <c r="Z35" s="561"/>
      <c r="AA35" s="559"/>
      <c r="AB35" s="542"/>
    </row>
    <row r="36" spans="2:28">
      <c r="B36" s="556"/>
      <c r="C36" s="542">
        <f t="shared" si="0"/>
        <v>16</v>
      </c>
      <c r="D36" s="561">
        <f t="shared" si="5"/>
        <v>-2920457.9456273168</v>
      </c>
      <c r="E36" s="561">
        <f t="shared" si="1"/>
        <v>4908090.5297084861</v>
      </c>
      <c r="F36" s="561">
        <f t="shared" si="2"/>
        <v>0</v>
      </c>
      <c r="G36" s="561">
        <f t="shared" si="3"/>
        <v>4908090.5297084861</v>
      </c>
      <c r="H36" s="561">
        <f t="shared" si="4"/>
        <v>-7828548.4753358029</v>
      </c>
      <c r="I36" s="557"/>
      <c r="K36" s="571"/>
      <c r="L36" s="542"/>
      <c r="M36" s="566"/>
      <c r="N36" s="566"/>
      <c r="O36" s="566"/>
      <c r="P36" s="566"/>
      <c r="Q36" s="561"/>
      <c r="R36" s="559"/>
      <c r="T36" s="571"/>
      <c r="U36" s="542"/>
      <c r="V36" s="566"/>
      <c r="W36" s="566"/>
      <c r="X36" s="566"/>
      <c r="Y36" s="566"/>
      <c r="Z36" s="561"/>
      <c r="AA36" s="559"/>
      <c r="AB36" s="542"/>
    </row>
    <row r="37" spans="2:28">
      <c r="B37" s="556"/>
      <c r="C37" s="542">
        <f t="shared" si="0"/>
        <v>17</v>
      </c>
      <c r="D37" s="561">
        <f t="shared" si="5"/>
        <v>-7828548.4753358029</v>
      </c>
      <c r="E37" s="561">
        <f t="shared" si="1"/>
        <v>4908090.5297084861</v>
      </c>
      <c r="F37" s="561">
        <f t="shared" si="2"/>
        <v>0</v>
      </c>
      <c r="G37" s="561">
        <f t="shared" si="3"/>
        <v>4908090.5297084861</v>
      </c>
      <c r="H37" s="561">
        <f t="shared" si="4"/>
        <v>-12736639.005044289</v>
      </c>
      <c r="I37" s="557"/>
      <c r="K37" s="571"/>
      <c r="L37" s="542"/>
      <c r="M37" s="566"/>
      <c r="N37" s="566"/>
      <c r="O37" s="566"/>
      <c r="P37" s="566"/>
      <c r="Q37" s="561"/>
      <c r="R37" s="559"/>
      <c r="T37" s="571"/>
      <c r="U37" s="542"/>
      <c r="V37" s="566"/>
      <c r="W37" s="566"/>
      <c r="X37" s="566"/>
      <c r="Y37" s="566"/>
      <c r="Z37" s="561"/>
      <c r="AA37" s="559"/>
      <c r="AB37" s="542"/>
    </row>
    <row r="38" spans="2:28">
      <c r="B38" s="556"/>
      <c r="C38" s="542">
        <f t="shared" si="0"/>
        <v>18</v>
      </c>
      <c r="D38" s="561">
        <f t="shared" si="5"/>
        <v>-12736639.005044289</v>
      </c>
      <c r="E38" s="561">
        <f t="shared" si="1"/>
        <v>4908090.5297084861</v>
      </c>
      <c r="F38" s="561">
        <f t="shared" si="2"/>
        <v>0</v>
      </c>
      <c r="G38" s="561">
        <f t="shared" si="3"/>
        <v>4908090.5297084861</v>
      </c>
      <c r="H38" s="561">
        <f>D38-E38</f>
        <v>-17644729.534752775</v>
      </c>
      <c r="I38" s="557"/>
      <c r="K38" s="571"/>
      <c r="L38" s="542"/>
      <c r="M38" s="566"/>
      <c r="N38" s="566"/>
      <c r="O38" s="566"/>
      <c r="P38" s="566"/>
      <c r="Q38" s="561"/>
      <c r="R38" s="559"/>
      <c r="T38" s="571"/>
      <c r="U38" s="542"/>
      <c r="V38" s="566"/>
      <c r="W38" s="566"/>
      <c r="X38" s="566"/>
      <c r="Y38" s="566"/>
      <c r="Z38" s="561"/>
      <c r="AA38" s="559"/>
      <c r="AB38" s="542"/>
    </row>
    <row r="39" spans="2:28">
      <c r="B39" s="556"/>
      <c r="C39" s="542">
        <f t="shared" si="0"/>
        <v>19</v>
      </c>
      <c r="D39" s="561">
        <f t="shared" si="5"/>
        <v>-17644729.534752775</v>
      </c>
      <c r="E39" s="561">
        <f t="shared" si="1"/>
        <v>4908090.5297084861</v>
      </c>
      <c r="F39" s="561">
        <f t="shared" si="2"/>
        <v>0</v>
      </c>
      <c r="G39" s="561">
        <f t="shared" si="3"/>
        <v>4908090.5297084861</v>
      </c>
      <c r="H39" s="561">
        <f t="shared" si="4"/>
        <v>-22552820.064461261</v>
      </c>
      <c r="I39" s="557"/>
      <c r="K39" s="571"/>
      <c r="L39" s="542"/>
      <c r="M39" s="566"/>
      <c r="N39" s="566"/>
      <c r="O39" s="566"/>
      <c r="P39" s="566"/>
      <c r="Q39" s="561"/>
      <c r="R39" s="559"/>
      <c r="T39" s="571"/>
      <c r="U39" s="542"/>
      <c r="V39" s="566"/>
      <c r="W39" s="566"/>
      <c r="X39" s="566"/>
      <c r="Y39" s="566"/>
      <c r="Z39" s="561"/>
      <c r="AA39" s="559"/>
      <c r="AB39" s="542"/>
    </row>
    <row r="40" spans="2:28">
      <c r="B40" s="556"/>
      <c r="C40" s="542">
        <f t="shared" si="0"/>
        <v>20</v>
      </c>
      <c r="D40" s="561">
        <f t="shared" si="5"/>
        <v>-22552820.064461261</v>
      </c>
      <c r="E40" s="561">
        <f t="shared" si="1"/>
        <v>4908090.5297084861</v>
      </c>
      <c r="F40" s="561">
        <f t="shared" si="2"/>
        <v>27460910.594169747</v>
      </c>
      <c r="G40" s="561">
        <f t="shared" si="3"/>
        <v>-22552820.064461261</v>
      </c>
      <c r="H40" s="561"/>
      <c r="I40" s="557"/>
      <c r="K40" s="571"/>
      <c r="L40" s="542"/>
      <c r="M40" s="566"/>
      <c r="N40" s="566"/>
      <c r="O40" s="566"/>
      <c r="P40" s="566"/>
      <c r="Q40" s="561"/>
      <c r="R40" s="559"/>
      <c r="T40" s="571"/>
      <c r="U40" s="542"/>
      <c r="V40" s="566"/>
      <c r="W40" s="566"/>
      <c r="X40" s="566"/>
      <c r="Y40" s="566"/>
      <c r="Z40" s="561"/>
      <c r="AA40" s="559"/>
      <c r="AB40" s="542"/>
    </row>
    <row r="41" spans="2:28">
      <c r="B41" s="556"/>
      <c r="C41" s="542">
        <f t="shared" si="0"/>
        <v>21</v>
      </c>
      <c r="D41" s="561">
        <f t="shared" si="5"/>
        <v>0</v>
      </c>
      <c r="E41" s="561">
        <f t="shared" si="1"/>
        <v>4908090.5297084861</v>
      </c>
      <c r="F41" s="561">
        <f t="shared" si="2"/>
        <v>4908090.5297084861</v>
      </c>
      <c r="G41" s="561">
        <f t="shared" si="3"/>
        <v>0</v>
      </c>
      <c r="H41" s="561"/>
      <c r="I41" s="557"/>
      <c r="K41" s="571"/>
      <c r="L41" s="542"/>
      <c r="M41" s="566"/>
      <c r="N41" s="566"/>
      <c r="O41" s="566"/>
      <c r="P41" s="566"/>
      <c r="Q41" s="561"/>
      <c r="R41" s="559"/>
      <c r="T41" s="571"/>
      <c r="U41" s="542"/>
      <c r="V41" s="566"/>
      <c r="W41" s="566"/>
      <c r="X41" s="566"/>
      <c r="Y41" s="566"/>
      <c r="Z41" s="561"/>
      <c r="AA41" s="559"/>
      <c r="AB41" s="542"/>
    </row>
    <row r="42" spans="2:28">
      <c r="B42" s="556"/>
      <c r="C42" s="542">
        <f t="shared" si="0"/>
        <v>22</v>
      </c>
      <c r="D42" s="561">
        <f t="shared" si="5"/>
        <v>0</v>
      </c>
      <c r="E42" s="561">
        <f t="shared" si="1"/>
        <v>4908090.5297084861</v>
      </c>
      <c r="F42" s="561">
        <f t="shared" si="2"/>
        <v>4908090.5297084861</v>
      </c>
      <c r="G42" s="561">
        <f t="shared" si="3"/>
        <v>0</v>
      </c>
      <c r="H42" s="561"/>
      <c r="I42" s="557"/>
      <c r="K42" s="558"/>
      <c r="L42" s="542"/>
      <c r="M42" s="566"/>
      <c r="N42" s="566"/>
      <c r="O42" s="566"/>
      <c r="P42" s="566"/>
      <c r="Q42" s="561"/>
      <c r="R42" s="559"/>
      <c r="T42" s="558"/>
      <c r="U42" s="542"/>
      <c r="V42" s="566"/>
      <c r="W42" s="566"/>
      <c r="X42" s="566"/>
      <c r="Y42" s="566"/>
      <c r="Z42" s="561"/>
      <c r="AA42" s="559"/>
      <c r="AB42" s="542"/>
    </row>
    <row r="43" spans="2:28">
      <c r="B43" s="556"/>
      <c r="C43" s="542">
        <f t="shared" si="0"/>
        <v>23</v>
      </c>
      <c r="D43" s="561">
        <f t="shared" si="5"/>
        <v>0</v>
      </c>
      <c r="E43" s="561">
        <f t="shared" si="1"/>
        <v>4908090.5297084861</v>
      </c>
      <c r="F43" s="561">
        <f t="shared" si="2"/>
        <v>4908090.5297084861</v>
      </c>
      <c r="G43" s="561">
        <f t="shared" si="3"/>
        <v>0</v>
      </c>
      <c r="H43" s="561"/>
      <c r="I43" s="557"/>
      <c r="K43" s="558"/>
      <c r="L43" s="542"/>
      <c r="M43" s="566"/>
      <c r="N43" s="566"/>
      <c r="O43" s="566"/>
      <c r="P43" s="566"/>
      <c r="Q43" s="561"/>
      <c r="R43" s="559"/>
      <c r="T43" s="558"/>
      <c r="U43" s="542"/>
      <c r="V43" s="566"/>
      <c r="W43" s="566"/>
      <c r="X43" s="566"/>
      <c r="Y43" s="566"/>
      <c r="Z43" s="561"/>
      <c r="AA43" s="559"/>
      <c r="AB43" s="542"/>
    </row>
    <row r="44" spans="2:28">
      <c r="B44" s="556"/>
      <c r="C44" s="542">
        <f t="shared" si="0"/>
        <v>24</v>
      </c>
      <c r="D44" s="561">
        <f t="shared" si="5"/>
        <v>0</v>
      </c>
      <c r="E44" s="561">
        <f t="shared" si="1"/>
        <v>4908090.5297084861</v>
      </c>
      <c r="F44" s="561">
        <f t="shared" si="2"/>
        <v>4908090.5297084861</v>
      </c>
      <c r="G44" s="561">
        <f t="shared" si="3"/>
        <v>0</v>
      </c>
      <c r="H44" s="561"/>
      <c r="I44" s="557"/>
      <c r="K44" s="558"/>
      <c r="L44" s="542"/>
      <c r="M44" s="566"/>
      <c r="N44" s="566"/>
      <c r="O44" s="566"/>
      <c r="P44" s="566"/>
      <c r="Q44" s="561"/>
      <c r="R44" s="559"/>
      <c r="T44" s="558"/>
      <c r="U44" s="542"/>
      <c r="V44" s="566"/>
      <c r="W44" s="566"/>
      <c r="X44" s="566"/>
      <c r="Y44" s="566"/>
      <c r="Z44" s="561"/>
      <c r="AA44" s="559"/>
      <c r="AB44" s="542"/>
    </row>
    <row r="45" spans="2:28">
      <c r="B45" s="556"/>
      <c r="C45" s="542">
        <f t="shared" si="0"/>
        <v>25</v>
      </c>
      <c r="D45" s="561">
        <f t="shared" si="5"/>
        <v>0</v>
      </c>
      <c r="E45" s="561">
        <f t="shared" si="1"/>
        <v>4908090.5297084861</v>
      </c>
      <c r="F45" s="561">
        <f t="shared" si="2"/>
        <v>4908090.5297084861</v>
      </c>
      <c r="G45" s="561">
        <f t="shared" si="3"/>
        <v>0</v>
      </c>
      <c r="H45" s="561"/>
      <c r="I45" s="557"/>
      <c r="K45" s="558"/>
      <c r="L45" s="542"/>
      <c r="M45" s="566"/>
      <c r="N45" s="566"/>
      <c r="O45" s="566"/>
      <c r="P45" s="566"/>
      <c r="Q45" s="561"/>
      <c r="R45" s="559"/>
      <c r="T45" s="558"/>
      <c r="U45" s="542"/>
      <c r="V45" s="566"/>
      <c r="W45" s="566"/>
      <c r="X45" s="566"/>
      <c r="Y45" s="566"/>
      <c r="Z45" s="561"/>
      <c r="AA45" s="559"/>
      <c r="AB45" s="542"/>
    </row>
    <row r="46" spans="2:28">
      <c r="B46" s="556"/>
      <c r="C46" s="542">
        <f t="shared" si="0"/>
        <v>26</v>
      </c>
      <c r="D46" s="561">
        <f t="shared" si="5"/>
        <v>0</v>
      </c>
      <c r="E46" s="561">
        <f t="shared" si="1"/>
        <v>4908090.5297084861</v>
      </c>
      <c r="F46" s="561">
        <f t="shared" si="2"/>
        <v>4908090.5297084861</v>
      </c>
      <c r="G46" s="561">
        <f t="shared" si="3"/>
        <v>0</v>
      </c>
      <c r="H46" s="561"/>
      <c r="I46" s="557"/>
      <c r="K46" s="571"/>
      <c r="L46" s="542"/>
      <c r="M46" s="566"/>
      <c r="N46" s="566"/>
      <c r="O46" s="566"/>
      <c r="P46" s="566"/>
      <c r="Q46" s="561"/>
      <c r="R46" s="572"/>
      <c r="T46" s="571"/>
      <c r="U46" s="542"/>
      <c r="V46" s="566"/>
      <c r="W46" s="566"/>
      <c r="X46" s="566"/>
      <c r="Y46" s="566"/>
      <c r="Z46" s="561"/>
      <c r="AA46" s="572"/>
      <c r="AB46" s="535"/>
    </row>
    <row r="47" spans="2:28">
      <c r="B47" s="556"/>
      <c r="C47" s="542">
        <f t="shared" si="0"/>
        <v>27</v>
      </c>
      <c r="D47" s="561">
        <f t="shared" si="5"/>
        <v>0</v>
      </c>
      <c r="E47" s="561">
        <f t="shared" si="1"/>
        <v>4908090.5297084861</v>
      </c>
      <c r="F47" s="561">
        <f t="shared" si="2"/>
        <v>4908090.5297084861</v>
      </c>
      <c r="G47" s="561">
        <f t="shared" si="3"/>
        <v>0</v>
      </c>
      <c r="H47" s="561"/>
      <c r="I47" s="557"/>
      <c r="K47" s="571"/>
      <c r="L47" s="542"/>
      <c r="M47" s="566"/>
      <c r="N47" s="566"/>
      <c r="O47" s="566"/>
      <c r="P47" s="566"/>
      <c r="Q47" s="561"/>
      <c r="R47" s="572"/>
      <c r="T47" s="571"/>
      <c r="U47" s="542"/>
      <c r="V47" s="566"/>
      <c r="W47" s="566"/>
      <c r="X47" s="566"/>
      <c r="Y47" s="566"/>
      <c r="Z47" s="561"/>
      <c r="AA47" s="572"/>
      <c r="AB47" s="535"/>
    </row>
    <row r="48" spans="2:28">
      <c r="B48" s="556"/>
      <c r="C48" s="542">
        <f t="shared" si="0"/>
        <v>28</v>
      </c>
      <c r="D48" s="561">
        <f t="shared" si="5"/>
        <v>0</v>
      </c>
      <c r="E48" s="561">
        <f t="shared" si="1"/>
        <v>4908090.5297084861</v>
      </c>
      <c r="F48" s="561">
        <f t="shared" si="2"/>
        <v>4908090.5297084861</v>
      </c>
      <c r="G48" s="561">
        <f t="shared" si="3"/>
        <v>0</v>
      </c>
      <c r="H48" s="561"/>
      <c r="I48" s="557"/>
      <c r="K48" s="571"/>
      <c r="L48" s="542"/>
      <c r="M48" s="566"/>
      <c r="N48" s="566"/>
      <c r="O48" s="566"/>
      <c r="P48" s="566"/>
      <c r="Q48" s="561"/>
      <c r="R48" s="572"/>
      <c r="T48" s="571"/>
      <c r="U48" s="542"/>
      <c r="V48" s="566"/>
      <c r="W48" s="566"/>
      <c r="X48" s="566"/>
      <c r="Y48" s="566"/>
      <c r="Z48" s="561"/>
      <c r="AA48" s="572"/>
      <c r="AB48" s="535"/>
    </row>
    <row r="49" spans="2:28">
      <c r="B49" s="556"/>
      <c r="C49" s="542">
        <f t="shared" si="0"/>
        <v>29</v>
      </c>
      <c r="D49" s="561">
        <f t="shared" si="5"/>
        <v>0</v>
      </c>
      <c r="E49" s="561">
        <f t="shared" si="1"/>
        <v>4908090.5297084861</v>
      </c>
      <c r="F49" s="561">
        <f t="shared" si="2"/>
        <v>4908090.5297084861</v>
      </c>
      <c r="G49" s="561">
        <f t="shared" si="3"/>
        <v>0</v>
      </c>
      <c r="H49" s="561"/>
      <c r="I49" s="557"/>
      <c r="K49" s="571"/>
      <c r="L49" s="542"/>
      <c r="M49" s="566"/>
      <c r="N49" s="566"/>
      <c r="O49" s="566"/>
      <c r="P49" s="566"/>
      <c r="Q49" s="561"/>
      <c r="R49" s="572"/>
      <c r="T49" s="571"/>
      <c r="U49" s="542"/>
      <c r="V49" s="566"/>
      <c r="W49" s="566"/>
      <c r="X49" s="566"/>
      <c r="Y49" s="566"/>
      <c r="Z49" s="561"/>
      <c r="AA49" s="572"/>
      <c r="AB49" s="535"/>
    </row>
    <row r="50" spans="2:28">
      <c r="B50" s="556"/>
      <c r="C50" s="542">
        <f t="shared" si="0"/>
        <v>30</v>
      </c>
      <c r="D50" s="561">
        <f t="shared" si="5"/>
        <v>0</v>
      </c>
      <c r="E50" s="561">
        <f t="shared" si="1"/>
        <v>4908090.5297084861</v>
      </c>
      <c r="F50" s="561">
        <f t="shared" si="2"/>
        <v>4908090.5297084861</v>
      </c>
      <c r="G50" s="561">
        <f t="shared" si="3"/>
        <v>0</v>
      </c>
      <c r="H50" s="561"/>
      <c r="I50" s="557"/>
      <c r="K50" s="571"/>
      <c r="L50" s="542"/>
      <c r="M50" s="566"/>
      <c r="N50" s="566"/>
      <c r="O50" s="566"/>
      <c r="P50" s="566"/>
      <c r="Q50" s="561"/>
      <c r="R50" s="572"/>
      <c r="T50" s="571"/>
      <c r="U50" s="542"/>
      <c r="V50" s="566"/>
      <c r="W50" s="566"/>
      <c r="X50" s="566"/>
      <c r="Y50" s="566"/>
      <c r="Z50" s="561"/>
      <c r="AA50" s="572"/>
      <c r="AB50" s="535"/>
    </row>
    <row r="51" spans="2:28">
      <c r="B51" s="556"/>
      <c r="D51" s="561"/>
      <c r="E51" s="561"/>
      <c r="F51" s="561"/>
      <c r="G51" s="561"/>
      <c r="H51" s="561"/>
      <c r="I51" s="557"/>
      <c r="K51" s="837"/>
      <c r="L51" s="838"/>
      <c r="M51" s="839"/>
      <c r="N51" s="839"/>
      <c r="O51" s="839"/>
      <c r="P51" s="839"/>
      <c r="Q51" s="839"/>
      <c r="R51" s="840"/>
      <c r="T51" s="837"/>
      <c r="U51" s="838"/>
      <c r="V51" s="839"/>
      <c r="W51" s="839"/>
      <c r="X51" s="839"/>
      <c r="Y51" s="839"/>
      <c r="Z51" s="839"/>
      <c r="AA51" s="840"/>
      <c r="AB51" s="535"/>
    </row>
    <row r="52" spans="2:28">
      <c r="D52" s="561"/>
      <c r="E52" s="561"/>
      <c r="F52" s="561"/>
      <c r="G52" s="561"/>
      <c r="H52" s="561"/>
    </row>
    <row r="53" spans="2:28" ht="13.5" thickBot="1">
      <c r="D53" s="561"/>
      <c r="E53" s="561"/>
      <c r="F53" s="561"/>
      <c r="G53" s="561"/>
      <c r="H53" s="561"/>
    </row>
    <row r="54" spans="2:28" ht="13.5" thickBot="1">
      <c r="D54" s="1656" t="s">
        <v>1076</v>
      </c>
      <c r="E54" s="1657"/>
      <c r="F54" s="561"/>
      <c r="G54" s="1658" t="s">
        <v>1087</v>
      </c>
      <c r="H54" s="1659"/>
    </row>
    <row r="55" spans="2:28">
      <c r="D55" s="1655" t="s">
        <v>1063</v>
      </c>
      <c r="E55" s="1664">
        <f>'Cash Flow'!K15/0.05</f>
        <v>183507219.2031458</v>
      </c>
      <c r="F55" s="561"/>
      <c r="G55" s="1663" t="s">
        <v>1063</v>
      </c>
      <c r="H55" s="1667">
        <f>'Cash Flow'!N15/0.05</f>
        <v>197617203.97968763</v>
      </c>
    </row>
    <row r="56" spans="2:28">
      <c r="D56" s="1653" t="s">
        <v>1064</v>
      </c>
      <c r="E56" s="1665">
        <f>'Cash Flow'!K21/1.2</f>
        <v>5681102.3235072549</v>
      </c>
      <c r="F56" s="561"/>
      <c r="G56" s="1661" t="s">
        <v>1064</v>
      </c>
      <c r="H56" s="1668">
        <f>'Cash Flow'!N21/1.2</f>
        <v>6108486.235654247</v>
      </c>
    </row>
    <row r="57" spans="2:28">
      <c r="D57" s="1653" t="s">
        <v>1065</v>
      </c>
      <c r="E57" s="1665">
        <f>E55*0.6</f>
        <v>110104331.52188748</v>
      </c>
      <c r="F57" s="561"/>
      <c r="G57" s="1661" t="s">
        <v>1065</v>
      </c>
      <c r="H57" s="1668">
        <f>H55*0.6</f>
        <v>118570322.38781257</v>
      </c>
    </row>
    <row r="58" spans="2:28">
      <c r="D58" s="1653" t="s">
        <v>1066</v>
      </c>
      <c r="E58" s="1665">
        <f>-PV(6.5%,34,E56)</f>
        <v>77130104.480000228</v>
      </c>
      <c r="F58" s="561"/>
      <c r="G58" s="1661" t="s">
        <v>1066</v>
      </c>
      <c r="H58" s="1668">
        <f>-PV(6.5%,30,H56)</f>
        <v>79768742.027688324</v>
      </c>
    </row>
    <row r="59" spans="2:28">
      <c r="D59" s="1652" t="s">
        <v>1067</v>
      </c>
      <c r="E59" s="1665">
        <f>E58-H27</f>
        <v>40785838.187959656</v>
      </c>
      <c r="F59" s="561"/>
      <c r="G59" s="1660" t="s">
        <v>1067</v>
      </c>
      <c r="H59" s="1668">
        <f>H58-H30</f>
        <v>58148747.324773207</v>
      </c>
    </row>
    <row r="60" spans="2:28" ht="13.5" thickBot="1">
      <c r="D60" s="1654" t="s">
        <v>1068</v>
      </c>
      <c r="E60" s="1666">
        <f>E59*GapCalc!I33</f>
        <v>34667962.45976571</v>
      </c>
      <c r="F60" s="561"/>
      <c r="G60" s="1662" t="s">
        <v>1068</v>
      </c>
      <c r="H60" s="1669">
        <f>H59*GapCalc!I33</f>
        <v>49426435.226057224</v>
      </c>
    </row>
    <row r="61" spans="2:28">
      <c r="E61" s="561"/>
    </row>
    <row r="62" spans="2:28">
      <c r="C62" s="1645"/>
      <c r="E62" s="561"/>
    </row>
    <row r="64" spans="2:28">
      <c r="C64" s="1646"/>
    </row>
    <row r="67" spans="3:8">
      <c r="H67" s="1647"/>
    </row>
    <row r="68" spans="3:8">
      <c r="H68" s="1648"/>
    </row>
    <row r="70" spans="3:8">
      <c r="H70" s="564"/>
    </row>
    <row r="72" spans="3:8">
      <c r="D72" s="1649"/>
      <c r="E72" s="1649"/>
      <c r="F72" s="1649"/>
      <c r="G72" s="1649"/>
      <c r="H72" s="1649"/>
    </row>
    <row r="73" spans="3:8">
      <c r="C73" s="569"/>
      <c r="D73" s="1649"/>
      <c r="E73" s="1649"/>
      <c r="F73" s="1649"/>
      <c r="G73" s="1649"/>
      <c r="H73" s="1649"/>
    </row>
    <row r="74" spans="3:8">
      <c r="C74" s="569"/>
      <c r="D74" s="564"/>
      <c r="E74" s="564"/>
      <c r="F74" s="1650"/>
      <c r="G74" s="564"/>
      <c r="H74" s="564"/>
    </row>
    <row r="75" spans="3:8">
      <c r="C75" s="569"/>
      <c r="D75" s="564"/>
      <c r="E75" s="564"/>
      <c r="F75" s="1650"/>
      <c r="G75" s="564"/>
      <c r="H75" s="564"/>
    </row>
    <row r="76" spans="3:8">
      <c r="C76" s="569"/>
      <c r="D76" s="564"/>
      <c r="E76" s="564"/>
      <c r="F76" s="1650"/>
      <c r="G76" s="564"/>
      <c r="H76" s="564"/>
    </row>
    <row r="77" spans="3:8">
      <c r="C77" s="569"/>
      <c r="D77" s="564"/>
      <c r="E77" s="564"/>
      <c r="F77" s="1650"/>
      <c r="G77" s="564"/>
      <c r="H77" s="564"/>
    </row>
    <row r="78" spans="3:8">
      <c r="C78" s="569"/>
      <c r="D78" s="564"/>
      <c r="E78" s="564"/>
      <c r="F78" s="1650"/>
      <c r="G78" s="564"/>
      <c r="H78" s="564"/>
    </row>
    <row r="79" spans="3:8">
      <c r="C79" s="569"/>
      <c r="D79" s="564"/>
      <c r="E79" s="564"/>
      <c r="F79" s="1650"/>
      <c r="G79" s="564"/>
      <c r="H79" s="564"/>
    </row>
    <row r="80" spans="3:8">
      <c r="C80" s="569"/>
      <c r="D80" s="564"/>
      <c r="E80" s="564"/>
      <c r="F80" s="1650"/>
      <c r="G80" s="564"/>
      <c r="H80" s="564"/>
    </row>
    <row r="81" spans="3:8">
      <c r="C81" s="569"/>
      <c r="D81" s="564"/>
      <c r="E81" s="564"/>
      <c r="F81" s="1650"/>
      <c r="G81" s="564"/>
      <c r="H81" s="564"/>
    </row>
    <row r="82" spans="3:8">
      <c r="C82" s="569"/>
      <c r="D82" s="564"/>
      <c r="E82" s="564"/>
      <c r="F82" s="1650"/>
      <c r="G82" s="564"/>
      <c r="H82" s="564"/>
    </row>
    <row r="83" spans="3:8">
      <c r="C83" s="569"/>
      <c r="D83" s="564"/>
      <c r="E83" s="564"/>
      <c r="F83" s="1650"/>
      <c r="G83" s="564"/>
      <c r="H83" s="564"/>
    </row>
    <row r="84" spans="3:8">
      <c r="C84" s="569"/>
      <c r="D84" s="564"/>
      <c r="E84" s="564"/>
      <c r="F84" s="1650"/>
      <c r="G84" s="564"/>
      <c r="H84" s="564"/>
    </row>
    <row r="85" spans="3:8">
      <c r="C85" s="569"/>
      <c r="D85" s="564"/>
      <c r="E85" s="564"/>
      <c r="F85" s="1650"/>
      <c r="G85" s="564"/>
      <c r="H85" s="564"/>
    </row>
    <row r="86" spans="3:8">
      <c r="C86" s="569"/>
      <c r="D86" s="564"/>
      <c r="E86" s="564"/>
      <c r="F86" s="1650"/>
      <c r="G86" s="564"/>
      <c r="H86" s="564"/>
    </row>
    <row r="87" spans="3:8">
      <c r="C87" s="569"/>
      <c r="D87" s="564"/>
      <c r="E87" s="564"/>
      <c r="F87" s="1650"/>
      <c r="G87" s="564"/>
      <c r="H87" s="564"/>
    </row>
    <row r="88" spans="3:8">
      <c r="C88" s="569"/>
      <c r="D88" s="564"/>
      <c r="E88" s="564"/>
      <c r="F88" s="1650"/>
      <c r="G88" s="564"/>
      <c r="H88" s="564"/>
    </row>
    <row r="89" spans="3:8">
      <c r="C89" s="569"/>
      <c r="D89" s="564"/>
      <c r="E89" s="564"/>
      <c r="F89" s="1650"/>
      <c r="G89" s="564"/>
      <c r="H89" s="564"/>
    </row>
    <row r="90" spans="3:8">
      <c r="C90" s="569"/>
      <c r="D90" s="564"/>
      <c r="E90" s="564"/>
      <c r="F90" s="1650"/>
      <c r="G90" s="564"/>
      <c r="H90" s="564"/>
    </row>
    <row r="91" spans="3:8">
      <c r="C91" s="569"/>
      <c r="D91" s="564"/>
      <c r="E91" s="564"/>
      <c r="F91" s="1650"/>
      <c r="G91" s="564"/>
      <c r="H91" s="564"/>
    </row>
    <row r="92" spans="3:8">
      <c r="C92" s="569"/>
      <c r="D92" s="564"/>
      <c r="E92" s="564"/>
      <c r="F92" s="1650"/>
      <c r="G92" s="564"/>
      <c r="H92" s="564"/>
    </row>
    <row r="93" spans="3:8">
      <c r="C93" s="569"/>
      <c r="D93" s="564"/>
      <c r="E93" s="564"/>
      <c r="F93" s="1650"/>
      <c r="G93" s="564"/>
      <c r="H93" s="564"/>
    </row>
    <row r="94" spans="3:8">
      <c r="C94" s="569"/>
      <c r="D94" s="564"/>
      <c r="E94" s="564"/>
      <c r="F94" s="1650"/>
      <c r="G94" s="564"/>
      <c r="H94" s="564"/>
    </row>
    <row r="95" spans="3:8">
      <c r="C95" s="569"/>
      <c r="D95" s="564"/>
      <c r="E95" s="564"/>
      <c r="F95" s="1650"/>
      <c r="G95" s="564"/>
      <c r="H95" s="564"/>
    </row>
    <row r="96" spans="3:8">
      <c r="C96" s="569"/>
      <c r="D96" s="564"/>
      <c r="E96" s="564"/>
      <c r="F96" s="1650"/>
      <c r="G96" s="564"/>
      <c r="H96" s="564"/>
    </row>
    <row r="97" spans="3:8">
      <c r="C97" s="569"/>
      <c r="D97" s="564"/>
      <c r="E97" s="564"/>
      <c r="F97" s="1650"/>
      <c r="G97" s="564"/>
      <c r="H97" s="564"/>
    </row>
    <row r="98" spans="3:8">
      <c r="C98" s="569"/>
      <c r="D98" s="564"/>
      <c r="E98" s="564"/>
      <c r="F98" s="1650"/>
      <c r="G98" s="564"/>
      <c r="H98" s="564"/>
    </row>
    <row r="99" spans="3:8">
      <c r="C99" s="569"/>
      <c r="D99" s="564"/>
      <c r="E99" s="564"/>
      <c r="F99" s="1650"/>
      <c r="G99" s="564"/>
      <c r="H99" s="564"/>
    </row>
    <row r="100" spans="3:8">
      <c r="C100" s="569"/>
      <c r="D100" s="564"/>
      <c r="E100" s="564"/>
      <c r="F100" s="1650"/>
      <c r="G100" s="564"/>
      <c r="H100" s="564"/>
    </row>
    <row r="101" spans="3:8">
      <c r="C101" s="569"/>
      <c r="D101" s="564"/>
      <c r="E101" s="564"/>
      <c r="F101" s="1650"/>
      <c r="G101" s="564"/>
      <c r="H101" s="564"/>
    </row>
    <row r="102" spans="3:8">
      <c r="C102" s="569"/>
      <c r="D102" s="564"/>
      <c r="E102" s="564"/>
      <c r="F102" s="1650"/>
      <c r="G102" s="564"/>
      <c r="H102" s="564"/>
    </row>
    <row r="103" spans="3:8">
      <c r="C103" s="569"/>
      <c r="D103" s="564"/>
      <c r="E103" s="564"/>
      <c r="F103" s="1650"/>
      <c r="G103" s="564"/>
      <c r="H103" s="564"/>
    </row>
    <row r="104" spans="3:8">
      <c r="C104" s="569"/>
      <c r="D104" s="564"/>
      <c r="E104" s="564"/>
      <c r="F104" s="1650"/>
      <c r="G104" s="564"/>
      <c r="H104" s="564"/>
    </row>
    <row r="105" spans="3:8">
      <c r="C105" s="569"/>
      <c r="D105" s="564"/>
      <c r="E105" s="564"/>
      <c r="F105" s="1650"/>
      <c r="G105" s="564"/>
      <c r="H105" s="564"/>
    </row>
    <row r="106" spans="3:8">
      <c r="C106" s="569"/>
      <c r="D106" s="564"/>
      <c r="E106" s="564"/>
      <c r="F106" s="1650"/>
      <c r="G106" s="564"/>
      <c r="H106" s="564"/>
    </row>
    <row r="107" spans="3:8">
      <c r="C107" s="569"/>
      <c r="D107" s="564"/>
      <c r="E107" s="564"/>
      <c r="F107" s="1650"/>
      <c r="G107" s="564"/>
      <c r="H107" s="564"/>
    </row>
    <row r="108" spans="3:8">
      <c r="C108" s="569"/>
      <c r="D108" s="564"/>
      <c r="E108" s="564"/>
      <c r="F108" s="1650"/>
      <c r="G108" s="564"/>
      <c r="H108" s="564"/>
    </row>
    <row r="109" spans="3:8">
      <c r="C109" s="569"/>
      <c r="D109" s="564"/>
      <c r="E109" s="564"/>
      <c r="F109" s="1650"/>
      <c r="G109" s="564"/>
      <c r="H109" s="564"/>
    </row>
    <row r="110" spans="3:8">
      <c r="C110" s="569"/>
      <c r="D110" s="564"/>
      <c r="E110" s="564"/>
      <c r="F110" s="1650"/>
      <c r="G110" s="564"/>
      <c r="H110" s="564"/>
    </row>
    <row r="111" spans="3:8">
      <c r="C111" s="569"/>
      <c r="D111" s="564"/>
      <c r="E111" s="564"/>
      <c r="F111" s="1650"/>
      <c r="G111" s="564"/>
      <c r="H111" s="564"/>
    </row>
    <row r="112" spans="3:8">
      <c r="C112" s="569"/>
      <c r="D112" s="564"/>
      <c r="E112" s="564"/>
      <c r="F112" s="1650"/>
      <c r="G112" s="564"/>
      <c r="H112" s="564"/>
    </row>
    <row r="113" spans="3:8">
      <c r="C113" s="569"/>
      <c r="D113" s="564"/>
      <c r="E113" s="564"/>
      <c r="F113" s="1650"/>
      <c r="G113" s="564"/>
      <c r="H113" s="564"/>
    </row>
    <row r="114" spans="3:8">
      <c r="C114" s="569"/>
      <c r="D114" s="564"/>
      <c r="E114" s="564"/>
      <c r="F114" s="1650"/>
      <c r="G114" s="564"/>
      <c r="H114" s="564"/>
    </row>
    <row r="115" spans="3:8">
      <c r="C115" s="569"/>
      <c r="D115" s="564"/>
      <c r="E115" s="564"/>
      <c r="F115" s="1650"/>
      <c r="G115" s="564"/>
      <c r="H115" s="564"/>
    </row>
    <row r="116" spans="3:8">
      <c r="C116" s="569"/>
      <c r="D116" s="564"/>
      <c r="E116" s="564"/>
      <c r="F116" s="1650"/>
      <c r="G116" s="564"/>
      <c r="H116" s="564"/>
    </row>
    <row r="117" spans="3:8">
      <c r="C117" s="569"/>
      <c r="D117" s="564"/>
      <c r="E117" s="564"/>
      <c r="F117" s="1650"/>
      <c r="G117" s="564"/>
      <c r="H117" s="564"/>
    </row>
    <row r="118" spans="3:8">
      <c r="C118" s="569"/>
      <c r="D118" s="564"/>
      <c r="E118" s="564"/>
      <c r="F118" s="1650"/>
      <c r="G118" s="564"/>
      <c r="H118" s="564"/>
    </row>
    <row r="119" spans="3:8">
      <c r="C119" s="569"/>
      <c r="D119" s="564"/>
      <c r="E119" s="564"/>
      <c r="F119" s="1650"/>
      <c r="G119" s="564"/>
      <c r="H119" s="564"/>
    </row>
    <row r="120" spans="3:8">
      <c r="C120" s="569"/>
      <c r="D120" s="564"/>
      <c r="E120" s="564"/>
      <c r="F120" s="1650"/>
      <c r="G120" s="564"/>
      <c r="H120" s="564"/>
    </row>
    <row r="121" spans="3:8">
      <c r="C121" s="569"/>
      <c r="D121" s="564"/>
      <c r="E121" s="564"/>
      <c r="F121" s="1650"/>
      <c r="G121" s="564"/>
      <c r="H121" s="564"/>
    </row>
    <row r="122" spans="3:8">
      <c r="C122" s="569"/>
      <c r="D122" s="564"/>
      <c r="E122" s="564"/>
      <c r="F122" s="1650"/>
      <c r="G122" s="564"/>
      <c r="H122" s="564"/>
    </row>
    <row r="123" spans="3:8">
      <c r="C123" s="569"/>
      <c r="D123" s="564"/>
      <c r="E123" s="564"/>
      <c r="F123" s="1650"/>
      <c r="G123" s="564"/>
      <c r="H123" s="564"/>
    </row>
    <row r="124" spans="3:8">
      <c r="C124" s="569"/>
      <c r="D124" s="564"/>
      <c r="E124" s="564"/>
      <c r="F124" s="1650"/>
      <c r="G124" s="564"/>
      <c r="H124" s="564"/>
    </row>
    <row r="125" spans="3:8">
      <c r="C125" s="569"/>
      <c r="D125" s="564"/>
      <c r="E125" s="564"/>
      <c r="F125" s="1650"/>
      <c r="G125" s="564"/>
      <c r="H125" s="564"/>
    </row>
    <row r="126" spans="3:8">
      <c r="C126" s="569"/>
      <c r="D126" s="564"/>
      <c r="E126" s="564"/>
      <c r="F126" s="1650"/>
      <c r="G126" s="564"/>
      <c r="H126" s="564"/>
    </row>
    <row r="127" spans="3:8">
      <c r="C127" s="569"/>
      <c r="D127" s="564"/>
      <c r="E127" s="564"/>
      <c r="F127" s="1650"/>
      <c r="G127" s="564"/>
      <c r="H127" s="564"/>
    </row>
    <row r="128" spans="3:8">
      <c r="C128" s="569"/>
      <c r="D128" s="564"/>
      <c r="E128" s="564"/>
      <c r="F128" s="1650"/>
      <c r="G128" s="564"/>
      <c r="H128" s="564"/>
    </row>
    <row r="129" spans="3:8">
      <c r="C129" s="569"/>
      <c r="D129" s="564"/>
      <c r="E129" s="564"/>
      <c r="F129" s="1650"/>
      <c r="G129" s="564"/>
      <c r="H129" s="564"/>
    </row>
    <row r="130" spans="3:8">
      <c r="C130" s="569"/>
      <c r="D130" s="564"/>
      <c r="E130" s="564"/>
      <c r="F130" s="1650"/>
      <c r="G130" s="564"/>
      <c r="H130" s="564"/>
    </row>
    <row r="131" spans="3:8">
      <c r="C131" s="569"/>
      <c r="D131" s="564"/>
      <c r="E131" s="564"/>
      <c r="F131" s="1650"/>
      <c r="G131" s="564"/>
      <c r="H131" s="564"/>
    </row>
    <row r="132" spans="3:8">
      <c r="C132" s="569"/>
      <c r="D132" s="564"/>
      <c r="E132" s="564"/>
      <c r="F132" s="1650"/>
      <c r="G132" s="564"/>
      <c r="H132" s="564"/>
    </row>
    <row r="133" spans="3:8">
      <c r="C133" s="569"/>
      <c r="D133" s="564"/>
      <c r="E133" s="564"/>
      <c r="F133" s="1650"/>
      <c r="G133" s="564"/>
      <c r="H133" s="564"/>
    </row>
    <row r="134" spans="3:8">
      <c r="C134" s="569"/>
      <c r="D134" s="564"/>
      <c r="E134" s="564"/>
      <c r="F134" s="1650"/>
      <c r="G134" s="564"/>
      <c r="H134" s="564"/>
    </row>
    <row r="135" spans="3:8">
      <c r="C135" s="569"/>
      <c r="D135" s="564"/>
      <c r="E135" s="564"/>
      <c r="F135" s="1650"/>
      <c r="G135" s="564"/>
      <c r="H135" s="564"/>
    </row>
    <row r="136" spans="3:8">
      <c r="C136" s="569"/>
      <c r="D136" s="564"/>
      <c r="E136" s="564"/>
      <c r="F136" s="1650"/>
      <c r="G136" s="564"/>
      <c r="H136" s="564"/>
    </row>
    <row r="137" spans="3:8">
      <c r="C137" s="569"/>
      <c r="D137" s="564"/>
      <c r="E137" s="564"/>
      <c r="F137" s="1650"/>
      <c r="G137" s="564"/>
      <c r="H137" s="564"/>
    </row>
    <row r="138" spans="3:8">
      <c r="C138" s="569"/>
      <c r="D138" s="564"/>
      <c r="E138" s="564"/>
      <c r="F138" s="1650"/>
      <c r="G138" s="564"/>
      <c r="H138" s="564"/>
    </row>
    <row r="139" spans="3:8">
      <c r="C139" s="569"/>
      <c r="D139" s="564"/>
      <c r="E139" s="564"/>
      <c r="F139" s="1650"/>
      <c r="G139" s="564"/>
      <c r="H139" s="564"/>
    </row>
    <row r="140" spans="3:8">
      <c r="C140" s="1651"/>
    </row>
    <row r="141" spans="3:8">
      <c r="D141" s="564"/>
      <c r="E141" s="564"/>
      <c r="F141" s="564"/>
      <c r="G141" s="564"/>
      <c r="H141" s="564"/>
    </row>
    <row r="142" spans="3:8">
      <c r="D142" s="564"/>
      <c r="E142" s="564"/>
      <c r="F142" s="564"/>
      <c r="G142" s="564"/>
      <c r="H142" s="564"/>
    </row>
    <row r="143" spans="3:8">
      <c r="D143" s="564"/>
      <c r="E143" s="564"/>
      <c r="F143" s="564"/>
      <c r="G143" s="564"/>
      <c r="H143" s="564"/>
    </row>
    <row r="144" spans="3:8">
      <c r="E144" s="564"/>
    </row>
  </sheetData>
  <pageMargins left="0.25" right="0.25" top="0.75" bottom="0.75" header="0.3" footer="0.3"/>
  <pageSetup paperSize="5" scale="66" orientation="landscape" r:id="rId1"/>
  <headerFooter alignWithMargins="0">
    <oddFooter>&amp;L&amp;"Aparajita,Regular"&amp;8&amp;F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D2B3-E9E5-4D40-88F7-7BAF73A5D88D}">
  <dimension ref="A2:E15"/>
  <sheetViews>
    <sheetView zoomScale="98" zoomScaleNormal="98" workbookViewId="0">
      <selection activeCell="B11" sqref="B11"/>
    </sheetView>
  </sheetViews>
  <sheetFormatPr defaultRowHeight="15.75"/>
  <cols>
    <col min="1" max="1" width="20.25" customWidth="1"/>
    <col min="2" max="2" width="14.5" customWidth="1"/>
    <col min="3" max="3" width="16.375" customWidth="1"/>
    <col min="4" max="4" width="15.375" customWidth="1"/>
    <col min="5" max="5" width="10.5" bestFit="1" customWidth="1"/>
  </cols>
  <sheetData>
    <row r="2" spans="1:5">
      <c r="A2" t="s">
        <v>992</v>
      </c>
    </row>
    <row r="3" spans="1:5">
      <c r="B3" s="1401" t="s">
        <v>972</v>
      </c>
      <c r="C3" s="1415">
        <f>'Development Budget'!E18</f>
        <v>13130000</v>
      </c>
      <c r="D3" s="1402" t="s">
        <v>974</v>
      </c>
      <c r="E3" s="1413">
        <v>1.199398E-2</v>
      </c>
    </row>
    <row r="4" spans="1:5" ht="31.5">
      <c r="B4" s="1403" t="s">
        <v>973</v>
      </c>
      <c r="C4" s="1416">
        <f>SUM('Development Budget'!G31+'Development Budget'!G32)</f>
        <v>64797148.25</v>
      </c>
      <c r="D4" s="1404" t="s">
        <v>975</v>
      </c>
      <c r="E4" s="1414">
        <v>1.199398E-2</v>
      </c>
    </row>
    <row r="5" spans="1:5">
      <c r="B5" s="1315"/>
      <c r="C5" s="1315"/>
      <c r="D5" s="1315"/>
      <c r="E5" s="1315"/>
    </row>
    <row r="6" spans="1:5" ht="31.5">
      <c r="A6" s="1407"/>
      <c r="B6" s="1402" t="s">
        <v>976</v>
      </c>
      <c r="C6" s="1402" t="s">
        <v>977</v>
      </c>
      <c r="D6" s="1405" t="s">
        <v>978</v>
      </c>
      <c r="E6" s="1315"/>
    </row>
    <row r="7" spans="1:5">
      <c r="A7" s="1408"/>
      <c r="B7" s="1417">
        <f>C3*E3</f>
        <v>157480.95739999998</v>
      </c>
      <c r="C7" s="1417">
        <f>C4*E4</f>
        <v>777175.70016753499</v>
      </c>
      <c r="D7" s="1409">
        <f>(1-'Rental Income'!O19)</f>
        <v>0.80198019801980203</v>
      </c>
    </row>
    <row r="8" spans="1:5">
      <c r="A8" s="1410" t="s">
        <v>979</v>
      </c>
      <c r="B8" s="1417">
        <f>B7*D7</f>
        <v>126296.6094</v>
      </c>
      <c r="C8" s="1417">
        <f>C7*D7</f>
        <v>623279.52191653801</v>
      </c>
      <c r="D8" s="1411"/>
    </row>
    <row r="9" spans="1:5">
      <c r="A9" s="1408"/>
      <c r="B9" s="1417"/>
      <c r="C9" s="1417"/>
      <c r="D9" s="1411"/>
    </row>
    <row r="10" spans="1:5">
      <c r="A10" s="1412" t="s">
        <v>980</v>
      </c>
      <c r="B10" s="1418">
        <f>SUM(B8:C8)</f>
        <v>749576.13131653797</v>
      </c>
      <c r="C10" s="1418"/>
      <c r="D10" s="1406"/>
    </row>
    <row r="12" spans="1:5">
      <c r="A12" t="s">
        <v>989</v>
      </c>
    </row>
    <row r="13" spans="1:5">
      <c r="A13" t="s">
        <v>990</v>
      </c>
      <c r="B13">
        <v>6</v>
      </c>
      <c r="C13" s="1425">
        <f>C3*(E3/12)*B13</f>
        <v>78740.478700000007</v>
      </c>
    </row>
    <row r="14" spans="1:5">
      <c r="A14" t="s">
        <v>991</v>
      </c>
      <c r="B14">
        <v>24</v>
      </c>
      <c r="C14" s="1425">
        <f>C3*(E3/12)*B14</f>
        <v>314961.91480000003</v>
      </c>
    </row>
    <row r="15" spans="1:5">
      <c r="A15" s="40" t="s">
        <v>993</v>
      </c>
      <c r="C15" s="1428">
        <f>SUM(C13+C14)</f>
        <v>393702.39350000001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Y75"/>
  <sheetViews>
    <sheetView topLeftCell="S32" zoomScaleNormal="100" workbookViewId="0">
      <selection activeCell="Y57" sqref="Y57"/>
    </sheetView>
  </sheetViews>
  <sheetFormatPr defaultRowHeight="15.75"/>
  <cols>
    <col min="1" max="1" width="3.5" style="40" customWidth="1"/>
    <col min="2" max="2" width="9" customWidth="1"/>
    <col min="3" max="3" width="30.625" customWidth="1"/>
    <col min="4" max="4" width="19.375" style="48" customWidth="1"/>
    <col min="5" max="5" width="11.75" style="48" customWidth="1"/>
    <col min="8" max="8" width="10.375" bestFit="1" customWidth="1"/>
    <col min="9" max="9" width="8.625" customWidth="1"/>
    <col min="11" max="11" width="10.375" bestFit="1" customWidth="1"/>
    <col min="14" max="14" width="13.75" customWidth="1"/>
    <col min="18" max="18" width="65.875" customWidth="1"/>
    <col min="19" max="19" width="19.875" customWidth="1"/>
    <col min="22" max="22" width="22.875" customWidth="1"/>
    <col min="23" max="23" width="34.875" customWidth="1"/>
    <col min="24" max="24" width="11.875" customWidth="1"/>
    <col min="25" max="25" width="11.125" bestFit="1" customWidth="1"/>
  </cols>
  <sheetData>
    <row r="1" spans="1:5" ht="31.5">
      <c r="A1" s="41" t="str">
        <f>GapCalc!A1</f>
        <v>Generic Template Non-LIHTC</v>
      </c>
    </row>
    <row r="2" spans="1:5" ht="31.5">
      <c r="A2" s="41" t="s">
        <v>155</v>
      </c>
    </row>
    <row r="4" spans="1:5">
      <c r="A4" t="str">
        <f>GapCalc!A4</f>
        <v>Project Name:</v>
      </c>
      <c r="C4" t="str">
        <f>GapCalc!C4</f>
        <v>Generic Template Non-LIHTC</v>
      </c>
    </row>
    <row r="5" spans="1:5">
      <c r="A5" t="str">
        <f>GapCalc!A5</f>
        <v>Housing Type:</v>
      </c>
      <c r="C5" t="str">
        <f>GapCalc!C5</f>
        <v>Family, General Affordable</v>
      </c>
    </row>
    <row r="6" spans="1:5">
      <c r="A6" t="str">
        <f>GapCalc!A6</f>
        <v>Address:</v>
      </c>
      <c r="C6" t="str">
        <f>GapCalc!C6</f>
        <v>1010 S Kenmore Ave
Los Angeles, CA 90006</v>
      </c>
    </row>
    <row r="7" spans="1:5">
      <c r="A7" t="str">
        <f>GapCalc!A7</f>
        <v>County:</v>
      </c>
      <c r="C7" t="str">
        <f>GapCalc!C7</f>
        <v>Los Angeles</v>
      </c>
    </row>
    <row r="8" spans="1:5">
      <c r="A8" t="str">
        <f>GapCalc!A8</f>
        <v>Sponsor:</v>
      </c>
      <c r="C8" t="str">
        <f>GapCalc!C8</f>
        <v>Abode Communities</v>
      </c>
    </row>
    <row r="10" spans="1:5">
      <c r="B10" t="s">
        <v>10</v>
      </c>
      <c r="D10" s="48">
        <f>GapCalc!D11</f>
        <v>202</v>
      </c>
    </row>
    <row r="12" spans="1:5">
      <c r="A12" s="334"/>
    </row>
    <row r="14" spans="1:5">
      <c r="A14" s="46"/>
      <c r="B14" s="47"/>
      <c r="C14" s="47"/>
      <c r="D14" s="49" t="s">
        <v>156</v>
      </c>
      <c r="E14" s="49" t="s">
        <v>157</v>
      </c>
    </row>
    <row r="15" spans="1:5">
      <c r="A15" s="40" t="s">
        <v>158</v>
      </c>
    </row>
    <row r="16" spans="1:5">
      <c r="B16" t="s">
        <v>159</v>
      </c>
      <c r="D16" s="48">
        <f>'Rental Income'!E18*12</f>
        <v>8322720</v>
      </c>
    </row>
    <row r="17" spans="1:25">
      <c r="B17" t="s">
        <v>160</v>
      </c>
      <c r="D17" s="48">
        <v>5580</v>
      </c>
      <c r="Q17" t="s">
        <v>161</v>
      </c>
      <c r="V17" s="799" t="s">
        <v>162</v>
      </c>
      <c r="W17" s="800"/>
      <c r="X17" s="800"/>
      <c r="Y17" s="800"/>
    </row>
    <row r="18" spans="1:25">
      <c r="A18" s="42"/>
      <c r="B18" s="43" t="s">
        <v>163</v>
      </c>
      <c r="C18" s="43"/>
      <c r="D18" s="50">
        <f>SUM(D16:D17)*-F18</f>
        <v>-416415</v>
      </c>
      <c r="E18" s="50"/>
      <c r="F18" s="55">
        <v>0.05</v>
      </c>
    </row>
    <row r="19" spans="1:25">
      <c r="A19" s="40" t="s">
        <v>164</v>
      </c>
      <c r="D19" s="57">
        <f>SUM(D15:D18)</f>
        <v>7911885</v>
      </c>
      <c r="E19" s="48">
        <f>SUM(E15:E18)</f>
        <v>0</v>
      </c>
      <c r="Q19" s="607" t="s">
        <v>165</v>
      </c>
      <c r="R19" s="608"/>
      <c r="S19" s="609"/>
      <c r="T19" s="610" t="s">
        <v>166</v>
      </c>
      <c r="V19" s="40" t="str">
        <f>Q19</f>
        <v>RESIDENTIAL EXPENSES</v>
      </c>
      <c r="W19" t="str">
        <f>IF(R19="","",R19)</f>
        <v/>
      </c>
      <c r="X19" s="40" t="s">
        <v>37</v>
      </c>
      <c r="Y19" s="40" t="s">
        <v>166</v>
      </c>
    </row>
    <row r="20" spans="1:25">
      <c r="Q20" s="616"/>
      <c r="R20" s="617" t="s">
        <v>167</v>
      </c>
      <c r="S20" s="618">
        <v>3000</v>
      </c>
      <c r="T20" s="619">
        <v>30</v>
      </c>
      <c r="W20" t="str">
        <f t="shared" ref="W20:W67" si="0">IF(R20="","",R20)</f>
        <v>Advertising</v>
      </c>
      <c r="X20" s="147">
        <f>Y20*$D$10</f>
        <v>1515</v>
      </c>
      <c r="Y20" s="688">
        <f>T20/4</f>
        <v>7.5</v>
      </c>
    </row>
    <row r="21" spans="1:25">
      <c r="A21" s="40" t="s">
        <v>168</v>
      </c>
      <c r="Q21" s="568"/>
      <c r="R21" s="623" t="s">
        <v>169</v>
      </c>
      <c r="S21" s="618"/>
      <c r="T21" s="619">
        <v>0</v>
      </c>
      <c r="W21" t="str">
        <f t="shared" si="0"/>
        <v>Office Salaries</v>
      </c>
      <c r="X21" s="147">
        <f>Y21*$D$10</f>
        <v>0</v>
      </c>
      <c r="Y21" s="688">
        <f>T21/4</f>
        <v>0</v>
      </c>
    </row>
    <row r="22" spans="1:25">
      <c r="B22" t="s">
        <v>170</v>
      </c>
      <c r="D22" s="48">
        <f>(E22*$D$10+30)/2</f>
        <v>105358</v>
      </c>
      <c r="E22" s="48">
        <v>1043</v>
      </c>
      <c r="F22" s="453" t="s">
        <v>171</v>
      </c>
      <c r="N22" s="428">
        <f>D22*0.8</f>
        <v>84286.400000000009</v>
      </c>
      <c r="Q22" s="568"/>
      <c r="R22" s="623" t="s">
        <v>172</v>
      </c>
      <c r="S22" s="618">
        <f>65*12*99</f>
        <v>77220</v>
      </c>
      <c r="T22" s="619">
        <v>772.2</v>
      </c>
      <c r="W22" t="str">
        <f t="shared" si="0"/>
        <v>Management Fee</v>
      </c>
      <c r="X22" s="147">
        <f>Y22*$D$10</f>
        <v>31196.880000000001</v>
      </c>
      <c r="Y22" s="688">
        <f>T22/5</f>
        <v>154.44</v>
      </c>
    </row>
    <row r="23" spans="1:25">
      <c r="B23" t="s">
        <v>173</v>
      </c>
      <c r="D23" s="48">
        <f>(E23*$D$10-20)/2</f>
        <v>134724</v>
      </c>
      <c r="E23" s="48">
        <v>1334</v>
      </c>
      <c r="F23" s="453" t="s">
        <v>174</v>
      </c>
      <c r="Q23" s="568"/>
      <c r="R23" s="623" t="s">
        <v>175</v>
      </c>
      <c r="S23" s="618">
        <v>118000</v>
      </c>
      <c r="T23" s="619">
        <v>1180</v>
      </c>
      <c r="W23" t="str">
        <f t="shared" si="0"/>
        <v>On Site Manager</v>
      </c>
      <c r="X23" s="147">
        <f>S23/4</f>
        <v>29500</v>
      </c>
      <c r="Y23" s="688">
        <f>T23/5</f>
        <v>236</v>
      </c>
    </row>
    <row r="24" spans="1:25">
      <c r="B24" t="s">
        <v>176</v>
      </c>
      <c r="D24" s="48">
        <f>E24*$D$10+30</f>
        <v>18816</v>
      </c>
      <c r="E24" s="48">
        <v>93</v>
      </c>
      <c r="F24" s="453" t="s">
        <v>177</v>
      </c>
      <c r="Q24" s="568"/>
      <c r="R24" s="623" t="s">
        <v>178</v>
      </c>
      <c r="S24" s="618"/>
      <c r="T24" s="619">
        <v>0</v>
      </c>
      <c r="W24" t="str">
        <f t="shared" si="0"/>
        <v>Office expenses</v>
      </c>
      <c r="X24" s="147">
        <f>Y24*$D$10</f>
        <v>0</v>
      </c>
      <c r="Y24" s="688">
        <f>T24/5</f>
        <v>0</v>
      </c>
    </row>
    <row r="25" spans="1:25">
      <c r="A25" s="42"/>
      <c r="B25" s="43" t="s">
        <v>179</v>
      </c>
      <c r="C25" s="43"/>
      <c r="D25" s="50">
        <f>(0.32*SUM(D22:D24)+18000)</f>
        <v>100847.36</v>
      </c>
      <c r="E25" s="50">
        <v>790</v>
      </c>
      <c r="F25" s="453" t="s">
        <v>180</v>
      </c>
      <c r="Q25" s="568"/>
      <c r="R25" s="623" t="s">
        <v>181</v>
      </c>
      <c r="S25" s="618">
        <v>3000</v>
      </c>
      <c r="T25" s="619">
        <v>30</v>
      </c>
      <c r="W25" t="str">
        <f t="shared" si="0"/>
        <v>Legal Expense</v>
      </c>
      <c r="X25" s="147">
        <f>Y25*$D$10</f>
        <v>1212</v>
      </c>
      <c r="Y25" s="688">
        <f>T25/5</f>
        <v>6</v>
      </c>
    </row>
    <row r="26" spans="1:25">
      <c r="A26" s="40" t="s">
        <v>182</v>
      </c>
      <c r="D26" s="51">
        <f>SUM(D22:D25)</f>
        <v>359745.36</v>
      </c>
      <c r="E26" s="51">
        <f>SUM(E22:E25)</f>
        <v>3260</v>
      </c>
      <c r="Q26" s="568"/>
      <c r="R26" s="623" t="s">
        <v>183</v>
      </c>
      <c r="S26" s="618">
        <v>12500</v>
      </c>
      <c r="T26" s="619">
        <v>125</v>
      </c>
      <c r="W26" t="str">
        <f t="shared" si="0"/>
        <v>Audit Expense</v>
      </c>
      <c r="X26" s="459">
        <v>10000</v>
      </c>
      <c r="Y26" s="688"/>
    </row>
    <row r="27" spans="1:25">
      <c r="D27" s="51"/>
      <c r="E27" s="51"/>
      <c r="Q27" s="568"/>
      <c r="R27" s="623" t="s">
        <v>184</v>
      </c>
      <c r="S27" s="618">
        <v>4000</v>
      </c>
      <c r="T27" s="619">
        <v>40</v>
      </c>
      <c r="W27" t="str">
        <f t="shared" si="0"/>
        <v>Book keeping/Accounting</v>
      </c>
      <c r="X27" s="459">
        <v>3000</v>
      </c>
      <c r="Y27" s="688"/>
    </row>
    <row r="28" spans="1:25">
      <c r="A28" s="40" t="s">
        <v>185</v>
      </c>
      <c r="Q28" s="568"/>
      <c r="R28" s="623" t="s">
        <v>186</v>
      </c>
      <c r="S28" s="618"/>
      <c r="T28" s="619">
        <v>0</v>
      </c>
      <c r="W28" t="str">
        <f t="shared" si="0"/>
        <v>Communication</v>
      </c>
    </row>
    <row r="29" spans="1:25">
      <c r="B29" t="s">
        <v>187</v>
      </c>
      <c r="D29" s="48">
        <f>E29*$D$10</f>
        <v>37572</v>
      </c>
      <c r="E29" s="48">
        <v>186</v>
      </c>
      <c r="Q29" s="568"/>
      <c r="R29" s="623" t="s">
        <v>188</v>
      </c>
      <c r="S29" s="618">
        <f>25.47%*(S23+S41+S43)</f>
        <v>55779.299999999996</v>
      </c>
      <c r="T29" s="619">
        <v>557.79300000000001</v>
      </c>
      <c r="W29" t="str">
        <f t="shared" si="0"/>
        <v>Workers Comp Insurance</v>
      </c>
      <c r="X29" s="618">
        <f>25.47%*(X23+X41+X43)</f>
        <v>11801.1</v>
      </c>
    </row>
    <row r="30" spans="1:25">
      <c r="B30" t="s">
        <v>189</v>
      </c>
      <c r="D30" s="48">
        <f>E30*$D$10</f>
        <v>20200</v>
      </c>
      <c r="E30" s="48">
        <v>100</v>
      </c>
      <c r="Q30" s="628"/>
      <c r="R30" s="629" t="s">
        <v>190</v>
      </c>
      <c r="S30" s="630">
        <v>50000</v>
      </c>
      <c r="T30" s="619">
        <v>500</v>
      </c>
      <c r="W30" t="str">
        <f t="shared" si="0"/>
        <v>Misc Admin Expenses</v>
      </c>
      <c r="X30" s="147">
        <f>Y30*$D$10</f>
        <v>80800</v>
      </c>
      <c r="Y30">
        <v>400</v>
      </c>
    </row>
    <row r="31" spans="1:25">
      <c r="B31" t="s">
        <v>191</v>
      </c>
      <c r="D31" s="48">
        <f>E31*$D$10</f>
        <v>33128</v>
      </c>
      <c r="E31" s="48">
        <v>164</v>
      </c>
      <c r="Q31" s="634"/>
      <c r="R31" s="635" t="s">
        <v>192</v>
      </c>
      <c r="S31" s="636">
        <f>SUM(S19:S30)</f>
        <v>323499.3</v>
      </c>
      <c r="T31" s="619">
        <v>3234.9929999999999</v>
      </c>
      <c r="W31" s="40" t="str">
        <f t="shared" si="0"/>
        <v>Sub-total</v>
      </c>
      <c r="X31" s="452">
        <f>SUM(X20:X30)</f>
        <v>169024.98</v>
      </c>
    </row>
    <row r="32" spans="1:25">
      <c r="A32" s="42"/>
      <c r="B32" s="43" t="s">
        <v>193</v>
      </c>
      <c r="C32" s="43"/>
      <c r="D32" s="50">
        <f>E32*$D$10</f>
        <v>6060</v>
      </c>
      <c r="E32" s="50">
        <v>30</v>
      </c>
      <c r="Q32" s="607" t="s">
        <v>194</v>
      </c>
      <c r="R32" s="608"/>
      <c r="S32" s="642"/>
      <c r="T32" s="612"/>
      <c r="V32" t="str">
        <f>Q32</f>
        <v>UTILITIES</v>
      </c>
      <c r="W32" t="str">
        <f t="shared" si="0"/>
        <v/>
      </c>
    </row>
    <row r="33" spans="1:25">
      <c r="A33" s="40" t="s">
        <v>195</v>
      </c>
      <c r="D33" s="48">
        <f>SUM(D29:D32)</f>
        <v>96960</v>
      </c>
      <c r="E33" s="48">
        <f>SUM(E29:E32)</f>
        <v>480</v>
      </c>
      <c r="Q33" s="568"/>
      <c r="R33" s="623" t="s">
        <v>196</v>
      </c>
      <c r="S33" s="618">
        <v>27000</v>
      </c>
      <c r="T33" s="619">
        <v>270</v>
      </c>
      <c r="W33" t="str">
        <f t="shared" si="0"/>
        <v>Trash Removal</v>
      </c>
      <c r="X33" s="147">
        <f>Y33*$D$10</f>
        <v>9090</v>
      </c>
      <c r="Y33" s="688">
        <f>T33/6</f>
        <v>45</v>
      </c>
    </row>
    <row r="34" spans="1:25">
      <c r="Q34" s="568"/>
      <c r="R34" s="623" t="s">
        <v>197</v>
      </c>
      <c r="S34" s="618">
        <v>70000</v>
      </c>
      <c r="T34" s="619">
        <v>700</v>
      </c>
      <c r="W34" t="str">
        <f t="shared" si="0"/>
        <v>Electricity</v>
      </c>
      <c r="X34" s="147">
        <f>Y34*$D$10</f>
        <v>23566.666666666668</v>
      </c>
      <c r="Y34" s="688">
        <f>T34/6</f>
        <v>116.66666666666667</v>
      </c>
    </row>
    <row r="35" spans="1:25">
      <c r="A35" s="40" t="s">
        <v>198</v>
      </c>
      <c r="Q35" s="568"/>
      <c r="R35" s="623" t="s">
        <v>199</v>
      </c>
      <c r="S35" s="618">
        <v>0</v>
      </c>
      <c r="T35" s="619">
        <v>0</v>
      </c>
      <c r="W35" t="str">
        <f t="shared" si="0"/>
        <v>Gas</v>
      </c>
      <c r="Y35" s="688">
        <f>T35/6</f>
        <v>0</v>
      </c>
    </row>
    <row r="36" spans="1:25">
      <c r="B36" t="s">
        <v>197</v>
      </c>
      <c r="D36" s="48">
        <f>E36*$D$10</f>
        <v>107060</v>
      </c>
      <c r="E36" s="48">
        <f>285+245</f>
        <v>530</v>
      </c>
      <c r="Q36" s="568"/>
      <c r="R36" s="623" t="s">
        <v>200</v>
      </c>
      <c r="S36" s="618">
        <v>27000</v>
      </c>
      <c r="T36" s="619">
        <v>270</v>
      </c>
      <c r="W36" t="str">
        <f t="shared" si="0"/>
        <v>Sewer</v>
      </c>
      <c r="X36" s="147">
        <f>Y36*$D$10</f>
        <v>9090</v>
      </c>
      <c r="Y36" s="688">
        <f>T36/6</f>
        <v>45</v>
      </c>
    </row>
    <row r="37" spans="1:25">
      <c r="B37" t="s">
        <v>201</v>
      </c>
      <c r="D37" s="48">
        <f>E37*$D$10</f>
        <v>159580</v>
      </c>
      <c r="E37" s="48">
        <v>790</v>
      </c>
      <c r="Q37" s="568"/>
      <c r="R37" s="623" t="s">
        <v>201</v>
      </c>
      <c r="S37" s="618">
        <v>75000</v>
      </c>
      <c r="T37" s="619">
        <v>750</v>
      </c>
      <c r="W37" t="str">
        <f t="shared" si="0"/>
        <v>Water</v>
      </c>
      <c r="X37" s="147">
        <f>Y37*$D$10</f>
        <v>25250</v>
      </c>
      <c r="Y37" s="688">
        <f>T37/6</f>
        <v>125</v>
      </c>
    </row>
    <row r="38" spans="1:25">
      <c r="B38" t="s">
        <v>199</v>
      </c>
      <c r="D38" s="48">
        <v>0</v>
      </c>
      <c r="E38" s="48">
        <v>0</v>
      </c>
      <c r="F38" s="505" t="s">
        <v>202</v>
      </c>
      <c r="Q38" s="646"/>
      <c r="R38" s="647" t="s">
        <v>203</v>
      </c>
      <c r="S38" s="648"/>
      <c r="T38" s="619">
        <v>0</v>
      </c>
      <c r="W38" t="str">
        <f t="shared" si="0"/>
        <v>Misc Utilities</v>
      </c>
      <c r="Y38" s="688">
        <f>T38/3</f>
        <v>0</v>
      </c>
    </row>
    <row r="39" spans="1:25">
      <c r="B39" t="s">
        <v>200</v>
      </c>
      <c r="D39" s="48">
        <f>E39*$D$10</f>
        <v>85042</v>
      </c>
      <c r="E39" s="48">
        <v>421</v>
      </c>
      <c r="Q39" s="634"/>
      <c r="R39" s="635" t="s">
        <v>192</v>
      </c>
      <c r="S39" s="650">
        <f>SUM(S33:S38)</f>
        <v>199000</v>
      </c>
      <c r="T39" s="619">
        <v>1990</v>
      </c>
      <c r="W39" s="40" t="str">
        <f t="shared" si="0"/>
        <v>Sub-total</v>
      </c>
      <c r="X39" s="452">
        <f>SUM(X33:X38)</f>
        <v>66996.666666666672</v>
      </c>
    </row>
    <row r="40" spans="1:25">
      <c r="A40" s="42"/>
      <c r="B40" s="43" t="s">
        <v>204</v>
      </c>
      <c r="C40" s="43"/>
      <c r="D40" s="50">
        <f>E40*$D$10</f>
        <v>0</v>
      </c>
      <c r="E40" s="50">
        <v>0</v>
      </c>
      <c r="Q40" s="607" t="s">
        <v>205</v>
      </c>
      <c r="R40" s="608"/>
      <c r="S40" s="611"/>
      <c r="T40" s="619"/>
      <c r="V40" t="str">
        <f>Q40</f>
        <v>OPERATING AND MAINTENANCE</v>
      </c>
      <c r="W40" t="str">
        <f t="shared" si="0"/>
        <v/>
      </c>
    </row>
    <row r="41" spans="1:25">
      <c r="A41" s="40" t="s">
        <v>206</v>
      </c>
      <c r="D41" s="48">
        <f>SUM(D36:D40)</f>
        <v>351682</v>
      </c>
      <c r="E41" s="48">
        <f>SUM(E36:E40)</f>
        <v>1741</v>
      </c>
      <c r="Q41" s="568"/>
      <c r="R41" s="623" t="s">
        <v>207</v>
      </c>
      <c r="S41" s="618">
        <f>ROUNDUP(25*2080*1.03*1.03,-3)</f>
        <v>56000</v>
      </c>
      <c r="T41" s="619">
        <v>560</v>
      </c>
      <c r="W41" t="str">
        <f t="shared" si="0"/>
        <v xml:space="preserve">Maintenance Personnel </v>
      </c>
      <c r="X41" s="459">
        <f>S41/6</f>
        <v>9333.3333333333339</v>
      </c>
    </row>
    <row r="42" spans="1:25">
      <c r="Q42" s="568"/>
      <c r="R42" s="623" t="s">
        <v>208</v>
      </c>
      <c r="S42" s="618"/>
      <c r="T42" s="619">
        <v>0</v>
      </c>
      <c r="W42" t="str">
        <f t="shared" si="0"/>
        <v xml:space="preserve">Maintenance Supplies </v>
      </c>
      <c r="X42" s="459">
        <f t="shared" ref="X42:X53" si="1">S42/6</f>
        <v>0</v>
      </c>
    </row>
    <row r="43" spans="1:25">
      <c r="A43" s="40" t="s">
        <v>209</v>
      </c>
      <c r="D43" s="48">
        <f>E43*$D$10</f>
        <v>74538</v>
      </c>
      <c r="E43" s="48">
        <v>369</v>
      </c>
      <c r="F43" t="s">
        <v>210</v>
      </c>
      <c r="Q43" s="568"/>
      <c r="R43" s="623" t="s">
        <v>211</v>
      </c>
      <c r="S43" s="618">
        <f>ROUNDUP(20*2080*1.03*1.03,-3)</f>
        <v>45000</v>
      </c>
      <c r="T43" s="619">
        <v>450</v>
      </c>
      <c r="W43" t="str">
        <f t="shared" si="0"/>
        <v xml:space="preserve">Janitorial Personnel </v>
      </c>
      <c r="X43" s="459">
        <f t="shared" si="1"/>
        <v>7500</v>
      </c>
    </row>
    <row r="44" spans="1:25">
      <c r="Q44" s="568"/>
      <c r="R44" s="623" t="s">
        <v>212</v>
      </c>
      <c r="S44" s="618"/>
      <c r="T44" s="619">
        <v>0</v>
      </c>
      <c r="W44" t="str">
        <f t="shared" si="0"/>
        <v xml:space="preserve">Janitorial Supplies </v>
      </c>
      <c r="X44" s="459">
        <f t="shared" si="1"/>
        <v>0</v>
      </c>
    </row>
    <row r="45" spans="1:25">
      <c r="A45" s="40" t="s">
        <v>213</v>
      </c>
      <c r="D45" s="48">
        <f>E45*$D$10-50</f>
        <v>53682</v>
      </c>
      <c r="E45" s="48">
        <v>266</v>
      </c>
      <c r="Q45" s="568"/>
      <c r="R45" s="623" t="s">
        <v>214</v>
      </c>
      <c r="S45" s="618">
        <v>5500</v>
      </c>
      <c r="T45" s="619">
        <v>55</v>
      </c>
      <c r="W45" t="str">
        <f t="shared" si="0"/>
        <v xml:space="preserve">Pest Control </v>
      </c>
      <c r="X45" s="459">
        <f t="shared" si="1"/>
        <v>916.66666666666663</v>
      </c>
      <c r="Y45" s="688">
        <f>T45/3</f>
        <v>18.333333333333332</v>
      </c>
    </row>
    <row r="46" spans="1:25">
      <c r="Q46" s="568"/>
      <c r="R46" s="623" t="s">
        <v>215</v>
      </c>
      <c r="S46" s="618">
        <v>27419</v>
      </c>
      <c r="T46" s="619">
        <v>274.19</v>
      </c>
      <c r="W46" t="str">
        <f t="shared" si="0"/>
        <v xml:space="preserve">Repairs Contract </v>
      </c>
      <c r="X46" s="459">
        <f t="shared" si="1"/>
        <v>4569.833333333333</v>
      </c>
      <c r="Y46" s="688">
        <f t="shared" ref="Y46:Y53" si="2">T46/3</f>
        <v>91.396666666666661</v>
      </c>
    </row>
    <row r="47" spans="1:25">
      <c r="A47" s="40" t="s">
        <v>216</v>
      </c>
      <c r="Q47" s="568"/>
      <c r="R47" s="623" t="s">
        <v>217</v>
      </c>
      <c r="S47" s="618">
        <v>10827</v>
      </c>
      <c r="T47" s="619">
        <v>108.27</v>
      </c>
      <c r="W47" t="str">
        <f t="shared" si="0"/>
        <v>Elevator</v>
      </c>
      <c r="X47" s="459">
        <f t="shared" si="1"/>
        <v>1804.5</v>
      </c>
      <c r="Y47" s="688">
        <f t="shared" si="2"/>
        <v>36.089999999999996</v>
      </c>
    </row>
    <row r="48" spans="1:25">
      <c r="B48" t="s">
        <v>218</v>
      </c>
      <c r="D48" s="48">
        <f>E48*$D$10</f>
        <v>79992</v>
      </c>
      <c r="E48" s="48">
        <v>396</v>
      </c>
      <c r="Q48" s="568"/>
      <c r="R48" s="623" t="s">
        <v>219</v>
      </c>
      <c r="S48" s="618"/>
      <c r="T48" s="619">
        <v>0</v>
      </c>
      <c r="W48" t="str">
        <f t="shared" si="0"/>
        <v xml:space="preserve">HVAC Repair Maintenance </v>
      </c>
      <c r="X48" s="459">
        <f t="shared" si="1"/>
        <v>0</v>
      </c>
      <c r="Y48" s="688">
        <f t="shared" si="2"/>
        <v>0</v>
      </c>
    </row>
    <row r="49" spans="1:25">
      <c r="B49" t="s">
        <v>220</v>
      </c>
      <c r="D49" s="48">
        <f>E49*$D$10</f>
        <v>27472</v>
      </c>
      <c r="E49" s="48">
        <v>136</v>
      </c>
      <c r="Q49" s="568"/>
      <c r="R49" s="623" t="s">
        <v>221</v>
      </c>
      <c r="S49" s="618">
        <v>19200</v>
      </c>
      <c r="T49" s="619">
        <v>192</v>
      </c>
      <c r="W49" t="str">
        <f t="shared" si="0"/>
        <v xml:space="preserve">Landscape Contract </v>
      </c>
      <c r="X49" s="459">
        <f t="shared" si="1"/>
        <v>3200</v>
      </c>
      <c r="Y49" s="688">
        <f t="shared" si="2"/>
        <v>64</v>
      </c>
    </row>
    <row r="50" spans="1:25">
      <c r="B50" t="s">
        <v>222</v>
      </c>
      <c r="D50" s="48">
        <f>E50*$D$10</f>
        <v>171700</v>
      </c>
      <c r="E50" s="48">
        <v>850</v>
      </c>
      <c r="I50" s="326"/>
      <c r="Q50" s="568"/>
      <c r="R50" s="623" t="s">
        <v>223</v>
      </c>
      <c r="S50" s="618">
        <v>6500</v>
      </c>
      <c r="T50" s="619">
        <v>65</v>
      </c>
      <c r="W50" t="str">
        <f t="shared" si="0"/>
        <v xml:space="preserve">Interior / Exterior Painting </v>
      </c>
      <c r="X50" s="459">
        <f t="shared" si="1"/>
        <v>1083.3333333333333</v>
      </c>
      <c r="Y50" s="688">
        <f t="shared" si="2"/>
        <v>21.666666666666668</v>
      </c>
    </row>
    <row r="51" spans="1:25">
      <c r="B51" t="s">
        <v>224</v>
      </c>
      <c r="D51" s="48">
        <f>E51*$D$10</f>
        <v>11110</v>
      </c>
      <c r="E51" s="48">
        <v>55</v>
      </c>
      <c r="Q51" s="568"/>
      <c r="R51" s="623" t="s">
        <v>225</v>
      </c>
      <c r="S51" s="618"/>
      <c r="T51" s="619">
        <v>0</v>
      </c>
      <c r="W51" t="str">
        <f t="shared" si="0"/>
        <v>Misc. Maintenance</v>
      </c>
      <c r="X51" s="459">
        <f t="shared" si="1"/>
        <v>0</v>
      </c>
      <c r="Y51" s="688">
        <f t="shared" si="2"/>
        <v>0</v>
      </c>
    </row>
    <row r="52" spans="1:25">
      <c r="B52" s="505" t="s">
        <v>226</v>
      </c>
      <c r="D52" s="48">
        <f>(22*110)*12</f>
        <v>29040</v>
      </c>
      <c r="F52" t="s">
        <v>227</v>
      </c>
      <c r="Q52" s="568"/>
      <c r="R52" s="623" t="s">
        <v>228</v>
      </c>
      <c r="S52" s="618">
        <v>90000</v>
      </c>
      <c r="T52" s="619">
        <v>900</v>
      </c>
      <c r="W52" t="str">
        <f t="shared" si="0"/>
        <v>Security Contract</v>
      </c>
      <c r="X52" s="459">
        <f t="shared" si="1"/>
        <v>15000</v>
      </c>
      <c r="Y52" s="688">
        <f>T52/6</f>
        <v>150</v>
      </c>
    </row>
    <row r="53" spans="1:25">
      <c r="A53" s="42"/>
      <c r="B53" s="43" t="s">
        <v>204</v>
      </c>
      <c r="C53" s="43"/>
      <c r="D53" s="50">
        <f>E53*$D$10</f>
        <v>0</v>
      </c>
      <c r="E53" s="50">
        <v>0</v>
      </c>
      <c r="Q53" s="628"/>
      <c r="R53" s="629" t="s">
        <v>229</v>
      </c>
      <c r="S53" s="630">
        <v>17000</v>
      </c>
      <c r="T53" s="619">
        <v>170</v>
      </c>
      <c r="W53" t="str">
        <f t="shared" si="0"/>
        <v>Contracts</v>
      </c>
      <c r="X53" s="459">
        <f t="shared" si="1"/>
        <v>2833.3333333333335</v>
      </c>
      <c r="Y53" s="688">
        <f t="shared" si="2"/>
        <v>56.666666666666664</v>
      </c>
    </row>
    <row r="54" spans="1:25">
      <c r="A54" s="40" t="s">
        <v>230</v>
      </c>
      <c r="D54" s="48">
        <f>SUM(D48:D53)</f>
        <v>319314</v>
      </c>
      <c r="E54" s="48">
        <f>SUM(E48:E53)</f>
        <v>1437</v>
      </c>
      <c r="Q54" s="568"/>
      <c r="R54" s="655" t="s">
        <v>192</v>
      </c>
      <c r="S54" s="656">
        <f>SUM(S41:S53)</f>
        <v>277446</v>
      </c>
      <c r="T54" s="619">
        <v>2774.46</v>
      </c>
      <c r="W54" s="40" t="str">
        <f t="shared" si="0"/>
        <v>Sub-total</v>
      </c>
      <c r="X54" s="689">
        <f>SUM(X41:X53)</f>
        <v>46241.000000000007</v>
      </c>
    </row>
    <row r="55" spans="1:25">
      <c r="Q55" s="607" t="s">
        <v>231</v>
      </c>
      <c r="R55" s="608"/>
      <c r="S55" s="611"/>
      <c r="T55" s="612"/>
      <c r="V55" t="str">
        <f>Q55</f>
        <v>TAXES AND INSURANCE</v>
      </c>
      <c r="W55" t="str">
        <f t="shared" si="0"/>
        <v/>
      </c>
    </row>
    <row r="56" spans="1:25">
      <c r="A56" s="40" t="s">
        <v>231</v>
      </c>
      <c r="Q56" s="568"/>
      <c r="R56" s="623" t="s">
        <v>232</v>
      </c>
      <c r="S56" s="618">
        <v>10000</v>
      </c>
      <c r="T56" s="619">
        <v>100</v>
      </c>
      <c r="W56" t="str">
        <f t="shared" si="0"/>
        <v>Real Estate Taxes</v>
      </c>
      <c r="X56" s="1309">
        <f>'Tax Calc'!B10</f>
        <v>749576.13131653797</v>
      </c>
      <c r="Y56" s="1309">
        <f>X56/'Rental Income'!D15</f>
        <v>3710.7729273095938</v>
      </c>
    </row>
    <row r="57" spans="1:25">
      <c r="B57" t="s">
        <v>233</v>
      </c>
      <c r="D57" s="48">
        <f>0.01199398*'Development Budget'!G131</f>
        <v>0</v>
      </c>
      <c r="E57" s="48">
        <v>1500</v>
      </c>
      <c r="F57" t="s">
        <v>234</v>
      </c>
      <c r="H57" s="428"/>
      <c r="Q57" s="568"/>
      <c r="R57" s="623" t="s">
        <v>235</v>
      </c>
      <c r="S57" s="618">
        <f>8.65%*(S23+S41+S43)</f>
        <v>18943.5</v>
      </c>
      <c r="T57" s="619">
        <v>189.435</v>
      </c>
      <c r="W57" t="str">
        <f t="shared" si="0"/>
        <v>Payroll taxes</v>
      </c>
      <c r="X57" s="618">
        <f>8.65%*(X23+X41+X43)</f>
        <v>4007.8333333333339</v>
      </c>
    </row>
    <row r="58" spans="1:25">
      <c r="A58" s="42"/>
      <c r="B58" s="43" t="s">
        <v>236</v>
      </c>
      <c r="C58" s="43"/>
      <c r="D58" s="50">
        <v>109942.23407999999</v>
      </c>
      <c r="E58" s="50">
        <f>D58/D10</f>
        <v>544.26848554455444</v>
      </c>
      <c r="F58" t="s">
        <v>237</v>
      </c>
      <c r="Q58" s="568"/>
      <c r="R58" s="623" t="s">
        <v>238</v>
      </c>
      <c r="S58" s="618">
        <f>(17%+4%+0.51%)*(S23+S41+S43)</f>
        <v>47106.9</v>
      </c>
      <c r="T58" s="619">
        <v>471.06900000000002</v>
      </c>
      <c r="W58" t="str">
        <f t="shared" si="0"/>
        <v>Health Insurance/other benefits</v>
      </c>
      <c r="X58" s="1308">
        <f>(15%+3%+0.51%)*(X23+X41+X43)</f>
        <v>8576.2999999999993</v>
      </c>
    </row>
    <row r="59" spans="1:25">
      <c r="A59" s="40" t="s">
        <v>239</v>
      </c>
      <c r="D59" s="48">
        <f>SUM(D57:D58)</f>
        <v>109942.23407999999</v>
      </c>
      <c r="E59" s="48">
        <f>SUM(E57:E58)</f>
        <v>2044.2684855445546</v>
      </c>
      <c r="Q59" s="568"/>
      <c r="R59" s="623" t="s">
        <v>240</v>
      </c>
      <c r="S59" s="618">
        <v>0</v>
      </c>
      <c r="T59" s="619">
        <v>0</v>
      </c>
      <c r="W59" t="str">
        <f t="shared" si="0"/>
        <v>Misc. taxes, licenses, permits and insuarance</v>
      </c>
    </row>
    <row r="60" spans="1:25">
      <c r="Q60" s="568"/>
      <c r="R60" s="623" t="s">
        <v>241</v>
      </c>
      <c r="S60" s="618"/>
      <c r="T60" s="619"/>
      <c r="W60" t="str">
        <f t="shared" si="0"/>
        <v>Trustee Fee</v>
      </c>
    </row>
    <row r="61" spans="1:25">
      <c r="A61" s="40" t="s">
        <v>242</v>
      </c>
      <c r="Q61" s="568"/>
      <c r="R61" s="623" t="s">
        <v>243</v>
      </c>
      <c r="S61" s="618"/>
      <c r="T61" s="619"/>
      <c r="W61" t="str">
        <f t="shared" si="0"/>
        <v>LAHD Issuer Fee</v>
      </c>
    </row>
    <row r="62" spans="1:25">
      <c r="B62" t="s">
        <v>244</v>
      </c>
      <c r="D62" s="48">
        <f>E62*$D$10</f>
        <v>169680</v>
      </c>
      <c r="E62" s="48">
        <v>840</v>
      </c>
      <c r="Q62" s="568"/>
      <c r="R62" s="623" t="s">
        <v>245</v>
      </c>
      <c r="S62" s="618"/>
      <c r="T62" s="619"/>
      <c r="W62" t="str">
        <f t="shared" si="0"/>
        <v>LACDA Monitoring</v>
      </c>
    </row>
    <row r="63" spans="1:25">
      <c r="B63" t="s">
        <v>246</v>
      </c>
      <c r="D63" s="48">
        <v>40000</v>
      </c>
      <c r="E63" s="48">
        <f>D63/D10</f>
        <v>198.01980198019803</v>
      </c>
      <c r="Q63" s="568"/>
      <c r="R63" s="623" t="s">
        <v>247</v>
      </c>
      <c r="S63" s="618">
        <v>180000</v>
      </c>
      <c r="T63" s="619">
        <v>1800</v>
      </c>
      <c r="W63" t="str">
        <f t="shared" si="0"/>
        <v>Property and Liability Insurance</v>
      </c>
      <c r="X63" s="459">
        <f>S63/3</f>
        <v>60000</v>
      </c>
    </row>
    <row r="64" spans="1:25">
      <c r="B64" s="505" t="s">
        <v>248</v>
      </c>
      <c r="D64" s="48">
        <v>0</v>
      </c>
      <c r="E64" s="48">
        <v>100</v>
      </c>
      <c r="Q64" s="634"/>
      <c r="R64" s="635" t="s">
        <v>192</v>
      </c>
      <c r="S64" s="636">
        <f>SUM(S56:S63)</f>
        <v>256050.4</v>
      </c>
      <c r="T64" s="619">
        <v>2560.5039999999999</v>
      </c>
      <c r="W64" t="str">
        <f t="shared" si="0"/>
        <v>Sub-total</v>
      </c>
      <c r="X64" s="689">
        <f>SUM(X56:X63)</f>
        <v>822160.26464987139</v>
      </c>
    </row>
    <row r="65" spans="1:25">
      <c r="B65" t="s">
        <v>249</v>
      </c>
      <c r="D65" s="48">
        <f>E65*$D$10</f>
        <v>30300</v>
      </c>
      <c r="E65" s="48">
        <v>150</v>
      </c>
      <c r="Q65" s="664" t="s">
        <v>230</v>
      </c>
      <c r="R65" s="665"/>
      <c r="S65" s="666">
        <f>SUM(S64,S54,S39,S31)</f>
        <v>1055995.7</v>
      </c>
      <c r="T65" s="619">
        <v>10559.957</v>
      </c>
      <c r="V65" t="str">
        <f>Q65</f>
        <v>TOTAL OPERATING EXPENSES</v>
      </c>
      <c r="W65" t="str">
        <f t="shared" si="0"/>
        <v/>
      </c>
    </row>
    <row r="66" spans="1:25">
      <c r="A66" s="42"/>
      <c r="B66" s="43" t="s">
        <v>250</v>
      </c>
      <c r="C66" s="43"/>
      <c r="D66" s="50">
        <v>12000</v>
      </c>
      <c r="E66" s="50">
        <v>85</v>
      </c>
      <c r="Q66" s="669"/>
      <c r="R66" s="670" t="s">
        <v>251</v>
      </c>
      <c r="S66" s="671">
        <v>79562</v>
      </c>
      <c r="T66" s="619">
        <v>795.62</v>
      </c>
      <c r="W66" t="str">
        <f t="shared" si="0"/>
        <v>Services</v>
      </c>
      <c r="X66" s="53">
        <v>70000</v>
      </c>
    </row>
    <row r="67" spans="1:25">
      <c r="A67" s="40" t="s">
        <v>252</v>
      </c>
      <c r="D67" s="48">
        <f>SUM(D62:D66)</f>
        <v>251980</v>
      </c>
      <c r="E67" s="48">
        <f>SUM(E62:E66)</f>
        <v>1373.0198019801981</v>
      </c>
      <c r="Q67" s="646"/>
      <c r="R67" s="675" t="s">
        <v>253</v>
      </c>
      <c r="S67" s="676">
        <f>500*100</f>
        <v>50000</v>
      </c>
      <c r="T67" s="619">
        <v>500</v>
      </c>
      <c r="W67" t="str">
        <f t="shared" si="0"/>
        <v>Replacement Reserve</v>
      </c>
      <c r="X67" s="53">
        <f>S67</f>
        <v>50000</v>
      </c>
    </row>
    <row r="68" spans="1:25">
      <c r="Q68" s="678" t="s">
        <v>254</v>
      </c>
      <c r="R68" s="679"/>
      <c r="S68" s="680">
        <f>S65+S66+S67</f>
        <v>1185557.7</v>
      </c>
      <c r="T68" s="619">
        <v>11855.576999999999</v>
      </c>
      <c r="V68" t="str">
        <f>Q68</f>
        <v>TOTAL W/ SERVICES/RESERVES</v>
      </c>
      <c r="W68" t="s">
        <v>192</v>
      </c>
      <c r="X68" s="53">
        <f>SUM(X66:X67)</f>
        <v>120000</v>
      </c>
    </row>
    <row r="69" spans="1:25">
      <c r="A69" s="40" t="s">
        <v>124</v>
      </c>
      <c r="D69" s="426">
        <f>E69*$D$10</f>
        <v>60600</v>
      </c>
      <c r="E69" s="426">
        <v>300</v>
      </c>
    </row>
    <row r="70" spans="1:25">
      <c r="V70" s="40" t="s">
        <v>255</v>
      </c>
      <c r="X70" s="1307">
        <f>SUM(X68,X64,X54,X39,X31)</f>
        <v>1224422.911316538</v>
      </c>
      <c r="Y70" s="1307">
        <f>X70/D10</f>
        <v>6061.4995609729604</v>
      </c>
    </row>
    <row r="71" spans="1:25">
      <c r="A71" s="40" t="s">
        <v>256</v>
      </c>
      <c r="D71" s="48">
        <f>E71*$D$10</f>
        <v>101000</v>
      </c>
      <c r="E71" s="48">
        <v>500</v>
      </c>
      <c r="F71" t="s">
        <v>257</v>
      </c>
    </row>
    <row r="73" spans="1:25">
      <c r="A73" s="44" t="s">
        <v>258</v>
      </c>
      <c r="B73" s="44"/>
      <c r="C73" s="44"/>
      <c r="D73" s="52">
        <f>D71+D69+D67+D54+D59+D45+D43+D41+D33+D26</f>
        <v>1779443.5940799997</v>
      </c>
      <c r="E73" s="52">
        <f>E71+E69+E67+E54+E59+E45+E43+E41+E33+E26</f>
        <v>11770.288287524752</v>
      </c>
      <c r="G73" s="147"/>
      <c r="H73">
        <f>('Operating Budget'!D73-'Operating Budget'!D69-'Operating Budget'!D57)*-1</f>
        <v>-1718843.5940799997</v>
      </c>
      <c r="Y73" s="1309">
        <f>Y70-6000</f>
        <v>61.499560972960353</v>
      </c>
    </row>
    <row r="75" spans="1:25">
      <c r="A75" s="44" t="s">
        <v>259</v>
      </c>
      <c r="B75" s="45"/>
      <c r="C75" s="45"/>
      <c r="D75" s="52">
        <f>D19-D73</f>
        <v>6132441.4059200007</v>
      </c>
      <c r="E75" s="52">
        <f>D75/D10</f>
        <v>30358.620821386143</v>
      </c>
      <c r="K75" s="53"/>
    </row>
  </sheetData>
  <pageMargins left="0.7" right="0.7" top="0.75" bottom="0.75" header="0.3" footer="0.3"/>
  <pageSetup fitToHeight="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5"/>
  <sheetViews>
    <sheetView topLeftCell="A3" zoomScaleNormal="100" workbookViewId="0">
      <selection activeCell="D34" sqref="D34"/>
    </sheetView>
  </sheetViews>
  <sheetFormatPr defaultRowHeight="15.75"/>
  <cols>
    <col min="1" max="1" width="32.125" customWidth="1"/>
    <col min="2" max="4" width="18.75" customWidth="1"/>
    <col min="5" max="5" width="14.625" customWidth="1"/>
    <col min="6" max="6" width="3.125" hidden="1" customWidth="1"/>
    <col min="7" max="7" width="12.25" style="421" hidden="1" customWidth="1"/>
    <col min="9" max="9" width="11.5" customWidth="1"/>
  </cols>
  <sheetData>
    <row r="1" spans="1:10" ht="23.25">
      <c r="A1" s="460" t="str">
        <f>'Development Budget'!A1</f>
        <v>Generic Template Non-LIHTC</v>
      </c>
    </row>
    <row r="4" spans="1:10" ht="23.25">
      <c r="A4" s="460" t="s">
        <v>260</v>
      </c>
      <c r="H4">
        <v>110</v>
      </c>
      <c r="I4" t="s">
        <v>261</v>
      </c>
    </row>
    <row r="5" spans="1:10" ht="23.25">
      <c r="A5" s="460"/>
      <c r="H5">
        <f>GapCalc!D12</f>
        <v>196860</v>
      </c>
      <c r="I5" t="s">
        <v>262</v>
      </c>
    </row>
    <row r="6" spans="1:10" ht="16.5" thickBot="1">
      <c r="A6" s="469" t="s">
        <v>263</v>
      </c>
      <c r="B6" s="470" t="s">
        <v>37</v>
      </c>
      <c r="C6" s="471" t="s">
        <v>85</v>
      </c>
      <c r="D6" s="471" t="s">
        <v>86</v>
      </c>
      <c r="E6" s="470" t="s">
        <v>264</v>
      </c>
      <c r="F6" s="470"/>
      <c r="G6" s="470" t="s">
        <v>265</v>
      </c>
      <c r="I6" s="481" t="s">
        <v>266</v>
      </c>
      <c r="J6" s="481" t="s">
        <v>267</v>
      </c>
    </row>
    <row r="7" spans="1:10">
      <c r="A7" s="468" t="s">
        <v>268</v>
      </c>
      <c r="B7" s="465">
        <f>'Development Budget'!G39+'Development Budget'!G46</f>
        <v>81146435.312499985</v>
      </c>
      <c r="C7" s="465">
        <f>'Dev Summary_5-20'!B8</f>
        <v>3190331</v>
      </c>
      <c r="D7" s="465">
        <f t="shared" ref="D7:D14" si="0">B7-C7</f>
        <v>77956104.312499985</v>
      </c>
      <c r="E7" s="477">
        <f t="shared" ref="E7:E15" si="1">D7/B7</f>
        <v>0.96068427420485158</v>
      </c>
      <c r="F7" s="477"/>
      <c r="G7" s="472" t="e">
        <f t="shared" ref="G7:G14" si="2">B7/$B$15</f>
        <v>#REF!</v>
      </c>
      <c r="I7" s="147">
        <f>B7/$H$4</f>
        <v>737694.86647727259</v>
      </c>
      <c r="J7" s="53">
        <f>B7/$H$5</f>
        <v>412.20377584323876</v>
      </c>
    </row>
    <row r="8" spans="1:10">
      <c r="A8" s="445" t="s">
        <v>16</v>
      </c>
      <c r="B8" s="446" t="e">
        <f>'Development Budget'!G37-'Development Budget'!#REF!</f>
        <v>#REF!</v>
      </c>
      <c r="C8" s="446">
        <f>'Dev Budget_5-20'!E27</f>
        <v>51732771</v>
      </c>
      <c r="D8" s="446" t="e">
        <f t="shared" si="0"/>
        <v>#REF!</v>
      </c>
      <c r="E8" s="477" t="e">
        <f t="shared" si="1"/>
        <v>#REF!</v>
      </c>
      <c r="F8" s="477"/>
      <c r="G8" s="473" t="e">
        <f t="shared" si="2"/>
        <v>#REF!</v>
      </c>
      <c r="I8" s="53" t="e">
        <f t="shared" ref="I8:I14" si="3">B8/$H$4</f>
        <v>#REF!</v>
      </c>
      <c r="J8" s="53" t="e">
        <f t="shared" ref="J8:J14" si="4">B8/$H$5</f>
        <v>#REF!</v>
      </c>
    </row>
    <row r="9" spans="1:10">
      <c r="A9" s="445" t="s">
        <v>269</v>
      </c>
      <c r="B9" s="446">
        <f>'Development Budget'!G94+'Development Budget'!G101+'Development Budget'!G102</f>
        <v>307801.188158968</v>
      </c>
      <c r="C9" s="446">
        <f>'Dev Summary_5-20'!B10</f>
        <v>50000</v>
      </c>
      <c r="D9" s="446">
        <f t="shared" si="0"/>
        <v>257801.188158968</v>
      </c>
      <c r="E9" s="477">
        <f t="shared" si="1"/>
        <v>0.83755748215573211</v>
      </c>
      <c r="F9" s="477"/>
      <c r="G9" s="473" t="e">
        <f t="shared" si="2"/>
        <v>#REF!</v>
      </c>
      <c r="I9" s="53">
        <f t="shared" si="3"/>
        <v>2798.1926196269819</v>
      </c>
      <c r="J9" s="53">
        <f t="shared" si="4"/>
        <v>1.5635537344253174</v>
      </c>
    </row>
    <row r="10" spans="1:10">
      <c r="A10" s="445" t="s">
        <v>19</v>
      </c>
      <c r="B10" s="446">
        <f>'Development Budget'!G68+'Development Budget'!G74</f>
        <v>32000</v>
      </c>
      <c r="C10" s="446">
        <f>'Dev Summary_5-20'!B11</f>
        <v>2240458.5883822548</v>
      </c>
      <c r="D10" s="446">
        <f t="shared" si="0"/>
        <v>-2208458.5883822548</v>
      </c>
      <c r="E10" s="477">
        <f t="shared" si="1"/>
        <v>-69.014330886945459</v>
      </c>
      <c r="F10" s="477"/>
      <c r="G10" s="473" t="e">
        <f t="shared" si="2"/>
        <v>#REF!</v>
      </c>
      <c r="I10" s="53">
        <f t="shared" si="3"/>
        <v>290.90909090909093</v>
      </c>
      <c r="J10" s="53">
        <f t="shared" si="4"/>
        <v>0.162552067459108</v>
      </c>
    </row>
    <row r="11" spans="1:10">
      <c r="A11" s="445" t="s">
        <v>21</v>
      </c>
      <c r="B11" s="446" t="e">
        <f>'Development Budget'!G124-'Dev Summary'!B7-'Dev Summary'!B8-'Dev Summary'!B9-'Dev Summary'!B12-'Dev Summary'!B14-B10-B13</f>
        <v>#REF!</v>
      </c>
      <c r="C11" s="446">
        <f>'Dev Summary_5-20'!B12</f>
        <v>3240074.0000000019</v>
      </c>
      <c r="D11" s="446" t="e">
        <f t="shared" si="0"/>
        <v>#REF!</v>
      </c>
      <c r="E11" s="477" t="e">
        <f t="shared" si="1"/>
        <v>#REF!</v>
      </c>
      <c r="F11" s="477"/>
      <c r="G11" s="473" t="e">
        <f t="shared" si="2"/>
        <v>#REF!</v>
      </c>
      <c r="I11" s="53" t="e">
        <f t="shared" si="3"/>
        <v>#REF!</v>
      </c>
      <c r="J11" s="53" t="e">
        <f t="shared" si="4"/>
        <v>#REF!</v>
      </c>
    </row>
    <row r="12" spans="1:10">
      <c r="A12" s="445" t="s">
        <v>270</v>
      </c>
      <c r="B12" s="446">
        <f>'Development Budget'!G120</f>
        <v>393702.39350000001</v>
      </c>
      <c r="C12" s="446">
        <f>'Dev Summary_5-20'!B13</f>
        <v>2500000</v>
      </c>
      <c r="D12" s="446">
        <f t="shared" si="0"/>
        <v>-2106297.6064999998</v>
      </c>
      <c r="E12" s="477">
        <f t="shared" si="1"/>
        <v>-5.3499740953441774</v>
      </c>
      <c r="F12" s="477"/>
      <c r="G12" s="473" t="e">
        <f t="shared" si="2"/>
        <v>#REF!</v>
      </c>
      <c r="I12" s="53">
        <f t="shared" si="3"/>
        <v>3579.1126681818182</v>
      </c>
      <c r="J12" s="53">
        <f t="shared" si="4"/>
        <v>1.9999105633445089</v>
      </c>
    </row>
    <row r="13" spans="1:10">
      <c r="A13" s="483" t="s">
        <v>271</v>
      </c>
      <c r="B13" s="484" t="e">
        <f>'Development Budget'!#REF!+'Development Budget'!G89</f>
        <v>#REF!</v>
      </c>
      <c r="C13" s="484">
        <f>'Dev Budget_5-20'!E62</f>
        <v>5173277.1000000006</v>
      </c>
      <c r="D13" s="446" t="e">
        <f t="shared" si="0"/>
        <v>#REF!</v>
      </c>
      <c r="E13" s="477" t="e">
        <f t="shared" si="1"/>
        <v>#REF!</v>
      </c>
      <c r="F13" s="485"/>
      <c r="G13" s="486"/>
      <c r="I13" s="53" t="e">
        <f t="shared" si="3"/>
        <v>#REF!</v>
      </c>
      <c r="J13" s="53" t="e">
        <f t="shared" si="4"/>
        <v>#REF!</v>
      </c>
    </row>
    <row r="14" spans="1:10" ht="16.5" thickBot="1">
      <c r="A14" s="466" t="s">
        <v>272</v>
      </c>
      <c r="B14" s="467">
        <f>'Development Budget'!G90</f>
        <v>3256436</v>
      </c>
      <c r="C14" s="467">
        <f>'Dev Summary_5-20'!B14</f>
        <v>282276.62941911275</v>
      </c>
      <c r="D14" s="467">
        <f t="shared" si="0"/>
        <v>2974159.3705808874</v>
      </c>
      <c r="E14" s="478">
        <f t="shared" si="1"/>
        <v>0.91331731088247625</v>
      </c>
      <c r="F14" s="478"/>
      <c r="G14" s="474" t="e">
        <f t="shared" si="2"/>
        <v>#REF!</v>
      </c>
      <c r="I14" s="53">
        <f t="shared" si="3"/>
        <v>29603.963636363635</v>
      </c>
      <c r="J14" s="53">
        <f t="shared" si="4"/>
        <v>16.54188763588337</v>
      </c>
    </row>
    <row r="15" spans="1:10" ht="16.5" thickTop="1">
      <c r="A15" s="463" t="s">
        <v>59</v>
      </c>
      <c r="B15" s="464" t="e">
        <f>SUM(B7:B14)</f>
        <v>#REF!</v>
      </c>
      <c r="C15" s="464">
        <f>SUM(C7:C14)</f>
        <v>68409188.317801371</v>
      </c>
      <c r="D15" s="464" t="e">
        <f>SUM(D7:D14)</f>
        <v>#REF!</v>
      </c>
      <c r="E15" s="479" t="e">
        <f t="shared" si="1"/>
        <v>#REF!</v>
      </c>
      <c r="F15" s="479"/>
      <c r="G15" s="475"/>
      <c r="I15" s="53" t="e">
        <f>B15/$H$4</f>
        <v>#REF!</v>
      </c>
      <c r="J15" s="53" t="e">
        <f>B15/$H$5</f>
        <v>#REF!</v>
      </c>
    </row>
    <row r="16" spans="1:10">
      <c r="I16" s="53" t="e">
        <f>I15-I8</f>
        <v>#REF!</v>
      </c>
      <c r="J16" s="53" t="e">
        <f>J15-J8</f>
        <v>#REF!</v>
      </c>
    </row>
    <row r="18" spans="1:6" ht="23.25">
      <c r="A18" s="460" t="s">
        <v>273</v>
      </c>
    </row>
    <row r="19" spans="1:6" ht="23.25">
      <c r="A19" s="460"/>
    </row>
    <row r="20" spans="1:6" ht="16.5" thickBot="1">
      <c r="A20" s="469" t="s">
        <v>263</v>
      </c>
      <c r="B20" s="470" t="s">
        <v>37</v>
      </c>
      <c r="C20" s="471" t="s">
        <v>85</v>
      </c>
      <c r="D20" s="471" t="s">
        <v>86</v>
      </c>
      <c r="E20" s="470" t="s">
        <v>264</v>
      </c>
      <c r="F20" s="481"/>
    </row>
    <row r="21" spans="1:6">
      <c r="A21" t="str">
        <f>GapCalc!B37</f>
        <v>Permanent Loan</v>
      </c>
      <c r="B21" s="48">
        <f>GapCalc!D37</f>
        <v>80722206.149175584</v>
      </c>
      <c r="C21" s="48">
        <v>18731659</v>
      </c>
      <c r="D21" s="48">
        <f>B21-C21</f>
        <v>61990547.149175584</v>
      </c>
      <c r="E21" s="55">
        <f>D21/B21</f>
        <v>0.76794911965880031</v>
      </c>
      <c r="F21" s="55"/>
    </row>
    <row r="22" spans="1:6">
      <c r="A22" t="e">
        <f>GapCalc!#REF!</f>
        <v>#REF!</v>
      </c>
      <c r="B22" s="48" t="e">
        <f>GapCalc!#REF!</f>
        <v>#REF!</v>
      </c>
      <c r="C22" s="48">
        <v>6000000</v>
      </c>
      <c r="D22" s="48" t="e">
        <f t="shared" ref="D22:D28" si="5">B22-C22</f>
        <v>#REF!</v>
      </c>
      <c r="E22" s="55" t="e">
        <f t="shared" ref="E22:E29" si="6">D22/B22</f>
        <v>#REF!</v>
      </c>
      <c r="F22" s="55"/>
    </row>
    <row r="23" spans="1:6">
      <c r="A23" t="e">
        <f>GapCalc!#REF!</f>
        <v>#REF!</v>
      </c>
      <c r="B23" s="48" t="e">
        <f>GapCalc!#REF!</f>
        <v>#REF!</v>
      </c>
      <c r="C23" s="48">
        <v>0</v>
      </c>
      <c r="D23" s="48" t="e">
        <f>B23-C23</f>
        <v>#REF!</v>
      </c>
      <c r="E23" s="55" t="e">
        <f>D23/B23</f>
        <v>#REF!</v>
      </c>
      <c r="F23" s="55"/>
    </row>
    <row r="24" spans="1:6">
      <c r="A24" t="e">
        <f>GapCalc!#REF!</f>
        <v>#REF!</v>
      </c>
      <c r="B24" s="48" t="e">
        <f>GapCalc!#REF!</f>
        <v>#REF!</v>
      </c>
      <c r="C24" s="48">
        <v>0</v>
      </c>
      <c r="D24" s="48" t="e">
        <f t="shared" si="5"/>
        <v>#REF!</v>
      </c>
      <c r="E24" s="55" t="e">
        <f t="shared" si="6"/>
        <v>#REF!</v>
      </c>
      <c r="F24" s="55"/>
    </row>
    <row r="25" spans="1:6">
      <c r="A25" t="e">
        <f>GapCalc!#REF!</f>
        <v>#REF!</v>
      </c>
      <c r="B25" s="48" t="e">
        <f>GapCalc!#REF!</f>
        <v>#REF!</v>
      </c>
      <c r="C25" s="48">
        <v>0</v>
      </c>
      <c r="D25" s="48" t="e">
        <f t="shared" si="5"/>
        <v>#REF!</v>
      </c>
      <c r="E25" s="55" t="e">
        <f t="shared" si="6"/>
        <v>#REF!</v>
      </c>
      <c r="F25" s="55"/>
    </row>
    <row r="26" spans="1:6">
      <c r="A26" t="e">
        <f>GapCalc!#REF!</f>
        <v>#REF!</v>
      </c>
      <c r="B26" s="48">
        <f>GapCalc!D38</f>
        <v>372450.95525239012</v>
      </c>
      <c r="C26" s="48">
        <v>12677529</v>
      </c>
      <c r="D26" s="48">
        <f t="shared" si="5"/>
        <v>-12305078.04474761</v>
      </c>
      <c r="E26" s="55">
        <f t="shared" si="6"/>
        <v>-33.038116485455419</v>
      </c>
      <c r="F26" s="55"/>
    </row>
    <row r="27" spans="1:6">
      <c r="B27" s="48"/>
      <c r="C27" s="48"/>
      <c r="D27" s="48"/>
      <c r="E27" s="55"/>
      <c r="F27" s="55"/>
    </row>
    <row r="28" spans="1:6" ht="16.5" thickBot="1">
      <c r="A28" s="43" t="str">
        <f>GapCalc!B41</f>
        <v>Gap/Surplus</v>
      </c>
      <c r="B28" s="50">
        <f>GapCalc!D41</f>
        <v>0</v>
      </c>
      <c r="C28" s="50"/>
      <c r="D28" s="50">
        <f t="shared" si="5"/>
        <v>0</v>
      </c>
      <c r="E28" s="476" t="e">
        <f t="shared" si="6"/>
        <v>#DIV/0!</v>
      </c>
      <c r="F28" s="482"/>
    </row>
    <row r="29" spans="1:6" ht="16.5" thickTop="1">
      <c r="A29" s="451" t="s">
        <v>59</v>
      </c>
      <c r="B29" s="57" t="e">
        <f>SUM(B21:B28)</f>
        <v>#REF!</v>
      </c>
      <c r="C29" s="57">
        <f>SUM(C21:C28)</f>
        <v>37409188</v>
      </c>
      <c r="D29" s="57" t="e">
        <f>SUM(D21:D28)</f>
        <v>#REF!</v>
      </c>
      <c r="E29" s="480" t="e">
        <f t="shared" si="6"/>
        <v>#REF!</v>
      </c>
      <c r="F29" s="480"/>
    </row>
    <row r="30" spans="1:6">
      <c r="E30" s="480"/>
      <c r="F30" s="480"/>
    </row>
    <row r="36" spans="4:5">
      <c r="D36" s="504"/>
      <c r="E36" s="59"/>
    </row>
    <row r="37" spans="4:5">
      <c r="D37" s="504"/>
      <c r="E37" s="59"/>
    </row>
    <row r="38" spans="4:5">
      <c r="D38" s="504"/>
      <c r="E38" s="59"/>
    </row>
    <row r="39" spans="4:5">
      <c r="D39" s="504"/>
      <c r="E39" s="59"/>
    </row>
    <row r="40" spans="4:5">
      <c r="D40" s="504"/>
      <c r="E40" s="59"/>
    </row>
    <row r="41" spans="4:5">
      <c r="D41" s="504"/>
      <c r="E41" s="59"/>
    </row>
    <row r="42" spans="4:5">
      <c r="D42" s="59"/>
    </row>
    <row r="43" spans="4:5">
      <c r="D43" s="53"/>
      <c r="E43" s="59"/>
    </row>
    <row r="45" spans="4:5">
      <c r="D45" s="53"/>
      <c r="E45" s="5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7"/>
  <sheetViews>
    <sheetView workbookViewId="0">
      <selection activeCell="B3" sqref="B3"/>
    </sheetView>
  </sheetViews>
  <sheetFormatPr defaultRowHeight="15.75"/>
  <cols>
    <col min="1" max="1" width="25.625" customWidth="1"/>
    <col min="4" max="4" width="13.875" customWidth="1"/>
    <col min="5" max="5" width="16.25" customWidth="1"/>
  </cols>
  <sheetData>
    <row r="1" spans="1:11" ht="16.5" thickBot="1">
      <c r="A1" s="1445" t="s">
        <v>1003</v>
      </c>
      <c r="B1" s="1446"/>
      <c r="C1" s="1446"/>
      <c r="D1" s="1446"/>
      <c r="E1" s="1446"/>
      <c r="F1" s="1446"/>
      <c r="G1" s="1446"/>
      <c r="H1" s="1446"/>
      <c r="I1" s="1446"/>
      <c r="J1" s="1446"/>
      <c r="K1" s="1447"/>
    </row>
    <row r="2" spans="1:11" ht="18.75" thickBot="1">
      <c r="A2" s="1448" t="s">
        <v>1004</v>
      </c>
      <c r="B2" s="1449"/>
      <c r="C2" s="1449"/>
      <c r="D2" s="1449"/>
      <c r="E2" s="1449"/>
      <c r="F2" s="1449"/>
      <c r="G2" s="1449"/>
      <c r="H2" s="1449"/>
      <c r="I2" s="1449"/>
      <c r="J2" s="1449"/>
      <c r="K2" s="1450"/>
    </row>
    <row r="3" spans="1:11">
      <c r="A3" s="1451" t="s">
        <v>1005</v>
      </c>
      <c r="B3" s="1452" t="s">
        <v>1086</v>
      </c>
      <c r="C3" s="1453"/>
      <c r="D3" s="1453" t="s">
        <v>1006</v>
      </c>
      <c r="E3" s="1453"/>
      <c r="F3" s="1453"/>
      <c r="G3" s="1453"/>
      <c r="H3" s="1453"/>
      <c r="I3" s="1453"/>
      <c r="J3" s="1453"/>
      <c r="K3" s="1454"/>
    </row>
    <row r="4" spans="1:11">
      <c r="A4" s="1455" t="s">
        <v>1007</v>
      </c>
      <c r="B4" s="1456" t="s">
        <v>1008</v>
      </c>
      <c r="C4" s="1457"/>
      <c r="D4" s="1457"/>
      <c r="E4" s="1457" t="s">
        <v>1009</v>
      </c>
      <c r="F4" s="1457"/>
      <c r="G4" s="1458"/>
      <c r="H4" s="1457"/>
      <c r="I4" s="1457"/>
      <c r="J4" s="1457"/>
      <c r="K4" s="1459"/>
    </row>
    <row r="5" spans="1:11" ht="16.5" thickBot="1">
      <c r="A5" s="1455"/>
      <c r="B5" s="1457"/>
      <c r="C5" s="1457" t="s">
        <v>1010</v>
      </c>
      <c r="D5" s="1457"/>
      <c r="E5" s="1457"/>
      <c r="F5" s="1457"/>
      <c r="G5" s="1457"/>
      <c r="H5" s="1457"/>
      <c r="I5" s="1460" t="s">
        <v>1011</v>
      </c>
      <c r="J5" s="1457"/>
      <c r="K5" s="1459"/>
    </row>
    <row r="6" spans="1:11" ht="16.5" thickBot="1">
      <c r="A6" s="1461" t="s">
        <v>1012</v>
      </c>
      <c r="B6" s="1462"/>
      <c r="C6" s="1463">
        <v>20</v>
      </c>
      <c r="D6" s="1462"/>
      <c r="E6" s="1462" t="s">
        <v>1013</v>
      </c>
      <c r="F6" s="1462"/>
      <c r="G6" s="1462"/>
      <c r="H6" s="1464">
        <f>'Development Budget'!G46+'Development Budget'!G47</f>
        <v>89261078.843749985</v>
      </c>
      <c r="I6" s="1465"/>
      <c r="J6" s="1466"/>
      <c r="K6" s="1467"/>
    </row>
    <row r="7" spans="1:11">
      <c r="A7" s="1468" t="s">
        <v>1014</v>
      </c>
      <c r="B7" s="1469"/>
      <c r="C7" s="1470"/>
      <c r="D7" s="1469"/>
      <c r="E7" s="1469"/>
      <c r="F7" s="1469"/>
      <c r="G7" s="1469"/>
      <c r="H7" s="1469"/>
      <c r="I7" s="1469"/>
      <c r="J7" s="1469"/>
      <c r="K7" s="1471"/>
    </row>
    <row r="8" spans="1:11">
      <c r="A8" s="1472" t="s">
        <v>1015</v>
      </c>
      <c r="B8" s="1470"/>
      <c r="C8" s="1470"/>
      <c r="D8" s="1473">
        <f>SUM(H6/1000)*0.9+500</f>
        <v>80834.970959374987</v>
      </c>
      <c r="E8" s="1470"/>
      <c r="F8" s="1470"/>
      <c r="G8" s="1470"/>
      <c r="H8" s="1470"/>
      <c r="I8" s="1470"/>
      <c r="J8" s="1470"/>
      <c r="K8" s="1474"/>
    </row>
    <row r="9" spans="1:11">
      <c r="A9" s="1472"/>
      <c r="B9" s="1470"/>
      <c r="C9" s="1470"/>
      <c r="D9" s="1473"/>
      <c r="E9" s="1470"/>
      <c r="F9" s="1470"/>
      <c r="G9" s="1470"/>
      <c r="H9" s="1470"/>
      <c r="I9" s="1470"/>
      <c r="J9" s="1470"/>
      <c r="K9" s="1474"/>
    </row>
    <row r="10" spans="1:11">
      <c r="A10" s="1472" t="s">
        <v>1016</v>
      </c>
      <c r="B10" s="1470"/>
      <c r="C10" s="1470"/>
      <c r="D10" s="1473"/>
      <c r="E10" s="1470"/>
      <c r="F10" s="1470"/>
      <c r="G10" s="1470"/>
      <c r="H10" s="1470"/>
      <c r="I10" s="1470"/>
      <c r="J10" s="1470"/>
      <c r="K10" s="1474"/>
    </row>
    <row r="11" spans="1:11">
      <c r="A11" s="1475">
        <v>4000000</v>
      </c>
      <c r="B11" s="1470"/>
      <c r="C11" s="1470"/>
      <c r="D11" s="1473">
        <f>SUM(D8*0.9)</f>
        <v>72751.473863437495</v>
      </c>
      <c r="E11" s="1470"/>
      <c r="F11" s="1470"/>
      <c r="G11" s="1470"/>
      <c r="H11" s="1470"/>
      <c r="I11" s="1470"/>
      <c r="J11" s="1470"/>
      <c r="K11" s="1474"/>
    </row>
    <row r="12" spans="1:11">
      <c r="A12" s="1472"/>
      <c r="B12" s="1470"/>
      <c r="C12" s="1470"/>
      <c r="D12" s="1473"/>
      <c r="E12" s="1470"/>
      <c r="F12" s="1470"/>
      <c r="G12" s="1470"/>
      <c r="H12" s="1470"/>
      <c r="I12" s="1470"/>
      <c r="J12" s="1470"/>
      <c r="K12" s="1474"/>
    </row>
    <row r="13" spans="1:11">
      <c r="A13" s="1472" t="s">
        <v>1017</v>
      </c>
      <c r="B13" s="1470"/>
      <c r="C13" s="1470"/>
      <c r="D13" s="1473">
        <f>SUM(A14+A15+A16)/100*0.415/12*C6</f>
        <v>649517.04533593741</v>
      </c>
      <c r="E13" s="1470"/>
      <c r="F13" s="1470"/>
      <c r="G13" s="1470"/>
      <c r="H13" s="1470"/>
      <c r="I13" s="1470"/>
      <c r="J13" s="1470"/>
      <c r="K13" s="1474"/>
    </row>
    <row r="14" spans="1:11">
      <c r="A14" s="1476">
        <f>H6</f>
        <v>89261078.843749985</v>
      </c>
      <c r="B14" s="1470" t="s">
        <v>1018</v>
      </c>
      <c r="C14" s="1470"/>
      <c r="D14" s="1473"/>
      <c r="E14" s="1470"/>
      <c r="F14" s="1470"/>
      <c r="G14" s="1470"/>
      <c r="H14" s="1470"/>
      <c r="I14" s="1470"/>
      <c r="J14" s="1470"/>
      <c r="K14" s="1474"/>
    </row>
    <row r="15" spans="1:11">
      <c r="A15" s="1477">
        <v>4495000</v>
      </c>
      <c r="B15" s="1470" t="s">
        <v>1019</v>
      </c>
      <c r="C15" s="1470"/>
      <c r="D15" s="1473"/>
      <c r="E15" s="1470"/>
      <c r="F15" s="1470"/>
      <c r="G15" s="1470"/>
      <c r="H15" s="1470"/>
      <c r="I15" s="1470"/>
      <c r="J15" s="1470"/>
      <c r="K15" s="1474"/>
    </row>
    <row r="16" spans="1:11">
      <c r="A16" s="1477">
        <v>150000</v>
      </c>
      <c r="B16" s="1470" t="s">
        <v>1020</v>
      </c>
      <c r="C16" s="1470"/>
      <c r="D16" s="1473"/>
      <c r="E16" s="1470"/>
      <c r="F16" s="1470"/>
      <c r="G16" s="1470"/>
      <c r="H16" s="1470"/>
      <c r="I16" s="1470"/>
      <c r="J16" s="1470"/>
      <c r="K16" s="1474"/>
    </row>
    <row r="17" spans="1:11">
      <c r="A17" s="1476" t="s">
        <v>1021</v>
      </c>
      <c r="B17" s="1470"/>
      <c r="C17" s="1470"/>
      <c r="D17" s="1473">
        <f>SUM(H6/1000)*0.23</f>
        <v>20530.048134062497</v>
      </c>
      <c r="E17" s="1470"/>
      <c r="F17" s="1470"/>
      <c r="G17" s="1470"/>
      <c r="H17" s="1470"/>
      <c r="I17" s="1470"/>
      <c r="J17" s="1470"/>
      <c r="K17" s="1474"/>
    </row>
    <row r="18" spans="1:11" ht="16.5" thickBot="1">
      <c r="A18" s="1472"/>
      <c r="B18" s="1470"/>
      <c r="C18" s="1470"/>
      <c r="D18" s="1473"/>
      <c r="E18" s="1470"/>
      <c r="F18" s="1470"/>
      <c r="G18" s="1470"/>
      <c r="H18" s="1470"/>
      <c r="I18" s="1470"/>
      <c r="J18" s="1470"/>
      <c r="K18" s="1474"/>
    </row>
    <row r="19" spans="1:11" ht="16.5" thickBot="1">
      <c r="A19" s="1472" t="s">
        <v>1022</v>
      </c>
      <c r="B19" s="1470"/>
      <c r="C19" s="1470"/>
      <c r="D19" s="1473"/>
      <c r="E19" s="1478">
        <f>SUM(D8:D17)</f>
        <v>823633.53829281242</v>
      </c>
      <c r="F19" s="1470"/>
      <c r="G19" s="1479" t="s">
        <v>1023</v>
      </c>
      <c r="H19" s="1470"/>
      <c r="I19" s="1470"/>
      <c r="J19" s="1470"/>
      <c r="K19" s="1474"/>
    </row>
    <row r="20" spans="1:11" ht="16.5" thickBot="1">
      <c r="A20" s="1480"/>
      <c r="B20" s="1481"/>
      <c r="C20" s="1481"/>
      <c r="D20" s="1482"/>
      <c r="E20" s="1481"/>
      <c r="F20" s="1481"/>
      <c r="G20" s="1481"/>
      <c r="H20" s="1481"/>
      <c r="I20" s="1481"/>
      <c r="J20" s="1481"/>
      <c r="K20" s="1483"/>
    </row>
    <row r="21" spans="1:11" ht="18.75" thickBot="1">
      <c r="A21" s="1484" t="s">
        <v>1024</v>
      </c>
      <c r="B21" s="1485"/>
      <c r="C21" s="1485"/>
      <c r="D21" s="1485"/>
      <c r="E21" s="1485"/>
      <c r="F21" s="1485"/>
      <c r="G21" s="1485"/>
      <c r="H21" s="1485"/>
      <c r="I21" s="1485"/>
      <c r="J21" s="1485"/>
      <c r="K21" s="1486"/>
    </row>
    <row r="22" spans="1:11">
      <c r="A22" s="1487"/>
      <c r="B22" s="1488"/>
      <c r="C22" s="1488"/>
      <c r="D22" s="1488" t="str">
        <f>D3</f>
        <v>(Estimator created on 09.15.20)</v>
      </c>
      <c r="E22" s="1488"/>
      <c r="F22" s="1488"/>
      <c r="G22" s="1488"/>
      <c r="H22" s="1488"/>
      <c r="I22" s="1488"/>
      <c r="J22" s="1488"/>
      <c r="K22" s="1489"/>
    </row>
    <row r="23" spans="1:11">
      <c r="A23" s="1490" t="s">
        <v>1025</v>
      </c>
      <c r="B23" s="1491" t="str">
        <f>B3</f>
        <v>St. James UMC</v>
      </c>
      <c r="C23" s="1491"/>
      <c r="D23" s="1491"/>
      <c r="E23" s="1491" t="s">
        <v>1026</v>
      </c>
      <c r="F23" s="1491"/>
      <c r="G23" s="1492"/>
      <c r="H23" s="1492"/>
      <c r="I23" s="1491"/>
      <c r="J23" s="1491"/>
      <c r="K23" s="1493"/>
    </row>
    <row r="24" spans="1:11" ht="16.5" thickBot="1">
      <c r="A24" s="1490"/>
      <c r="B24" s="1494" t="s">
        <v>1008</v>
      </c>
      <c r="C24" s="1491"/>
      <c r="D24" s="1491"/>
      <c r="E24" s="1491"/>
      <c r="F24" s="1491"/>
      <c r="G24" s="1491"/>
      <c r="H24" s="1491"/>
      <c r="I24" s="1495" t="s">
        <v>1011</v>
      </c>
      <c r="J24" s="1491"/>
      <c r="K24" s="1493"/>
    </row>
    <row r="25" spans="1:11" ht="16.5" thickBot="1">
      <c r="A25" s="1496" t="s">
        <v>1027</v>
      </c>
      <c r="B25" s="1497"/>
      <c r="C25" s="1498">
        <v>50</v>
      </c>
      <c r="D25" s="1497"/>
      <c r="E25" s="1497" t="s">
        <v>1028</v>
      </c>
      <c r="F25" s="1497"/>
      <c r="G25" s="1497"/>
      <c r="H25" s="1499">
        <f>SUM(H6*0.8)</f>
        <v>71408863.074999988</v>
      </c>
      <c r="I25" s="1500"/>
      <c r="J25" s="1501"/>
      <c r="K25" s="1502"/>
    </row>
    <row r="26" spans="1:11">
      <c r="A26" s="1503" t="s">
        <v>1014</v>
      </c>
      <c r="B26" s="1504"/>
      <c r="C26" s="1505"/>
      <c r="D26" s="1504"/>
      <c r="E26" s="1504"/>
      <c r="F26" s="1504"/>
      <c r="G26" s="1504"/>
      <c r="H26" s="1504"/>
      <c r="I26" s="1504"/>
      <c r="J26" s="1504"/>
      <c r="K26" s="1506"/>
    </row>
    <row r="27" spans="1:11">
      <c r="A27" s="1507" t="s">
        <v>1015</v>
      </c>
      <c r="B27" s="1505"/>
      <c r="C27" s="1505"/>
      <c r="D27" s="1508">
        <f>SUM(C25*75+300)</f>
        <v>4050</v>
      </c>
      <c r="E27" s="1505"/>
      <c r="F27" s="1505"/>
      <c r="G27" s="1505"/>
      <c r="H27" s="1505"/>
      <c r="I27" s="1505"/>
      <c r="J27" s="1505"/>
      <c r="K27" s="1509"/>
    </row>
    <row r="28" spans="1:11">
      <c r="A28" s="1507"/>
      <c r="B28" s="1505"/>
      <c r="C28" s="1505"/>
      <c r="D28" s="1508"/>
      <c r="E28" s="1505"/>
      <c r="F28" s="1505"/>
      <c r="G28" s="1505"/>
      <c r="H28" s="1505"/>
      <c r="I28" s="1505"/>
      <c r="J28" s="1505"/>
      <c r="K28" s="1509"/>
    </row>
    <row r="29" spans="1:11">
      <c r="A29" s="1507" t="s">
        <v>1016</v>
      </c>
      <c r="B29" s="1505"/>
      <c r="C29" s="1505"/>
      <c r="D29" s="1508"/>
      <c r="E29" s="1505"/>
      <c r="F29" s="1505"/>
      <c r="G29" s="1505"/>
      <c r="H29" s="1505"/>
      <c r="I29" s="1505"/>
      <c r="J29" s="1505"/>
      <c r="K29" s="1509"/>
    </row>
    <row r="30" spans="1:11">
      <c r="A30" s="1507" t="s">
        <v>1029</v>
      </c>
      <c r="B30" s="1505"/>
      <c r="C30" s="1505"/>
      <c r="D30" s="1508">
        <f>SUM(D27*0.75)</f>
        <v>3037.5</v>
      </c>
      <c r="E30" s="1505"/>
      <c r="F30" s="1505"/>
      <c r="G30" s="1505"/>
      <c r="H30" s="1505"/>
      <c r="I30" s="1505"/>
      <c r="J30" s="1505"/>
      <c r="K30" s="1509"/>
    </row>
    <row r="31" spans="1:11">
      <c r="A31" s="1507"/>
      <c r="B31" s="1505"/>
      <c r="C31" s="1505"/>
      <c r="D31" s="1508"/>
      <c r="E31" s="1505"/>
      <c r="F31" s="1505"/>
      <c r="G31" s="1505"/>
      <c r="H31" s="1505"/>
      <c r="I31" s="1505"/>
      <c r="J31" s="1505"/>
      <c r="K31" s="1509"/>
    </row>
    <row r="32" spans="1:11">
      <c r="A32" s="1507" t="s">
        <v>1030</v>
      </c>
      <c r="B32" s="1505"/>
      <c r="C32" s="1505"/>
      <c r="D32" s="1508">
        <f>SUM(A33+A34+A35)/100*0.135+500</f>
        <v>98157.90903124999</v>
      </c>
      <c r="E32" s="1505" t="s">
        <v>1031</v>
      </c>
      <c r="F32" s="1505"/>
      <c r="G32" s="1505"/>
      <c r="H32" s="1505"/>
      <c r="I32" s="1505"/>
      <c r="J32" s="1505"/>
      <c r="K32" s="1509"/>
    </row>
    <row r="33" spans="1:11">
      <c r="A33" s="1510">
        <f>H25</f>
        <v>71408863.074999988</v>
      </c>
      <c r="B33" s="1505" t="s">
        <v>1032</v>
      </c>
      <c r="C33" s="1505"/>
      <c r="D33" s="1508"/>
      <c r="E33" s="1505"/>
      <c r="F33" s="1505"/>
      <c r="G33" s="1505"/>
      <c r="H33" s="1505"/>
      <c r="I33" s="1505"/>
      <c r="J33" s="1505"/>
      <c r="K33" s="1509"/>
    </row>
    <row r="34" spans="1:11">
      <c r="A34" s="1510">
        <v>780328.8</v>
      </c>
      <c r="B34" s="1505" t="s">
        <v>159</v>
      </c>
      <c r="C34" s="1505"/>
      <c r="D34" s="1508"/>
      <c r="E34" s="1505"/>
      <c r="F34" s="1505"/>
      <c r="G34" s="1505"/>
      <c r="H34" s="1505"/>
      <c r="I34" s="1505"/>
      <c r="J34" s="1505"/>
      <c r="K34" s="1509"/>
    </row>
    <row r="35" spans="1:11" ht="16.5" thickBot="1">
      <c r="A35" s="1510">
        <f>A16</f>
        <v>150000</v>
      </c>
      <c r="B35" s="1505" t="s">
        <v>1033</v>
      </c>
      <c r="C35" s="1505"/>
      <c r="D35" s="1508"/>
      <c r="E35" s="1505"/>
      <c r="F35" s="1505"/>
      <c r="G35" s="1505"/>
      <c r="H35" s="1505"/>
      <c r="I35" s="1505"/>
      <c r="J35" s="1505"/>
      <c r="K35" s="1509"/>
    </row>
    <row r="36" spans="1:11" ht="16.5" thickBot="1">
      <c r="A36" s="1507" t="s">
        <v>1034</v>
      </c>
      <c r="B36" s="1505"/>
      <c r="C36" s="1505"/>
      <c r="D36" s="1508"/>
      <c r="E36" s="1511">
        <f>SUM(D27:D34)</f>
        <v>105245.40903124999</v>
      </c>
      <c r="F36" s="1505"/>
      <c r="G36" s="1505"/>
      <c r="H36" s="1505"/>
      <c r="I36" s="1505"/>
      <c r="J36" s="1505"/>
      <c r="K36" s="1509"/>
    </row>
    <row r="37" spans="1:11">
      <c r="A37" s="1512"/>
      <c r="B37" s="1513"/>
      <c r="C37" s="1513"/>
      <c r="D37" s="1513"/>
      <c r="E37" s="1513"/>
      <c r="F37" s="1513"/>
      <c r="G37" s="1513"/>
      <c r="H37" s="1513"/>
      <c r="I37" s="1513"/>
      <c r="J37" s="1513"/>
      <c r="K37" s="1514"/>
    </row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1"/>
  <sheetViews>
    <sheetView workbookViewId="0"/>
  </sheetViews>
  <sheetFormatPr defaultRowHeight="15.75"/>
  <cols>
    <col min="1" max="1" width="36" customWidth="1"/>
    <col min="2" max="2" width="21.875" customWidth="1"/>
    <col min="4" max="4" width="2.125" customWidth="1"/>
  </cols>
  <sheetData>
    <row r="1" spans="1:4" ht="21">
      <c r="A1" s="488" t="s">
        <v>334</v>
      </c>
    </row>
    <row r="2" spans="1:4">
      <c r="A2" s="503" t="s">
        <v>335</v>
      </c>
    </row>
    <row r="5" spans="1:4">
      <c r="A5" s="46" t="s">
        <v>336</v>
      </c>
      <c r="B5" s="47" t="s">
        <v>337</v>
      </c>
      <c r="C5" s="47" t="s">
        <v>338</v>
      </c>
    </row>
    <row r="6" spans="1:4">
      <c r="A6" s="487" t="s">
        <v>339</v>
      </c>
      <c r="B6" t="s">
        <v>340</v>
      </c>
      <c r="C6" s="493">
        <f>112*0.1</f>
        <v>11.200000000000001</v>
      </c>
    </row>
    <row r="7" spans="1:4">
      <c r="A7" s="487" t="s">
        <v>341</v>
      </c>
      <c r="B7" t="s">
        <v>342</v>
      </c>
      <c r="C7">
        <v>112</v>
      </c>
    </row>
    <row r="8" spans="1:4">
      <c r="A8" s="491" t="s">
        <v>343</v>
      </c>
      <c r="C8">
        <v>20</v>
      </c>
    </row>
    <row r="9" spans="1:4">
      <c r="A9" s="491" t="s">
        <v>344</v>
      </c>
      <c r="C9" s="493">
        <f>(C7-C8)*0.25</f>
        <v>23</v>
      </c>
    </row>
    <row r="10" spans="1:4">
      <c r="A10" s="491" t="s">
        <v>345</v>
      </c>
      <c r="C10" s="493">
        <f>C7-C9-C8</f>
        <v>69</v>
      </c>
    </row>
    <row r="11" spans="1:4">
      <c r="A11" s="492"/>
    </row>
    <row r="12" spans="1:4">
      <c r="A12" s="495" t="s">
        <v>346</v>
      </c>
    </row>
    <row r="13" spans="1:4">
      <c r="A13" s="497" t="s">
        <v>347</v>
      </c>
      <c r="B13" s="46" t="s">
        <v>348</v>
      </c>
    </row>
    <row r="14" spans="1:4">
      <c r="A14" s="492" t="s">
        <v>349</v>
      </c>
      <c r="B14" s="498" t="s">
        <v>350</v>
      </c>
      <c r="C14" s="334"/>
    </row>
    <row r="15" spans="1:4">
      <c r="A15" s="492" t="s">
        <v>351</v>
      </c>
      <c r="B15" s="498" t="s">
        <v>350</v>
      </c>
      <c r="C15" s="334"/>
    </row>
    <row r="16" spans="1:4">
      <c r="A16" s="492" t="s">
        <v>352</v>
      </c>
      <c r="B16" s="496">
        <f>C16*C8</f>
        <v>140000</v>
      </c>
      <c r="C16" s="48">
        <v>7000</v>
      </c>
      <c r="D16" t="s">
        <v>353</v>
      </c>
    </row>
    <row r="17" spans="1:5">
      <c r="A17" s="492" t="s">
        <v>354</v>
      </c>
      <c r="B17" s="496">
        <v>30000</v>
      </c>
      <c r="C17" s="334"/>
      <c r="E17" s="48"/>
    </row>
    <row r="18" spans="1:5" ht="16.5" thickBot="1">
      <c r="A18" s="500" t="s">
        <v>355</v>
      </c>
      <c r="B18" s="501">
        <f>(B16+B17)*0.15</f>
        <v>25500</v>
      </c>
      <c r="C18" s="334"/>
    </row>
    <row r="19" spans="1:5" ht="16.5" thickTop="1">
      <c r="A19" s="502" t="s">
        <v>356</v>
      </c>
      <c r="B19" s="499">
        <f>B18+B16</f>
        <v>165500</v>
      </c>
      <c r="C19" s="334"/>
    </row>
    <row r="20" spans="1:5">
      <c r="A20" s="494"/>
      <c r="B20" s="334"/>
      <c r="C20" s="334"/>
    </row>
    <row r="21" spans="1:5">
      <c r="A21" s="495" t="s">
        <v>357</v>
      </c>
      <c r="B21" s="334"/>
      <c r="C21" s="334"/>
    </row>
    <row r="22" spans="1:5">
      <c r="A22" s="492" t="s">
        <v>358</v>
      </c>
      <c r="B22" s="334"/>
      <c r="C22" s="334"/>
    </row>
    <row r="23" spans="1:5">
      <c r="A23" s="491" t="s">
        <v>359</v>
      </c>
    </row>
    <row r="24" spans="1:5">
      <c r="A24" s="491"/>
    </row>
    <row r="25" spans="1:5">
      <c r="A25" s="491"/>
    </row>
    <row r="26" spans="1:5">
      <c r="A26" s="491"/>
    </row>
    <row r="27" spans="1:5">
      <c r="A27" s="487"/>
    </row>
    <row r="28" spans="1:5">
      <c r="A28" s="487"/>
    </row>
    <row r="29" spans="1:5">
      <c r="A29" s="487"/>
    </row>
    <row r="30" spans="1:5">
      <c r="A30" s="487"/>
    </row>
    <row r="33" spans="1:2">
      <c r="A33" s="492"/>
    </row>
    <row r="38" spans="1:2">
      <c r="A38" s="492" t="s">
        <v>360</v>
      </c>
    </row>
    <row r="39" spans="1:2">
      <c r="A39" s="491" t="s">
        <v>361</v>
      </c>
    </row>
    <row r="40" spans="1:2">
      <c r="A40" s="491" t="s">
        <v>362</v>
      </c>
      <c r="B40" s="489" t="s">
        <v>363</v>
      </c>
    </row>
    <row r="41" spans="1:2">
      <c r="B41" s="490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"/>
  <sheetViews>
    <sheetView workbookViewId="0">
      <selection activeCell="A48" sqref="A48"/>
    </sheetView>
  </sheetViews>
  <sheetFormatPr defaultColWidth="8" defaultRowHeight="15"/>
  <cols>
    <col min="1" max="1" width="2.75" style="461" customWidth="1"/>
    <col min="2" max="2" width="12.75" style="461" customWidth="1"/>
    <col min="3" max="3" width="16" style="461" customWidth="1"/>
    <col min="4" max="4" width="10.125" style="462" customWidth="1"/>
    <col min="5" max="5" width="16.25" style="462" customWidth="1"/>
    <col min="6" max="6" width="8" style="461"/>
    <col min="7" max="7" width="18" style="461" bestFit="1" customWidth="1"/>
    <col min="8" max="8" width="9.75" style="461" customWidth="1"/>
    <col min="9" max="16384" width="8" style="461"/>
  </cols>
  <sheetData>
    <row r="1" spans="1:7" ht="28.5">
      <c r="A1" s="34" t="s">
        <v>364</v>
      </c>
      <c r="B1" s="35"/>
      <c r="C1" s="35"/>
      <c r="D1" s="36"/>
      <c r="E1" s="36"/>
      <c r="F1" s="690"/>
      <c r="G1" s="690"/>
    </row>
    <row r="2" spans="1:7" ht="28.5">
      <c r="A2" s="34" t="s">
        <v>82</v>
      </c>
      <c r="B2" s="35"/>
      <c r="C2" s="35"/>
      <c r="D2" s="36"/>
      <c r="E2" s="36"/>
      <c r="F2" s="690"/>
      <c r="G2" s="690"/>
    </row>
    <row r="3" spans="1:7" ht="15.75">
      <c r="A3" s="455" t="s">
        <v>365</v>
      </c>
      <c r="B3" s="690"/>
      <c r="C3" s="690"/>
      <c r="D3" s="717"/>
      <c r="E3" s="717"/>
      <c r="F3" s="690"/>
      <c r="G3" s="690"/>
    </row>
    <row r="6" spans="1:7">
      <c r="A6" s="690"/>
      <c r="B6" s="702" t="s">
        <v>10</v>
      </c>
      <c r="C6" s="702"/>
      <c r="D6" s="717">
        <v>93</v>
      </c>
      <c r="E6" s="717"/>
      <c r="F6" s="690"/>
      <c r="G6" s="690"/>
    </row>
    <row r="8" spans="1:7" ht="15.75" thickBot="1">
      <c r="A8" s="730"/>
      <c r="B8" s="730"/>
      <c r="C8" s="730"/>
      <c r="D8" s="33" t="s">
        <v>83</v>
      </c>
      <c r="E8" s="33" t="s">
        <v>84</v>
      </c>
      <c r="F8" s="690"/>
      <c r="G8" s="690"/>
    </row>
    <row r="9" spans="1:7">
      <c r="A9" s="3" t="s">
        <v>87</v>
      </c>
      <c r="B9" s="690"/>
      <c r="C9" s="690"/>
      <c r="D9" s="717"/>
      <c r="E9" s="717"/>
      <c r="F9" s="690"/>
      <c r="G9" s="690"/>
    </row>
    <row r="10" spans="1:7">
      <c r="A10" s="690"/>
      <c r="B10" s="690" t="s">
        <v>366</v>
      </c>
      <c r="C10" s="690"/>
      <c r="D10" s="717"/>
      <c r="E10" s="717">
        <v>0</v>
      </c>
      <c r="F10" s="690"/>
      <c r="G10" s="690"/>
    </row>
    <row r="11" spans="1:7" ht="15.75" thickBot="1">
      <c r="A11" s="731"/>
      <c r="B11" s="731" t="s">
        <v>88</v>
      </c>
      <c r="C11" s="731"/>
      <c r="D11" s="732"/>
      <c r="E11" s="732">
        <v>10000</v>
      </c>
      <c r="F11" s="690"/>
      <c r="G11" s="690"/>
    </row>
    <row r="12" spans="1:7" ht="15.75" thickTop="1">
      <c r="A12" s="3" t="s">
        <v>89</v>
      </c>
      <c r="B12" s="690"/>
      <c r="C12" s="690"/>
      <c r="D12" s="717"/>
      <c r="E12" s="39">
        <f>SUM(E10:E11)</f>
        <v>10000</v>
      </c>
      <c r="F12" s="690"/>
      <c r="G12" s="690"/>
    </row>
    <row r="14" spans="1:7">
      <c r="A14" s="3" t="s">
        <v>90</v>
      </c>
      <c r="B14" s="690"/>
      <c r="C14" s="690"/>
      <c r="D14" s="717"/>
      <c r="E14" s="717"/>
      <c r="F14" s="690"/>
      <c r="G14" s="690"/>
    </row>
    <row r="15" spans="1:7">
      <c r="A15" s="690"/>
      <c r="B15" s="690" t="s">
        <v>91</v>
      </c>
      <c r="C15" s="690"/>
      <c r="D15" s="717"/>
      <c r="E15" s="717">
        <v>122805</v>
      </c>
      <c r="F15" s="690"/>
      <c r="G15" s="706"/>
    </row>
    <row r="16" spans="1:7">
      <c r="A16" s="690"/>
      <c r="B16" s="690" t="s">
        <v>92</v>
      </c>
      <c r="C16" s="690"/>
      <c r="D16" s="733"/>
      <c r="E16" s="717">
        <v>700142</v>
      </c>
      <c r="F16" s="690"/>
      <c r="G16" s="690"/>
    </row>
    <row r="17" spans="1:8">
      <c r="A17" s="690"/>
      <c r="B17" s="690" t="s">
        <v>93</v>
      </c>
      <c r="C17" s="690"/>
      <c r="D17" s="733"/>
      <c r="E17" s="717">
        <v>1932561</v>
      </c>
      <c r="F17" s="690"/>
      <c r="G17" s="690"/>
      <c r="H17" s="690"/>
    </row>
    <row r="18" spans="1:8">
      <c r="A18" s="690"/>
      <c r="B18" s="690" t="s">
        <v>94</v>
      </c>
      <c r="C18" s="690"/>
      <c r="D18" s="733"/>
      <c r="E18" s="717"/>
      <c r="F18" s="690"/>
      <c r="G18" s="690"/>
      <c r="H18" s="690"/>
    </row>
    <row r="19" spans="1:8">
      <c r="A19" s="690"/>
      <c r="B19" s="690" t="s">
        <v>95</v>
      </c>
      <c r="C19" s="690"/>
      <c r="D19" s="733"/>
      <c r="E19" s="717">
        <v>36938050</v>
      </c>
      <c r="F19" s="690"/>
      <c r="G19" s="690"/>
      <c r="H19" s="690"/>
    </row>
    <row r="20" spans="1:8">
      <c r="A20" s="690"/>
      <c r="B20" s="690" t="s">
        <v>96</v>
      </c>
      <c r="C20" s="690"/>
      <c r="D20" s="733"/>
      <c r="E20" s="717">
        <v>1819870</v>
      </c>
      <c r="F20" s="690"/>
      <c r="G20" s="690"/>
      <c r="H20" s="690"/>
    </row>
    <row r="21" spans="1:8">
      <c r="A21" s="690"/>
      <c r="B21" s="690" t="s">
        <v>97</v>
      </c>
      <c r="C21" s="690"/>
      <c r="D21" s="733"/>
      <c r="E21" s="717">
        <v>240960</v>
      </c>
      <c r="F21" s="690"/>
      <c r="G21" s="703"/>
      <c r="H21" s="690"/>
    </row>
    <row r="22" spans="1:8">
      <c r="A22" s="690"/>
      <c r="B22" s="690" t="s">
        <v>98</v>
      </c>
      <c r="C22" s="690"/>
      <c r="D22" s="733"/>
      <c r="E22" s="717">
        <v>3070748</v>
      </c>
      <c r="F22" s="690"/>
      <c r="G22" s="690"/>
      <c r="H22" s="690"/>
    </row>
    <row r="23" spans="1:8">
      <c r="A23" s="690"/>
      <c r="B23" s="690" t="s">
        <v>99</v>
      </c>
      <c r="C23" s="690"/>
      <c r="D23" s="710"/>
      <c r="E23" s="717">
        <v>1760000</v>
      </c>
      <c r="F23" s="690"/>
      <c r="G23" s="690"/>
      <c r="H23" s="690"/>
    </row>
    <row r="24" spans="1:8">
      <c r="A24" s="690"/>
      <c r="B24" s="690" t="s">
        <v>100</v>
      </c>
      <c r="C24" s="690"/>
      <c r="D24" s="710"/>
      <c r="E24" s="717">
        <v>931703</v>
      </c>
      <c r="F24" s="690"/>
      <c r="G24" s="690"/>
      <c r="H24" s="690"/>
    </row>
    <row r="25" spans="1:8">
      <c r="A25" s="690"/>
      <c r="B25" s="690" t="s">
        <v>367</v>
      </c>
      <c r="C25" s="690"/>
      <c r="D25" s="710"/>
      <c r="E25" s="717">
        <v>3326179</v>
      </c>
      <c r="F25" s="690"/>
      <c r="G25" s="690"/>
      <c r="H25" s="690"/>
    </row>
    <row r="26" spans="1:8" ht="15.75" thickBot="1">
      <c r="A26" s="731"/>
      <c r="B26" s="731" t="s">
        <v>101</v>
      </c>
      <c r="C26" s="731"/>
      <c r="D26" s="732"/>
      <c r="E26" s="732">
        <f>381323+508430</f>
        <v>889753</v>
      </c>
      <c r="F26" s="690"/>
      <c r="G26" s="690"/>
      <c r="H26" s="690"/>
    </row>
    <row r="27" spans="1:8" ht="15.75" thickTop="1">
      <c r="A27" s="3" t="s">
        <v>102</v>
      </c>
      <c r="B27" s="690"/>
      <c r="C27" s="690"/>
      <c r="D27" s="717"/>
      <c r="E27" s="39">
        <f>SUM(E15:E26)</f>
        <v>51732771</v>
      </c>
      <c r="F27" s="690"/>
      <c r="G27" s="690"/>
      <c r="H27" s="707"/>
    </row>
    <row r="29" spans="1:8">
      <c r="A29" s="3" t="s">
        <v>103</v>
      </c>
      <c r="B29" s="690"/>
      <c r="C29" s="690"/>
      <c r="D29" s="717"/>
      <c r="E29" s="39">
        <v>3065331</v>
      </c>
      <c r="F29" s="690"/>
      <c r="G29" s="690"/>
      <c r="H29" s="690"/>
    </row>
    <row r="31" spans="1:8">
      <c r="A31" s="3" t="s">
        <v>368</v>
      </c>
      <c r="B31" s="690"/>
      <c r="C31" s="690"/>
      <c r="D31" s="717"/>
      <c r="E31" s="39">
        <v>125000</v>
      </c>
      <c r="F31" s="690"/>
      <c r="G31" s="690"/>
      <c r="H31" s="690"/>
    </row>
    <row r="33" spans="1:5">
      <c r="A33" s="3" t="s">
        <v>107</v>
      </c>
      <c r="B33" s="690"/>
      <c r="C33" s="690"/>
      <c r="D33" s="717"/>
      <c r="E33" s="717"/>
    </row>
    <row r="34" spans="1:5">
      <c r="A34" s="690"/>
      <c r="B34" s="690" t="s">
        <v>108</v>
      </c>
      <c r="C34" s="690"/>
      <c r="D34" s="717"/>
      <c r="E34" s="717">
        <v>1174500.0000000002</v>
      </c>
    </row>
    <row r="35" spans="1:5">
      <c r="A35" s="690"/>
      <c r="B35" s="690" t="s">
        <v>109</v>
      </c>
      <c r="C35" s="690"/>
      <c r="D35" s="717"/>
      <c r="E35" s="717">
        <v>290000</v>
      </c>
    </row>
    <row r="36" spans="1:5">
      <c r="A36" s="690"/>
      <c r="B36" s="690" t="s">
        <v>110</v>
      </c>
      <c r="C36" s="690"/>
      <c r="D36" s="717"/>
      <c r="E36" s="717">
        <v>50000</v>
      </c>
    </row>
    <row r="37" spans="1:5">
      <c r="A37" s="690"/>
      <c r="B37" s="690" t="s">
        <v>111</v>
      </c>
      <c r="C37" s="690"/>
      <c r="D37" s="717"/>
      <c r="E37" s="717">
        <v>15000</v>
      </c>
    </row>
    <row r="38" spans="1:5">
      <c r="A38" s="690"/>
      <c r="B38" s="690" t="s">
        <v>112</v>
      </c>
      <c r="C38" s="690"/>
      <c r="D38" s="717"/>
      <c r="E38" s="717">
        <v>273642</v>
      </c>
    </row>
    <row r="39" spans="1:5">
      <c r="A39" s="690"/>
      <c r="B39" s="690" t="s">
        <v>113</v>
      </c>
      <c r="C39" s="690"/>
      <c r="D39" s="717"/>
      <c r="E39" s="717">
        <f>12000000*0.0125</f>
        <v>150000</v>
      </c>
    </row>
    <row r="40" spans="1:5" ht="15.75" thickBot="1">
      <c r="A40" s="731"/>
      <c r="B40" s="731" t="s">
        <v>114</v>
      </c>
      <c r="C40" s="731"/>
      <c r="D40" s="732"/>
      <c r="E40" s="732">
        <v>30000</v>
      </c>
    </row>
    <row r="41" spans="1:5" ht="15.75" thickTop="1">
      <c r="A41" s="3" t="s">
        <v>115</v>
      </c>
      <c r="B41" s="690"/>
      <c r="C41" s="690"/>
      <c r="D41" s="717"/>
      <c r="E41" s="39">
        <f>SUM(E34:E40)</f>
        <v>1983142.0000000002</v>
      </c>
    </row>
    <row r="43" spans="1:5">
      <c r="A43" s="3" t="s">
        <v>116</v>
      </c>
      <c r="B43" s="690"/>
      <c r="C43" s="690"/>
      <c r="D43" s="717"/>
      <c r="E43" s="717"/>
    </row>
    <row r="44" spans="1:5">
      <c r="A44" s="690"/>
      <c r="B44" s="690" t="s">
        <v>109</v>
      </c>
      <c r="C44" s="690"/>
      <c r="D44" s="717"/>
      <c r="E44" s="717">
        <v>187316.58838225438</v>
      </c>
    </row>
    <row r="45" spans="1:5">
      <c r="A45" s="690"/>
      <c r="B45" s="690" t="s">
        <v>110</v>
      </c>
      <c r="C45" s="690"/>
      <c r="D45" s="717"/>
      <c r="E45" s="717">
        <v>50000</v>
      </c>
    </row>
    <row r="46" spans="1:5" ht="15.75" thickBot="1">
      <c r="A46" s="731"/>
      <c r="B46" s="731" t="s">
        <v>114</v>
      </c>
      <c r="C46" s="731"/>
      <c r="D46" s="732"/>
      <c r="E46" s="732">
        <v>20000</v>
      </c>
    </row>
    <row r="47" spans="1:5" ht="15.75" thickTop="1">
      <c r="A47" s="3" t="s">
        <v>117</v>
      </c>
      <c r="B47" s="690"/>
      <c r="C47" s="690"/>
      <c r="D47" s="717"/>
      <c r="E47" s="39">
        <f>SUM(E44:E46)</f>
        <v>257316.58838225438</v>
      </c>
    </row>
    <row r="49" spans="1:5">
      <c r="A49" s="3" t="s">
        <v>118</v>
      </c>
      <c r="B49" s="690"/>
      <c r="C49" s="690"/>
      <c r="D49" s="717"/>
      <c r="E49" s="717"/>
    </row>
    <row r="50" spans="1:5">
      <c r="A50" s="690"/>
      <c r="B50" s="690" t="s">
        <v>119</v>
      </c>
      <c r="C50" s="690"/>
      <c r="D50" s="717"/>
      <c r="E50" s="717">
        <v>50000</v>
      </c>
    </row>
    <row r="51" spans="1:5">
      <c r="A51" s="690"/>
      <c r="B51" s="690" t="s">
        <v>120</v>
      </c>
      <c r="C51" s="690"/>
      <c r="D51" s="717"/>
      <c r="E51" s="717">
        <v>50000</v>
      </c>
    </row>
    <row r="52" spans="1:5">
      <c r="A52" s="690"/>
      <c r="B52" s="690" t="s">
        <v>121</v>
      </c>
      <c r="C52" s="690"/>
      <c r="D52" s="717"/>
      <c r="E52" s="717">
        <v>100000</v>
      </c>
    </row>
    <row r="53" spans="1:5" ht="15.75" thickBot="1">
      <c r="A53" s="731"/>
      <c r="B53" s="731" t="s">
        <v>122</v>
      </c>
      <c r="C53" s="731"/>
      <c r="D53" s="732"/>
      <c r="E53" s="732">
        <v>100000</v>
      </c>
    </row>
    <row r="54" spans="1:5" ht="15.75" thickTop="1">
      <c r="A54" s="3" t="s">
        <v>123</v>
      </c>
      <c r="B54" s="690"/>
      <c r="C54" s="690"/>
      <c r="D54" s="717"/>
      <c r="E54" s="39">
        <f>SUM(E50:E53)</f>
        <v>300000</v>
      </c>
    </row>
    <row r="56" spans="1:5">
      <c r="A56" s="3" t="s">
        <v>124</v>
      </c>
      <c r="B56" s="690"/>
      <c r="C56" s="690"/>
      <c r="D56" s="717"/>
      <c r="E56" s="717"/>
    </row>
    <row r="57" spans="1:5">
      <c r="A57" s="690"/>
      <c r="B57" s="690" t="s">
        <v>125</v>
      </c>
      <c r="C57" s="690"/>
      <c r="D57" s="717"/>
      <c r="E57" s="717">
        <v>646848</v>
      </c>
    </row>
    <row r="58" spans="1:5" ht="15.75" thickBot="1">
      <c r="A58" s="731"/>
      <c r="B58" s="731" t="s">
        <v>126</v>
      </c>
      <c r="C58" s="731"/>
      <c r="D58" s="732"/>
      <c r="E58" s="732">
        <v>0</v>
      </c>
    </row>
    <row r="59" spans="1:5" ht="15.75" thickTop="1">
      <c r="A59" s="3" t="s">
        <v>127</v>
      </c>
      <c r="B59" s="690"/>
      <c r="C59" s="690"/>
      <c r="D59" s="717"/>
      <c r="E59" s="39">
        <f>SUM(E57:E58)</f>
        <v>646848</v>
      </c>
    </row>
    <row r="61" spans="1:5">
      <c r="A61" s="3" t="s">
        <v>128</v>
      </c>
      <c r="B61" s="690"/>
      <c r="C61" s="690"/>
      <c r="D61" s="717"/>
      <c r="E61" s="717"/>
    </row>
    <row r="62" spans="1:5">
      <c r="A62" s="690"/>
      <c r="B62" s="690" t="s">
        <v>129</v>
      </c>
      <c r="C62" s="690"/>
      <c r="D62" s="734">
        <v>0.1</v>
      </c>
      <c r="E62" s="717">
        <f>E27*D62</f>
        <v>5173277.1000000006</v>
      </c>
    </row>
    <row r="63" spans="1:5" ht="15.75" thickBot="1">
      <c r="A63" s="731"/>
      <c r="B63" s="731" t="s">
        <v>130</v>
      </c>
      <c r="C63" s="731"/>
      <c r="D63" s="737">
        <v>0.05</v>
      </c>
      <c r="E63" s="732">
        <f>(E59+E54+E47+E41+E31+E79)*D63</f>
        <v>282276.62941911275</v>
      </c>
    </row>
    <row r="64" spans="1:5" ht="15.75" thickTop="1">
      <c r="A64" s="3" t="s">
        <v>131</v>
      </c>
      <c r="B64" s="690"/>
      <c r="C64" s="690"/>
      <c r="D64" s="717"/>
      <c r="E64" s="39">
        <f>SUM(E62:E63)</f>
        <v>5455553.7294191131</v>
      </c>
    </row>
    <row r="66" spans="1:5">
      <c r="A66" s="3" t="s">
        <v>132</v>
      </c>
      <c r="B66" s="690"/>
      <c r="C66" s="690"/>
      <c r="D66" s="717"/>
      <c r="E66" s="717"/>
    </row>
    <row r="67" spans="1:5">
      <c r="A67" s="690"/>
      <c r="B67" s="690" t="s">
        <v>133</v>
      </c>
      <c r="C67" s="690"/>
      <c r="D67" s="717"/>
      <c r="E67" s="717">
        <v>50000</v>
      </c>
    </row>
    <row r="68" spans="1:5">
      <c r="A68" s="690"/>
      <c r="B68" s="690" t="s">
        <v>369</v>
      </c>
      <c r="C68" s="690"/>
      <c r="D68" s="717"/>
      <c r="E68" s="717">
        <v>1245385</v>
      </c>
    </row>
    <row r="69" spans="1:5">
      <c r="A69" s="690"/>
      <c r="B69" s="690" t="s">
        <v>134</v>
      </c>
      <c r="C69" s="690"/>
      <c r="D69" s="717"/>
      <c r="E69" s="717">
        <v>75000</v>
      </c>
    </row>
    <row r="70" spans="1:5">
      <c r="A70" s="690"/>
      <c r="B70" s="690" t="s">
        <v>370</v>
      </c>
      <c r="C70" s="690"/>
      <c r="D70" s="717"/>
      <c r="E70" s="717">
        <v>90000</v>
      </c>
    </row>
    <row r="71" spans="1:5">
      <c r="A71" s="690"/>
      <c r="B71" s="690" t="s">
        <v>136</v>
      </c>
      <c r="C71" s="690"/>
      <c r="D71" s="717"/>
      <c r="E71" s="717">
        <v>15000</v>
      </c>
    </row>
    <row r="72" spans="1:5">
      <c r="A72" s="690"/>
      <c r="B72" s="690" t="s">
        <v>138</v>
      </c>
      <c r="C72" s="690"/>
      <c r="D72" s="717"/>
      <c r="E72" s="717">
        <v>50000</v>
      </c>
    </row>
    <row r="73" spans="1:5">
      <c r="A73" s="690"/>
      <c r="B73" s="690" t="s">
        <v>140</v>
      </c>
      <c r="C73" s="690"/>
      <c r="D73" s="717">
        <v>1500</v>
      </c>
      <c r="E73" s="717">
        <f>D73*D6</f>
        <v>139500</v>
      </c>
    </row>
    <row r="74" spans="1:5">
      <c r="A74" s="690"/>
      <c r="B74" s="690" t="s">
        <v>141</v>
      </c>
      <c r="C74" s="690"/>
      <c r="D74" s="717"/>
      <c r="E74" s="717">
        <v>243341</v>
      </c>
    </row>
    <row r="75" spans="1:5">
      <c r="A75" s="690"/>
      <c r="B75" s="690" t="s">
        <v>142</v>
      </c>
      <c r="C75" s="690"/>
      <c r="D75" s="717"/>
      <c r="E75" s="717">
        <v>100000</v>
      </c>
    </row>
    <row r="76" spans="1:5">
      <c r="A76" s="690"/>
      <c r="B76" s="690" t="s">
        <v>143</v>
      </c>
      <c r="C76" s="690"/>
      <c r="D76" s="717"/>
      <c r="E76" s="717">
        <v>30000</v>
      </c>
    </row>
    <row r="77" spans="1:5">
      <c r="A77" s="690"/>
      <c r="B77" s="690" t="s">
        <v>146</v>
      </c>
      <c r="C77" s="690"/>
      <c r="D77" s="717"/>
      <c r="E77" s="717">
        <f>12000000*0.0125</f>
        <v>150000</v>
      </c>
    </row>
    <row r="78" spans="1:5" ht="15.75" thickBot="1">
      <c r="A78" s="731"/>
      <c r="B78" s="731" t="s">
        <v>371</v>
      </c>
      <c r="C78" s="731"/>
      <c r="D78" s="732"/>
      <c r="E78" s="732">
        <v>145000</v>
      </c>
    </row>
    <row r="79" spans="1:5" ht="15.75" thickTop="1">
      <c r="A79" s="3" t="s">
        <v>149</v>
      </c>
      <c r="B79" s="690"/>
      <c r="C79" s="690"/>
      <c r="D79" s="717"/>
      <c r="E79" s="39">
        <f>SUM(E67:E78)</f>
        <v>2333226</v>
      </c>
    </row>
    <row r="81" spans="1:5">
      <c r="A81" s="3" t="s">
        <v>150</v>
      </c>
      <c r="B81" s="690"/>
      <c r="C81" s="690"/>
      <c r="D81" s="717"/>
      <c r="E81" s="717"/>
    </row>
    <row r="82" spans="1:5" ht="15.75" thickBot="1">
      <c r="A82" s="731"/>
      <c r="B82" s="731" t="s">
        <v>151</v>
      </c>
      <c r="C82" s="731"/>
      <c r="D82" s="732"/>
      <c r="E82" s="732">
        <v>2500000</v>
      </c>
    </row>
    <row r="83" spans="1:5" ht="15.75" thickTop="1">
      <c r="A83" s="3" t="s">
        <v>152</v>
      </c>
      <c r="B83" s="690"/>
      <c r="C83" s="690"/>
      <c r="D83" s="717"/>
      <c r="E83" s="39">
        <f>SUM(E82)</f>
        <v>2500000</v>
      </c>
    </row>
    <row r="85" spans="1:5">
      <c r="A85" s="37" t="s">
        <v>153</v>
      </c>
      <c r="B85" s="735"/>
      <c r="C85" s="735"/>
      <c r="D85" s="736"/>
      <c r="E85" s="38">
        <f>E83+E79+E64+E59+E54+E31+E29+E41+E47</f>
        <v>16666417.317801367</v>
      </c>
    </row>
    <row r="86" spans="1:5">
      <c r="A86" s="3"/>
      <c r="B86" s="690"/>
      <c r="C86" s="690"/>
      <c r="D86" s="717"/>
      <c r="E86" s="717"/>
    </row>
    <row r="87" spans="1:5">
      <c r="A87" s="37" t="s">
        <v>154</v>
      </c>
      <c r="B87" s="37"/>
      <c r="C87" s="37"/>
      <c r="D87" s="38"/>
      <c r="E87" s="38">
        <f>E85+E27+E12</f>
        <v>68409188.317801371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5"/>
  <sheetViews>
    <sheetView workbookViewId="0"/>
  </sheetViews>
  <sheetFormatPr defaultColWidth="13.625" defaultRowHeight="15.75"/>
  <cols>
    <col min="1" max="1" width="23.125" bestFit="1" customWidth="1"/>
  </cols>
  <sheetData>
    <row r="1" spans="1:3">
      <c r="A1" t="s">
        <v>364</v>
      </c>
    </row>
    <row r="2" spans="1:3">
      <c r="A2" t="s">
        <v>0</v>
      </c>
    </row>
    <row r="3" spans="1:3">
      <c r="A3" s="455" t="s">
        <v>365</v>
      </c>
    </row>
    <row r="4" spans="1:3">
      <c r="A4" s="455"/>
    </row>
    <row r="5" spans="1:3">
      <c r="A5" s="455"/>
    </row>
    <row r="7" spans="1:3">
      <c r="A7" t="s">
        <v>263</v>
      </c>
      <c r="B7" t="s">
        <v>37</v>
      </c>
      <c r="C7" t="s">
        <v>265</v>
      </c>
    </row>
    <row r="8" spans="1:3">
      <c r="A8" t="s">
        <v>268</v>
      </c>
      <c r="B8" s="53">
        <f>SUM('Dev Budget_5-20'!E29:E31)</f>
        <v>3190331</v>
      </c>
      <c r="C8" s="454">
        <v>3.3239975714536345E-2</v>
      </c>
    </row>
    <row r="9" spans="1:3">
      <c r="A9" t="s">
        <v>16</v>
      </c>
      <c r="B9" s="53">
        <f>'Dev Budget_5-20'!E27+'Dev Budget_5-20'!E62</f>
        <v>56906048.100000001</v>
      </c>
      <c r="C9" s="454">
        <v>0.8376977650167704</v>
      </c>
    </row>
    <row r="10" spans="1:3">
      <c r="A10" t="s">
        <v>269</v>
      </c>
      <c r="B10" s="53">
        <f>'Dev Budget_5-20'!E67</f>
        <v>50000</v>
      </c>
      <c r="C10" s="454">
        <v>8.8819525951717255E-4</v>
      </c>
    </row>
    <row r="11" spans="1:3">
      <c r="A11" t="s">
        <v>19</v>
      </c>
      <c r="B11" s="53">
        <f>'Dev Budget_5-20'!E41+'Dev Budget_5-20'!E47</f>
        <v>2240458.5883822548</v>
      </c>
      <c r="C11" s="454">
        <v>3.9095537331761028E-2</v>
      </c>
    </row>
    <row r="12" spans="1:3">
      <c r="A12" t="s">
        <v>372</v>
      </c>
      <c r="B12" s="53">
        <f>'Dev Budget_5-20'!E87-'Dev Summary_5-20'!B8-'Dev Summary_5-20'!B9-'Dev Summary_5-20'!B10-'Dev Summary_5-20'!B11-B13-B14</f>
        <v>3240074.0000000019</v>
      </c>
      <c r="C12" s="454">
        <v>5.4671177549888095E-2</v>
      </c>
    </row>
    <row r="13" spans="1:3">
      <c r="A13" t="s">
        <v>270</v>
      </c>
      <c r="B13" s="53">
        <f>'Dev Budget_5-20'!E82</f>
        <v>2500000</v>
      </c>
      <c r="C13" s="454">
        <v>2.9606508650572419E-2</v>
      </c>
    </row>
    <row r="14" spans="1:3" ht="16.5" thickBot="1">
      <c r="A14" s="43" t="s">
        <v>272</v>
      </c>
      <c r="B14" s="456">
        <f>'Dev Budget_5-20'!E63</f>
        <v>282276.62941911275</v>
      </c>
      <c r="C14" s="457">
        <v>4.800840476954637E-3</v>
      </c>
    </row>
    <row r="15" spans="1:3" ht="16.5" thickTop="1">
      <c r="A15" t="s">
        <v>59</v>
      </c>
      <c r="B15" s="53">
        <f>SUM(B8:B14)</f>
        <v>68409188.317801371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6"/>
  <sheetViews>
    <sheetView workbookViewId="0"/>
  </sheetViews>
  <sheetFormatPr defaultRowHeight="15.75"/>
  <cols>
    <col min="2" max="2" width="4.375" customWidth="1"/>
    <col min="3" max="3" width="31.375" customWidth="1"/>
    <col min="4" max="4" width="12.875" customWidth="1"/>
    <col min="8" max="8" width="12.625" customWidth="1"/>
  </cols>
  <sheetData>
    <row r="1" spans="1:5">
      <c r="A1" t="s">
        <v>373</v>
      </c>
      <c r="C1" s="53"/>
      <c r="D1" s="53"/>
    </row>
    <row r="2" spans="1:5">
      <c r="A2" t="s">
        <v>374</v>
      </c>
      <c r="C2" s="53"/>
      <c r="D2" s="53"/>
    </row>
    <row r="3" spans="1:5">
      <c r="A3" s="455" t="s">
        <v>365</v>
      </c>
    </row>
    <row r="4" spans="1:5">
      <c r="A4" s="455"/>
    </row>
    <row r="5" spans="1:5">
      <c r="A5" t="s">
        <v>1</v>
      </c>
      <c r="C5" s="53" t="s">
        <v>373</v>
      </c>
      <c r="D5" s="53"/>
    </row>
    <row r="6" spans="1:5">
      <c r="A6" t="s">
        <v>2</v>
      </c>
      <c r="C6" s="53" t="s">
        <v>375</v>
      </c>
      <c r="D6" s="53"/>
    </row>
    <row r="7" spans="1:5">
      <c r="A7" t="s">
        <v>4</v>
      </c>
      <c r="C7" s="53" t="s">
        <v>376</v>
      </c>
      <c r="D7" s="53"/>
    </row>
    <row r="8" spans="1:5">
      <c r="A8" t="s">
        <v>6</v>
      </c>
      <c r="C8" s="53" t="s">
        <v>377</v>
      </c>
      <c r="D8" s="53"/>
    </row>
    <row r="9" spans="1:5">
      <c r="A9" t="s">
        <v>8</v>
      </c>
      <c r="C9" s="53" t="s">
        <v>378</v>
      </c>
      <c r="D9" s="53"/>
    </row>
    <row r="10" spans="1:5">
      <c r="A10" t="s">
        <v>379</v>
      </c>
      <c r="C10">
        <v>110</v>
      </c>
      <c r="D10" s="53"/>
    </row>
    <row r="11" spans="1:5">
      <c r="C11" s="53"/>
      <c r="D11" s="53"/>
    </row>
    <row r="13" spans="1:5">
      <c r="A13" t="s">
        <v>380</v>
      </c>
      <c r="D13" t="s">
        <v>381</v>
      </c>
      <c r="E13" t="s">
        <v>382</v>
      </c>
    </row>
    <row r="14" spans="1:5">
      <c r="A14" t="s">
        <v>87</v>
      </c>
      <c r="C14" s="53"/>
      <c r="D14" s="53"/>
    </row>
    <row r="15" spans="1:5">
      <c r="B15" t="s">
        <v>383</v>
      </c>
      <c r="C15" s="53"/>
      <c r="D15" s="53">
        <v>0</v>
      </c>
      <c r="E15" s="53">
        <v>0</v>
      </c>
    </row>
    <row r="16" spans="1:5">
      <c r="A16" t="s">
        <v>384</v>
      </c>
      <c r="C16" s="53"/>
      <c r="D16" s="53"/>
    </row>
    <row r="17" spans="1:13">
      <c r="B17" t="s">
        <v>385</v>
      </c>
      <c r="C17" s="53"/>
      <c r="D17" s="53">
        <v>815000</v>
      </c>
      <c r="E17" s="53">
        <v>7409.090909090909</v>
      </c>
      <c r="H17" s="53">
        <v>233272</v>
      </c>
      <c r="I17" s="53" t="s">
        <v>386</v>
      </c>
      <c r="J17" s="53"/>
      <c r="K17" s="53"/>
      <c r="L17" s="53"/>
      <c r="M17" s="53"/>
    </row>
    <row r="18" spans="1:13">
      <c r="B18" t="s">
        <v>387</v>
      </c>
      <c r="C18" s="53"/>
      <c r="D18" s="53">
        <v>234512</v>
      </c>
      <c r="E18" s="53">
        <v>2131.9272727272728</v>
      </c>
      <c r="G18" s="53">
        <v>696252</v>
      </c>
      <c r="H18" s="53">
        <v>462980</v>
      </c>
      <c r="I18" s="53" t="s">
        <v>388</v>
      </c>
      <c r="J18" s="53"/>
      <c r="K18" s="53"/>
      <c r="L18" s="53"/>
      <c r="M18" s="53"/>
    </row>
    <row r="19" spans="1:13">
      <c r="B19" t="s">
        <v>389</v>
      </c>
      <c r="C19" s="53"/>
      <c r="D19" s="53">
        <v>580966</v>
      </c>
      <c r="E19" s="53">
        <v>5281.5090909090914</v>
      </c>
      <c r="H19">
        <v>597306</v>
      </c>
      <c r="I19" t="s">
        <v>390</v>
      </c>
      <c r="J19" s="53"/>
      <c r="K19" s="53"/>
      <c r="L19" s="53"/>
      <c r="M19" s="53"/>
    </row>
    <row r="20" spans="1:13">
      <c r="B20" t="s">
        <v>391</v>
      </c>
      <c r="C20" s="53"/>
      <c r="D20" s="53">
        <v>80000</v>
      </c>
      <c r="E20" s="53">
        <v>727.27272727272725</v>
      </c>
      <c r="G20" s="53"/>
      <c r="H20" s="53">
        <v>102408</v>
      </c>
      <c r="I20" t="s">
        <v>392</v>
      </c>
      <c r="J20" s="53"/>
      <c r="K20" s="53"/>
      <c r="L20" s="53"/>
      <c r="M20" s="53"/>
    </row>
    <row r="21" spans="1:13">
      <c r="B21" t="s">
        <v>393</v>
      </c>
      <c r="C21" s="53"/>
      <c r="D21" s="53">
        <v>69798.3</v>
      </c>
      <c r="E21" s="53">
        <v>634.53</v>
      </c>
      <c r="H21" s="53">
        <v>95978</v>
      </c>
      <c r="I21" t="s">
        <v>394</v>
      </c>
      <c r="J21" s="53"/>
      <c r="K21" s="53"/>
      <c r="L21" s="53"/>
      <c r="M21" s="53"/>
    </row>
    <row r="22" spans="1:13">
      <c r="B22" s="458" t="s">
        <v>395</v>
      </c>
      <c r="C22" s="53"/>
      <c r="D22" s="53">
        <v>35000</v>
      </c>
      <c r="E22" s="53">
        <v>318.18181818181819</v>
      </c>
      <c r="H22" s="53">
        <v>1491944</v>
      </c>
      <c r="J22" s="53"/>
      <c r="K22" s="53"/>
      <c r="L22" s="53"/>
      <c r="M22" s="53"/>
    </row>
    <row r="23" spans="1:13">
      <c r="B23" t="s">
        <v>396</v>
      </c>
      <c r="C23" s="53"/>
      <c r="D23" s="53">
        <v>35000</v>
      </c>
      <c r="E23" s="53">
        <v>318.18181818181819</v>
      </c>
      <c r="H23" s="53"/>
      <c r="J23" s="53"/>
      <c r="K23" s="53"/>
      <c r="L23" s="53"/>
      <c r="M23" s="53"/>
    </row>
    <row r="24" spans="1:13">
      <c r="B24" s="459" t="s">
        <v>397</v>
      </c>
      <c r="C24" s="53"/>
      <c r="D24" s="53">
        <v>12500</v>
      </c>
      <c r="E24" s="53">
        <v>113.63636363636364</v>
      </c>
      <c r="H24" s="53"/>
      <c r="J24" s="53"/>
      <c r="K24" s="53"/>
      <c r="L24" s="53"/>
      <c r="M24" s="53"/>
    </row>
    <row r="25" spans="1:13">
      <c r="B25" s="459" t="s">
        <v>105</v>
      </c>
      <c r="C25" s="53"/>
      <c r="D25" s="53">
        <v>10000</v>
      </c>
      <c r="E25" s="53">
        <v>90.909090909090907</v>
      </c>
      <c r="H25" s="53"/>
      <c r="J25" s="53"/>
      <c r="K25" s="53"/>
      <c r="L25" s="53"/>
      <c r="M25" s="53"/>
    </row>
    <row r="26" spans="1:13">
      <c r="B26" s="459" t="s">
        <v>398</v>
      </c>
      <c r="C26" s="53"/>
      <c r="D26" s="53">
        <v>25000</v>
      </c>
      <c r="E26" s="53">
        <v>227.27272727272728</v>
      </c>
      <c r="H26" s="53"/>
      <c r="J26" s="53"/>
      <c r="K26" s="53"/>
      <c r="L26" s="53"/>
      <c r="M26" s="53"/>
    </row>
    <row r="27" spans="1:13">
      <c r="A27" t="s">
        <v>399</v>
      </c>
      <c r="B27" s="459"/>
      <c r="C27" s="53"/>
      <c r="D27" s="53"/>
      <c r="E27" s="53"/>
      <c r="H27" s="53"/>
      <c r="J27" s="53"/>
      <c r="K27" s="53"/>
      <c r="L27" s="53"/>
      <c r="M27" s="53"/>
    </row>
    <row r="28" spans="1:13">
      <c r="B28" s="459" t="s">
        <v>400</v>
      </c>
      <c r="C28" s="53"/>
      <c r="D28" s="53">
        <v>2931396</v>
      </c>
      <c r="E28" s="53">
        <v>26649.054545454546</v>
      </c>
      <c r="H28" s="53"/>
      <c r="J28" s="53"/>
      <c r="K28" s="53"/>
      <c r="L28" s="53"/>
      <c r="M28" s="53"/>
    </row>
    <row r="29" spans="1:13">
      <c r="B29" s="459" t="s">
        <v>401</v>
      </c>
      <c r="C29" s="53"/>
      <c r="D29" s="53">
        <v>4103954.4</v>
      </c>
      <c r="E29" s="53">
        <v>37308.676363636361</v>
      </c>
      <c r="H29" s="53"/>
      <c r="J29" s="53"/>
      <c r="K29" s="53"/>
      <c r="L29" s="53"/>
      <c r="M29" s="53"/>
    </row>
    <row r="30" spans="1:13">
      <c r="B30" s="459" t="s">
        <v>402</v>
      </c>
      <c r="C30" s="53"/>
      <c r="D30" s="53">
        <v>4103954</v>
      </c>
      <c r="E30" s="53">
        <v>37308.672727272729</v>
      </c>
      <c r="H30" s="53"/>
      <c r="J30" s="53"/>
      <c r="K30" s="53"/>
      <c r="L30" s="53"/>
      <c r="M30" s="53"/>
    </row>
    <row r="31" spans="1:13">
      <c r="B31" s="459" t="s">
        <v>403</v>
      </c>
      <c r="C31" s="53"/>
      <c r="D31" s="53">
        <v>1113930.4400000002</v>
      </c>
      <c r="E31" s="53">
        <v>10126.640363636365</v>
      </c>
      <c r="H31" s="53"/>
      <c r="J31" s="53"/>
      <c r="K31" s="53"/>
      <c r="L31" s="53"/>
      <c r="M31" s="53"/>
    </row>
    <row r="32" spans="1:13">
      <c r="B32" s="459" t="s">
        <v>404</v>
      </c>
      <c r="C32" s="53"/>
      <c r="D32" s="53">
        <v>500000</v>
      </c>
      <c r="E32" s="53">
        <v>4545.454545454545</v>
      </c>
      <c r="H32" s="53"/>
      <c r="J32" s="53"/>
      <c r="K32" s="53"/>
      <c r="L32" s="53"/>
      <c r="M32" s="53"/>
    </row>
    <row r="33" spans="1:8">
      <c r="A33" t="s">
        <v>405</v>
      </c>
      <c r="C33" s="53"/>
      <c r="D33" s="53"/>
      <c r="H33" s="53"/>
    </row>
    <row r="34" spans="1:8">
      <c r="B34" t="s">
        <v>406</v>
      </c>
      <c r="C34" s="53"/>
      <c r="D34" s="53">
        <v>0</v>
      </c>
      <c r="E34" s="53">
        <v>0</v>
      </c>
    </row>
    <row r="35" spans="1:8">
      <c r="B35" t="s">
        <v>407</v>
      </c>
      <c r="C35" s="53"/>
      <c r="D35" s="53">
        <v>0</v>
      </c>
      <c r="E35" s="53">
        <v>0</v>
      </c>
    </row>
    <row r="36" spans="1:8">
      <c r="B36" t="s">
        <v>408</v>
      </c>
      <c r="C36" s="53"/>
      <c r="D36" s="53">
        <v>0</v>
      </c>
      <c r="E36" s="53">
        <v>0</v>
      </c>
    </row>
    <row r="37" spans="1:8">
      <c r="A37" t="s">
        <v>409</v>
      </c>
      <c r="C37" s="53"/>
      <c r="D37" s="53"/>
    </row>
    <row r="38" spans="1:8">
      <c r="B38" s="459" t="s">
        <v>136</v>
      </c>
      <c r="C38" s="53"/>
      <c r="D38" s="53">
        <v>15000</v>
      </c>
      <c r="E38" s="53">
        <v>136.36363636363637</v>
      </c>
    </row>
    <row r="39" spans="1:8">
      <c r="B39" s="459" t="s">
        <v>137</v>
      </c>
      <c r="C39" s="53"/>
      <c r="D39" s="53">
        <v>10000</v>
      </c>
      <c r="E39" s="53">
        <v>90.909090909090907</v>
      </c>
    </row>
    <row r="40" spans="1:8">
      <c r="A40" t="s">
        <v>410</v>
      </c>
      <c r="C40" s="53"/>
      <c r="D40" s="53"/>
    </row>
    <row r="41" spans="1:8">
      <c r="B41" t="s">
        <v>411</v>
      </c>
      <c r="C41" s="53"/>
      <c r="D41" s="53">
        <v>50000</v>
      </c>
      <c r="E41" s="53">
        <v>454.54545454545456</v>
      </c>
    </row>
    <row r="42" spans="1:8">
      <c r="B42" t="s">
        <v>412</v>
      </c>
      <c r="C42" s="53"/>
      <c r="D42" s="53">
        <v>311346.25</v>
      </c>
      <c r="E42" s="53">
        <v>2830.4204545454545</v>
      </c>
    </row>
    <row r="43" spans="1:8">
      <c r="B43" t="s">
        <v>413</v>
      </c>
      <c r="C43" s="53"/>
      <c r="D43" s="53">
        <v>435884.75</v>
      </c>
      <c r="E43" s="53">
        <v>3962.5886363636364</v>
      </c>
    </row>
    <row r="44" spans="1:8">
      <c r="B44" t="s">
        <v>414</v>
      </c>
      <c r="C44" s="53"/>
      <c r="D44" s="53">
        <v>50000</v>
      </c>
      <c r="E44" s="53">
        <v>454.54545454545456</v>
      </c>
    </row>
    <row r="45" spans="1:8">
      <c r="B45" t="s">
        <v>135</v>
      </c>
      <c r="C45" s="53"/>
      <c r="D45" s="53">
        <v>60000</v>
      </c>
      <c r="E45" s="53">
        <v>545.4545454545455</v>
      </c>
    </row>
    <row r="46" spans="1:8">
      <c r="B46" t="s">
        <v>147</v>
      </c>
      <c r="C46" s="53"/>
      <c r="D46" s="53">
        <v>156250</v>
      </c>
      <c r="E46" s="53">
        <v>1420.4545454545455</v>
      </c>
    </row>
    <row r="47" spans="1:8">
      <c r="B47" t="s">
        <v>415</v>
      </c>
      <c r="C47" s="53"/>
      <c r="D47" s="53">
        <v>50000</v>
      </c>
      <c r="E47" s="53">
        <v>454.54545454545456</v>
      </c>
    </row>
    <row r="48" spans="1:8">
      <c r="B48" t="s">
        <v>416</v>
      </c>
      <c r="C48" s="53"/>
      <c r="D48" s="53">
        <v>35000</v>
      </c>
      <c r="E48" s="53">
        <v>318.18181818181819</v>
      </c>
    </row>
    <row r="49" spans="1:8">
      <c r="B49" t="s">
        <v>417</v>
      </c>
      <c r="C49" s="53"/>
      <c r="D49" s="53">
        <v>10000</v>
      </c>
      <c r="E49" s="53">
        <v>90.909090909090907</v>
      </c>
    </row>
    <row r="50" spans="1:8">
      <c r="A50" t="s">
        <v>150</v>
      </c>
      <c r="C50" s="53"/>
      <c r="D50" s="53"/>
      <c r="E50" s="53">
        <v>0</v>
      </c>
    </row>
    <row r="51" spans="1:8">
      <c r="B51" t="s">
        <v>145</v>
      </c>
      <c r="C51" s="53"/>
      <c r="D51" s="53">
        <v>10000</v>
      </c>
      <c r="E51" s="53">
        <v>90.909090909090907</v>
      </c>
    </row>
    <row r="52" spans="1:8">
      <c r="B52" t="s">
        <v>143</v>
      </c>
      <c r="C52" s="53"/>
      <c r="D52" s="53">
        <v>12000</v>
      </c>
      <c r="E52" s="53">
        <v>109.09090909090909</v>
      </c>
    </row>
    <row r="53" spans="1:8">
      <c r="A53" t="s">
        <v>418</v>
      </c>
      <c r="C53" s="53"/>
      <c r="D53" s="53">
        <v>155162.86499999999</v>
      </c>
      <c r="E53" s="53">
        <v>1410.5715</v>
      </c>
      <c r="F53" s="53">
        <v>792824.60699999996</v>
      </c>
    </row>
    <row r="54" spans="1:8">
      <c r="A54" t="s">
        <v>419</v>
      </c>
      <c r="D54" s="53">
        <v>16011655.004999999</v>
      </c>
      <c r="E54" s="53">
        <v>145560.50004545454</v>
      </c>
    </row>
    <row r="55" spans="1:8">
      <c r="C55" s="53"/>
      <c r="D55" s="53"/>
    </row>
    <row r="57" spans="1:8">
      <c r="A57" t="s">
        <v>420</v>
      </c>
      <c r="D57" t="s">
        <v>381</v>
      </c>
      <c r="E57" t="s">
        <v>382</v>
      </c>
    </row>
    <row r="58" spans="1:8">
      <c r="B58" t="s">
        <v>30</v>
      </c>
      <c r="C58" s="53"/>
      <c r="D58" s="53">
        <v>500000</v>
      </c>
      <c r="E58" s="53">
        <v>4545.454545454545</v>
      </c>
      <c r="G58" s="53"/>
    </row>
    <row r="59" spans="1:8">
      <c r="B59" t="s">
        <v>32</v>
      </c>
      <c r="C59" s="53"/>
      <c r="D59" s="53">
        <v>15511655.004999999</v>
      </c>
      <c r="E59" s="53">
        <v>141015.04549999998</v>
      </c>
      <c r="G59" s="53"/>
      <c r="H59" s="53"/>
    </row>
    <row r="60" spans="1:8">
      <c r="B60" t="s">
        <v>9</v>
      </c>
      <c r="C60" s="53"/>
      <c r="D60" s="53">
        <v>0</v>
      </c>
      <c r="E60" s="53">
        <v>0</v>
      </c>
      <c r="G60" s="53"/>
    </row>
    <row r="61" spans="1:8">
      <c r="B61" t="s">
        <v>421</v>
      </c>
      <c r="C61" s="53"/>
      <c r="D61" s="53">
        <v>0</v>
      </c>
      <c r="E61" s="53">
        <v>0</v>
      </c>
      <c r="G61" s="53"/>
    </row>
    <row r="62" spans="1:8">
      <c r="C62" s="53"/>
      <c r="D62" s="53"/>
    </row>
    <row r="63" spans="1:8">
      <c r="A63" t="s">
        <v>422</v>
      </c>
      <c r="D63" s="53">
        <v>16011655.004999999</v>
      </c>
      <c r="E63" s="53">
        <v>145560.50004545454</v>
      </c>
      <c r="G63" s="53"/>
    </row>
    <row r="64" spans="1:8">
      <c r="C64" s="53"/>
      <c r="D64" s="53"/>
    </row>
    <row r="65" spans="1:5">
      <c r="C65" s="53"/>
      <c r="D65" s="53"/>
    </row>
    <row r="66" spans="1:5">
      <c r="C66" s="53"/>
      <c r="D66" s="53"/>
    </row>
    <row r="67" spans="1:5">
      <c r="A67" t="s">
        <v>14</v>
      </c>
      <c r="D67" s="53"/>
    </row>
    <row r="68" spans="1:5">
      <c r="B68" t="s">
        <v>15</v>
      </c>
      <c r="D68" s="53">
        <v>0</v>
      </c>
      <c r="E68" s="454">
        <v>0</v>
      </c>
    </row>
    <row r="69" spans="1:5">
      <c r="B69" t="s">
        <v>17</v>
      </c>
      <c r="D69" s="53">
        <v>1897776.3</v>
      </c>
      <c r="E69" s="454">
        <v>0.18436162803673289</v>
      </c>
    </row>
    <row r="70" spans="1:5">
      <c r="B70" t="s">
        <v>423</v>
      </c>
      <c r="D70" s="53">
        <v>7035350.4000000004</v>
      </c>
      <c r="E70" s="454">
        <v>0.68345708266716154</v>
      </c>
    </row>
    <row r="71" spans="1:5">
      <c r="B71" t="s">
        <v>19</v>
      </c>
      <c r="D71" s="53">
        <v>0</v>
      </c>
      <c r="E71" s="454">
        <v>0</v>
      </c>
    </row>
    <row r="72" spans="1:5">
      <c r="B72" t="s">
        <v>424</v>
      </c>
      <c r="D72" s="53">
        <v>25000</v>
      </c>
      <c r="E72" s="454">
        <v>2.428653314364987E-3</v>
      </c>
    </row>
    <row r="73" spans="1:5">
      <c r="B73" t="s">
        <v>21</v>
      </c>
      <c r="D73" s="53">
        <v>1158481</v>
      </c>
      <c r="E73" s="454">
        <v>0.11254194881115459</v>
      </c>
    </row>
    <row r="74" spans="1:5">
      <c r="B74" t="s">
        <v>270</v>
      </c>
      <c r="D74" s="53">
        <v>22000</v>
      </c>
      <c r="E74" s="454">
        <v>2.1372149166411889E-3</v>
      </c>
    </row>
    <row r="75" spans="1:5">
      <c r="B75" t="s">
        <v>130</v>
      </c>
      <c r="D75" s="53">
        <v>155162.86499999999</v>
      </c>
      <c r="E75" s="454">
        <v>1.5073472253944682E-2</v>
      </c>
    </row>
    <row r="76" spans="1:5">
      <c r="C76" t="s">
        <v>14</v>
      </c>
      <c r="D76" s="53">
        <v>10293770.565000001</v>
      </c>
      <c r="E76" s="5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M75"/>
  <sheetViews>
    <sheetView topLeftCell="A6" workbookViewId="0">
      <selection activeCell="I53" sqref="I53"/>
    </sheetView>
  </sheetViews>
  <sheetFormatPr defaultColWidth="9" defaultRowHeight="15.75"/>
  <cols>
    <col min="1" max="1" width="4.25" style="4" customWidth="1"/>
    <col min="2" max="2" width="9.25" style="4" customWidth="1"/>
    <col min="3" max="3" width="27.75" style="162" customWidth="1"/>
    <col min="4" max="4" width="12.125" style="162" customWidth="1"/>
    <col min="5" max="5" width="9" style="4"/>
    <col min="6" max="6" width="9.25" style="4" bestFit="1" customWidth="1"/>
    <col min="7" max="8" width="11.125" style="4" bestFit="1" customWidth="1"/>
    <col min="9" max="9" width="9" style="4"/>
    <col min="10" max="12" width="10.125" style="4" bestFit="1" customWidth="1"/>
    <col min="13" max="16384" width="9" style="4"/>
  </cols>
  <sheetData>
    <row r="1" spans="1:13" ht="21">
      <c r="A1" s="181" t="s">
        <v>373</v>
      </c>
      <c r="B1" s="181"/>
      <c r="C1" s="182"/>
      <c r="D1" s="182"/>
      <c r="E1" s="183"/>
    </row>
    <row r="2" spans="1:13" ht="21">
      <c r="A2" s="181" t="s">
        <v>374</v>
      </c>
      <c r="B2" s="181"/>
      <c r="C2" s="182"/>
      <c r="D2" s="182"/>
      <c r="E2" s="183"/>
    </row>
    <row r="4" spans="1:13">
      <c r="A4" s="63" t="str">
        <f>'Development Budget'!D4</f>
        <v>Project Name:</v>
      </c>
      <c r="C4" s="162" t="s">
        <v>373</v>
      </c>
    </row>
    <row r="5" spans="1:13">
      <c r="A5" s="63" t="str">
        <f>'Development Budget'!D5</f>
        <v>Housing Type:</v>
      </c>
      <c r="C5" s="162" t="s">
        <v>375</v>
      </c>
    </row>
    <row r="6" spans="1:13">
      <c r="A6" s="63" t="str">
        <f>'Development Budget'!D6</f>
        <v>Address:</v>
      </c>
      <c r="C6" s="162" t="str">
        <f>'Development Budget'!E6</f>
        <v>1010 S Kenmore Ave
Los Angeles, CA 90006</v>
      </c>
    </row>
    <row r="7" spans="1:13">
      <c r="A7" s="63" t="str">
        <f>'Development Budget'!D7</f>
        <v>County:</v>
      </c>
      <c r="C7" s="162" t="str">
        <f>'Development Budget'!E7</f>
        <v>Los Angeles</v>
      </c>
    </row>
    <row r="8" spans="1:13">
      <c r="A8" s="63" t="str">
        <f>'Development Budget'!D8</f>
        <v>Sponsor:</v>
      </c>
      <c r="C8" s="162" t="str">
        <f>'Development Budget'!E8</f>
        <v>Abode Communities</v>
      </c>
    </row>
    <row r="9" spans="1:13">
      <c r="A9" s="63" t="s">
        <v>379</v>
      </c>
      <c r="C9" s="163">
        <v>110</v>
      </c>
    </row>
    <row r="10" spans="1:13">
      <c r="A10" s="163"/>
      <c r="B10" s="163"/>
    </row>
    <row r="11" spans="1:13" s="164" customFormat="1" ht="15">
      <c r="A11" s="199"/>
      <c r="B11" s="200"/>
      <c r="C11" s="200"/>
      <c r="D11" s="200"/>
      <c r="E11" s="198"/>
      <c r="F11" s="690"/>
      <c r="G11" s="690"/>
      <c r="H11" s="690"/>
      <c r="I11" s="690"/>
      <c r="J11" s="690"/>
      <c r="K11" s="690"/>
      <c r="L11" s="690"/>
      <c r="M11" s="690"/>
    </row>
    <row r="12" spans="1:13" s="164" customFormat="1" ht="18.75">
      <c r="A12" s="191" t="s">
        <v>380</v>
      </c>
      <c r="B12" s="166"/>
      <c r="C12" s="166"/>
      <c r="D12" s="184" t="s">
        <v>381</v>
      </c>
      <c r="E12" s="189" t="s">
        <v>382</v>
      </c>
      <c r="F12" s="690"/>
      <c r="G12" s="690"/>
      <c r="H12" s="690"/>
      <c r="I12" s="690"/>
      <c r="J12" s="690"/>
      <c r="K12" s="690"/>
      <c r="L12" s="690"/>
      <c r="M12" s="690"/>
    </row>
    <row r="13" spans="1:13" s="164" customFormat="1" ht="15">
      <c r="A13" s="185" t="s">
        <v>87</v>
      </c>
      <c r="B13" s="690"/>
      <c r="C13" s="738"/>
      <c r="D13" s="738"/>
      <c r="E13" s="739"/>
      <c r="F13" s="690"/>
      <c r="G13" s="690"/>
      <c r="H13" s="690"/>
      <c r="I13" s="690"/>
      <c r="J13" s="690"/>
      <c r="K13" s="690"/>
      <c r="L13" s="690"/>
      <c r="M13" s="690"/>
    </row>
    <row r="14" spans="1:13" s="164" customFormat="1" ht="15">
      <c r="A14" s="186"/>
      <c r="B14" s="168" t="s">
        <v>383</v>
      </c>
      <c r="C14" s="740"/>
      <c r="D14" s="740">
        <v>0</v>
      </c>
      <c r="E14" s="741">
        <f>D14/$C$9</f>
        <v>0</v>
      </c>
      <c r="F14" s="690"/>
      <c r="G14" s="690"/>
      <c r="H14" s="690"/>
      <c r="I14" s="690"/>
      <c r="J14" s="690"/>
      <c r="K14" s="690"/>
      <c r="L14" s="690"/>
      <c r="M14" s="690"/>
    </row>
    <row r="15" spans="1:13" s="164" customFormat="1" ht="15">
      <c r="A15" s="187" t="s">
        <v>384</v>
      </c>
      <c r="B15" s="690"/>
      <c r="C15" s="740"/>
      <c r="D15" s="740"/>
      <c r="E15" s="739"/>
      <c r="F15" s="690"/>
      <c r="G15" s="690"/>
      <c r="H15" s="690"/>
      <c r="I15" s="690"/>
      <c r="J15" s="690"/>
      <c r="K15" s="690"/>
      <c r="L15" s="690"/>
      <c r="M15" s="690"/>
    </row>
    <row r="16" spans="1:13" s="164" customFormat="1" ht="15">
      <c r="A16" s="186"/>
      <c r="B16" s="168" t="s">
        <v>385</v>
      </c>
      <c r="C16" s="740"/>
      <c r="D16" s="740">
        <v>815000</v>
      </c>
      <c r="E16" s="741">
        <f>D16/$C$9</f>
        <v>7409.090909090909</v>
      </c>
      <c r="F16" s="690"/>
      <c r="G16" s="690"/>
      <c r="H16" s="742">
        <f>233272</f>
        <v>233272</v>
      </c>
      <c r="I16" s="703" t="s">
        <v>386</v>
      </c>
      <c r="J16" s="742"/>
      <c r="K16" s="742"/>
      <c r="L16" s="742"/>
      <c r="M16" s="742"/>
    </row>
    <row r="17" spans="1:13" s="164" customFormat="1" ht="15">
      <c r="A17" s="186"/>
      <c r="B17" s="168" t="s">
        <v>387</v>
      </c>
      <c r="C17" s="740"/>
      <c r="D17" s="740">
        <v>234512</v>
      </c>
      <c r="E17" s="741">
        <f>D17/$C$9</f>
        <v>2131.9272727272728</v>
      </c>
      <c r="F17" s="690"/>
      <c r="G17" s="742">
        <f>H17+H16</f>
        <v>696252</v>
      </c>
      <c r="H17" s="742">
        <v>462980</v>
      </c>
      <c r="I17" s="703" t="s">
        <v>388</v>
      </c>
      <c r="J17" s="742"/>
      <c r="K17" s="742"/>
      <c r="L17" s="742"/>
      <c r="M17" s="742"/>
    </row>
    <row r="18" spans="1:13" s="164" customFormat="1" ht="15">
      <c r="A18" s="186"/>
      <c r="B18" s="168" t="s">
        <v>389</v>
      </c>
      <c r="C18" s="740"/>
      <c r="D18" s="740">
        <v>580966</v>
      </c>
      <c r="E18" s="741">
        <f t="shared" ref="E18:E31" si="0">D18/$C$9</f>
        <v>5281.5090909090914</v>
      </c>
      <c r="F18" s="690"/>
      <c r="G18" s="690"/>
      <c r="H18" s="690">
        <v>597306</v>
      </c>
      <c r="I18" s="690" t="s">
        <v>390</v>
      </c>
      <c r="J18" s="742"/>
      <c r="K18" s="742"/>
      <c r="L18" s="742"/>
      <c r="M18" s="742"/>
    </row>
    <row r="19" spans="1:13" s="164" customFormat="1" ht="15">
      <c r="A19" s="186"/>
      <c r="B19" s="168" t="s">
        <v>391</v>
      </c>
      <c r="C19" s="740"/>
      <c r="D19" s="740">
        <f>'Development Budget'!G42-70000</f>
        <v>-70000</v>
      </c>
      <c r="E19" s="741">
        <f t="shared" si="0"/>
        <v>-636.36363636363637</v>
      </c>
      <c r="F19" s="690"/>
      <c r="G19" s="703"/>
      <c r="H19" s="742">
        <v>102408</v>
      </c>
      <c r="I19" s="690" t="s">
        <v>392</v>
      </c>
      <c r="J19" s="742"/>
      <c r="K19" s="742"/>
      <c r="L19" s="742"/>
      <c r="M19" s="742"/>
    </row>
    <row r="20" spans="1:13" s="164" customFormat="1" ht="15">
      <c r="A20" s="186"/>
      <c r="B20" s="176" t="s">
        <v>393</v>
      </c>
      <c r="C20" s="740"/>
      <c r="D20" s="740">
        <f>(D16+D18)*0.05</f>
        <v>69798.3</v>
      </c>
      <c r="E20" s="741">
        <f t="shared" si="0"/>
        <v>634.53</v>
      </c>
      <c r="F20" s="690"/>
      <c r="G20" s="690"/>
      <c r="H20" s="742">
        <v>95978</v>
      </c>
      <c r="I20" s="690" t="s">
        <v>394</v>
      </c>
      <c r="J20" s="742"/>
      <c r="K20" s="742"/>
      <c r="L20" s="742"/>
      <c r="M20" s="742"/>
    </row>
    <row r="21" spans="1:13" s="164" customFormat="1" ht="15">
      <c r="A21" s="186"/>
      <c r="B21" s="177" t="s">
        <v>395</v>
      </c>
      <c r="C21" s="740"/>
      <c r="D21" s="740">
        <v>35000</v>
      </c>
      <c r="E21" s="741">
        <f t="shared" si="0"/>
        <v>318.18181818181819</v>
      </c>
      <c r="F21" s="690"/>
      <c r="G21" s="690"/>
      <c r="H21" s="742">
        <f>SUM(H16:H20)</f>
        <v>1491944</v>
      </c>
      <c r="I21" s="690"/>
      <c r="J21" s="742"/>
      <c r="K21" s="742"/>
      <c r="L21" s="742"/>
      <c r="M21" s="742"/>
    </row>
    <row r="22" spans="1:13" s="164" customFormat="1" ht="15">
      <c r="A22" s="186"/>
      <c r="B22" s="168" t="s">
        <v>396</v>
      </c>
      <c r="C22" s="740"/>
      <c r="D22" s="740">
        <v>35000</v>
      </c>
      <c r="E22" s="741">
        <f t="shared" si="0"/>
        <v>318.18181818181819</v>
      </c>
      <c r="F22" s="690"/>
      <c r="G22" s="690"/>
      <c r="H22" s="742"/>
      <c r="I22" s="690"/>
      <c r="J22" s="742"/>
      <c r="K22" s="742"/>
      <c r="L22" s="742"/>
      <c r="M22" s="742"/>
    </row>
    <row r="23" spans="1:13" s="164" customFormat="1" ht="15">
      <c r="A23" s="186"/>
      <c r="B23" s="178" t="s">
        <v>397</v>
      </c>
      <c r="C23" s="740"/>
      <c r="D23" s="740">
        <v>12500</v>
      </c>
      <c r="E23" s="741">
        <f t="shared" si="0"/>
        <v>113.63636363636364</v>
      </c>
      <c r="F23" s="690"/>
      <c r="G23" s="690"/>
      <c r="H23" s="742"/>
      <c r="I23" s="690"/>
      <c r="J23" s="742"/>
      <c r="K23" s="742"/>
      <c r="L23" s="742"/>
      <c r="M23" s="742"/>
    </row>
    <row r="24" spans="1:13" s="164" customFormat="1" ht="15">
      <c r="A24" s="186"/>
      <c r="B24" s="178" t="s">
        <v>105</v>
      </c>
      <c r="C24" s="740"/>
      <c r="D24" s="740">
        <v>10000</v>
      </c>
      <c r="E24" s="741">
        <f t="shared" si="0"/>
        <v>90.909090909090907</v>
      </c>
      <c r="F24" s="690"/>
      <c r="G24" s="690"/>
      <c r="H24" s="742"/>
      <c r="I24" s="690"/>
      <c r="J24" s="742"/>
      <c r="K24" s="742"/>
      <c r="L24" s="742"/>
      <c r="M24" s="742"/>
    </row>
    <row r="25" spans="1:13" s="164" customFormat="1" ht="15">
      <c r="A25" s="186"/>
      <c r="B25" s="178" t="s">
        <v>398</v>
      </c>
      <c r="C25" s="740"/>
      <c r="D25" s="740">
        <v>25000</v>
      </c>
      <c r="E25" s="741">
        <f t="shared" si="0"/>
        <v>227.27272727272728</v>
      </c>
      <c r="F25" s="690"/>
      <c r="G25" s="690"/>
      <c r="H25" s="742"/>
      <c r="I25" s="690"/>
      <c r="J25" s="742"/>
      <c r="K25" s="742"/>
      <c r="L25" s="742"/>
      <c r="M25" s="742"/>
    </row>
    <row r="26" spans="1:13" s="164" customFormat="1" ht="15">
      <c r="A26" s="187" t="s">
        <v>399</v>
      </c>
      <c r="B26" s="178"/>
      <c r="C26" s="740"/>
      <c r="D26" s="740"/>
      <c r="E26" s="741"/>
      <c r="F26" s="690"/>
      <c r="G26" s="690"/>
      <c r="H26" s="742"/>
      <c r="I26" s="690"/>
      <c r="J26" s="742"/>
      <c r="K26" s="742"/>
      <c r="L26" s="742"/>
      <c r="M26" s="742"/>
    </row>
    <row r="27" spans="1:13" s="164" customFormat="1" ht="15">
      <c r="A27" s="186"/>
      <c r="B27" s="178" t="s">
        <v>400</v>
      </c>
      <c r="C27" s="740"/>
      <c r="D27" s="740">
        <f>586279.2+2345116.8</f>
        <v>2931396</v>
      </c>
      <c r="E27" s="741">
        <f t="shared" si="0"/>
        <v>26649.054545454546</v>
      </c>
      <c r="F27" s="690"/>
      <c r="G27" s="690"/>
      <c r="H27" s="742"/>
      <c r="I27" s="690"/>
      <c r="J27" s="742"/>
      <c r="K27" s="742"/>
      <c r="L27" s="742"/>
      <c r="M27" s="742"/>
    </row>
    <row r="28" spans="1:13" s="164" customFormat="1" ht="15">
      <c r="A28" s="186"/>
      <c r="B28" s="178" t="s">
        <v>401</v>
      </c>
      <c r="C28" s="740"/>
      <c r="D28" s="740">
        <v>4103954.4</v>
      </c>
      <c r="E28" s="741">
        <f t="shared" si="0"/>
        <v>37308.676363636361</v>
      </c>
      <c r="F28" s="690"/>
      <c r="G28" s="690"/>
      <c r="H28" s="742"/>
      <c r="I28" s="690"/>
      <c r="J28" s="742"/>
      <c r="K28" s="742"/>
      <c r="L28" s="742"/>
      <c r="M28" s="742"/>
    </row>
    <row r="29" spans="1:13" s="164" customFormat="1" ht="15">
      <c r="A29" s="186"/>
      <c r="B29" s="178" t="s">
        <v>402</v>
      </c>
      <c r="C29" s="740"/>
      <c r="D29" s="740">
        <v>4103954</v>
      </c>
      <c r="E29" s="741">
        <f t="shared" si="0"/>
        <v>37308.672727272729</v>
      </c>
      <c r="F29" s="690"/>
      <c r="G29" s="690"/>
      <c r="H29" s="742"/>
      <c r="I29" s="690"/>
      <c r="J29" s="742"/>
      <c r="K29" s="742"/>
      <c r="L29" s="742"/>
      <c r="M29" s="742"/>
    </row>
    <row r="30" spans="1:13" s="164" customFormat="1" ht="15">
      <c r="A30" s="186"/>
      <c r="B30" s="178" t="s">
        <v>403</v>
      </c>
      <c r="C30" s="740"/>
      <c r="D30" s="740">
        <f>(D29+D28+D27)*0.1</f>
        <v>1113930.4400000002</v>
      </c>
      <c r="E30" s="741">
        <f t="shared" si="0"/>
        <v>10126.640363636365</v>
      </c>
      <c r="F30" s="690"/>
      <c r="G30" s="690"/>
      <c r="H30" s="742"/>
      <c r="I30" s="690"/>
      <c r="J30" s="742"/>
      <c r="K30" s="742"/>
      <c r="L30" s="742"/>
      <c r="M30" s="742"/>
    </row>
    <row r="31" spans="1:13" s="164" customFormat="1" ht="15">
      <c r="A31" s="186"/>
      <c r="B31" s="178" t="s">
        <v>404</v>
      </c>
      <c r="C31" s="740"/>
      <c r="D31" s="740">
        <v>500000</v>
      </c>
      <c r="E31" s="741">
        <f t="shared" si="0"/>
        <v>4545.454545454545</v>
      </c>
      <c r="F31" s="690"/>
      <c r="G31" s="690"/>
      <c r="H31" s="742"/>
      <c r="I31" s="690"/>
      <c r="J31" s="742"/>
      <c r="K31" s="742"/>
      <c r="L31" s="742"/>
      <c r="M31" s="742"/>
    </row>
    <row r="32" spans="1:13" s="164" customFormat="1" ht="15">
      <c r="A32" s="187" t="s">
        <v>405</v>
      </c>
      <c r="B32" s="690"/>
      <c r="C32" s="740"/>
      <c r="D32" s="740"/>
      <c r="E32" s="739"/>
      <c r="F32" s="690"/>
      <c r="G32" s="690"/>
      <c r="H32" s="742"/>
      <c r="I32" s="690"/>
      <c r="J32" s="690"/>
      <c r="K32" s="690"/>
      <c r="L32" s="690"/>
      <c r="M32" s="690"/>
    </row>
    <row r="33" spans="1:5" s="164" customFormat="1" ht="15">
      <c r="A33" s="186"/>
      <c r="B33" s="168" t="s">
        <v>406</v>
      </c>
      <c r="C33" s="740"/>
      <c r="D33" s="740">
        <v>0</v>
      </c>
      <c r="E33" s="741">
        <f t="shared" ref="E33:E53" si="1">D33/$C$9</f>
        <v>0</v>
      </c>
    </row>
    <row r="34" spans="1:5" s="164" customFormat="1" ht="15">
      <c r="A34" s="186"/>
      <c r="B34" s="168" t="s">
        <v>407</v>
      </c>
      <c r="C34" s="740"/>
      <c r="D34" s="740">
        <v>0</v>
      </c>
      <c r="E34" s="741">
        <f t="shared" si="1"/>
        <v>0</v>
      </c>
    </row>
    <row r="35" spans="1:5" s="164" customFormat="1" ht="15">
      <c r="A35" s="186"/>
      <c r="B35" s="168" t="s">
        <v>408</v>
      </c>
      <c r="C35" s="740"/>
      <c r="D35" s="740">
        <v>0</v>
      </c>
      <c r="E35" s="741">
        <f t="shared" si="1"/>
        <v>0</v>
      </c>
    </row>
    <row r="36" spans="1:5" s="164" customFormat="1" ht="15">
      <c r="A36" s="187" t="s">
        <v>409</v>
      </c>
      <c r="B36" s="690"/>
      <c r="C36" s="740"/>
      <c r="D36" s="740"/>
      <c r="E36" s="739"/>
    </row>
    <row r="37" spans="1:5" s="164" customFormat="1" ht="15">
      <c r="A37" s="186"/>
      <c r="B37" s="178" t="s">
        <v>136</v>
      </c>
      <c r="C37" s="740"/>
      <c r="D37" s="740">
        <f>'Development Budget'!G101</f>
        <v>0</v>
      </c>
      <c r="E37" s="741">
        <f t="shared" si="1"/>
        <v>0</v>
      </c>
    </row>
    <row r="38" spans="1:5" s="164" customFormat="1" ht="15">
      <c r="A38" s="186"/>
      <c r="B38" s="178" t="s">
        <v>137</v>
      </c>
      <c r="C38" s="740"/>
      <c r="D38" s="740">
        <v>10000</v>
      </c>
      <c r="E38" s="741">
        <f t="shared" si="1"/>
        <v>90.909090909090907</v>
      </c>
    </row>
    <row r="39" spans="1:5" s="164" customFormat="1" ht="15">
      <c r="A39" s="187" t="s">
        <v>410</v>
      </c>
      <c r="B39" s="690"/>
      <c r="C39" s="740"/>
      <c r="D39" s="740"/>
      <c r="E39" s="739"/>
    </row>
    <row r="40" spans="1:5" s="164" customFormat="1" ht="15">
      <c r="A40" s="186"/>
      <c r="B40" s="168" t="s">
        <v>411</v>
      </c>
      <c r="C40" s="740"/>
      <c r="D40" s="740">
        <f>'Development Budget'!G94</f>
        <v>0</v>
      </c>
      <c r="E40" s="741">
        <f t="shared" si="1"/>
        <v>0</v>
      </c>
    </row>
    <row r="41" spans="1:5" s="164" customFormat="1" ht="15">
      <c r="A41" s="186"/>
      <c r="B41" s="168" t="s">
        <v>412</v>
      </c>
      <c r="C41" s="740"/>
      <c r="D41" s="740">
        <f>'Development Budget'!G95*0.25</f>
        <v>0</v>
      </c>
      <c r="E41" s="741">
        <f t="shared" si="1"/>
        <v>0</v>
      </c>
    </row>
    <row r="42" spans="1:5" s="164" customFormat="1" ht="15">
      <c r="A42" s="186"/>
      <c r="B42" s="168" t="s">
        <v>413</v>
      </c>
      <c r="C42" s="740"/>
      <c r="D42" s="740">
        <f>'Development Budget'!G95*0.35</f>
        <v>0</v>
      </c>
      <c r="E42" s="741">
        <f t="shared" si="1"/>
        <v>0</v>
      </c>
    </row>
    <row r="43" spans="1:5" s="164" customFormat="1" ht="15">
      <c r="A43" s="186"/>
      <c r="B43" s="168" t="s">
        <v>414</v>
      </c>
      <c r="C43" s="740"/>
      <c r="D43" s="740">
        <v>50000</v>
      </c>
      <c r="E43" s="741">
        <f t="shared" si="1"/>
        <v>454.54545454545456</v>
      </c>
    </row>
    <row r="44" spans="1:5" s="164" customFormat="1" ht="15">
      <c r="A44" s="186"/>
      <c r="B44" s="168" t="s">
        <v>135</v>
      </c>
      <c r="C44" s="740"/>
      <c r="D44" s="740">
        <f>'Development Budget'!G100*0.5</f>
        <v>0</v>
      </c>
      <c r="E44" s="741">
        <f t="shared" si="1"/>
        <v>0</v>
      </c>
    </row>
    <row r="45" spans="1:5" s="164" customFormat="1" ht="15">
      <c r="A45" s="186"/>
      <c r="B45" s="168" t="s">
        <v>147</v>
      </c>
      <c r="C45" s="740"/>
      <c r="D45" s="740">
        <f>'Development Budget'!G113</f>
        <v>0</v>
      </c>
      <c r="E45" s="741">
        <f t="shared" si="1"/>
        <v>0</v>
      </c>
    </row>
    <row r="46" spans="1:5" s="164" customFormat="1" ht="15">
      <c r="A46" s="186"/>
      <c r="B46" s="168" t="s">
        <v>415</v>
      </c>
      <c r="C46" s="740"/>
      <c r="D46" s="740">
        <v>50000</v>
      </c>
      <c r="E46" s="741">
        <f t="shared" si="1"/>
        <v>454.54545454545456</v>
      </c>
    </row>
    <row r="47" spans="1:5" s="164" customFormat="1" ht="15">
      <c r="A47" s="186"/>
      <c r="B47" s="168" t="s">
        <v>416</v>
      </c>
      <c r="C47" s="740"/>
      <c r="D47" s="740">
        <v>35000</v>
      </c>
      <c r="E47" s="741">
        <f t="shared" si="1"/>
        <v>318.18181818181819</v>
      </c>
    </row>
    <row r="48" spans="1:5" s="164" customFormat="1" ht="15">
      <c r="A48" s="186"/>
      <c r="B48" s="168" t="s">
        <v>417</v>
      </c>
      <c r="C48" s="740"/>
      <c r="D48" s="740">
        <v>10000</v>
      </c>
      <c r="E48" s="741">
        <f t="shared" si="1"/>
        <v>90.909090909090907</v>
      </c>
    </row>
    <row r="49" spans="1:8" s="164" customFormat="1" ht="15">
      <c r="A49" s="187" t="s">
        <v>150</v>
      </c>
      <c r="B49" s="690"/>
      <c r="C49" s="740"/>
      <c r="D49" s="740"/>
      <c r="E49" s="741">
        <f t="shared" si="1"/>
        <v>0</v>
      </c>
      <c r="F49" s="690"/>
      <c r="G49" s="690"/>
      <c r="H49" s="690"/>
    </row>
    <row r="50" spans="1:8" s="164" customFormat="1" ht="15">
      <c r="A50" s="186"/>
      <c r="B50" s="168" t="s">
        <v>145</v>
      </c>
      <c r="C50" s="740"/>
      <c r="D50" s="740">
        <v>10000</v>
      </c>
      <c r="E50" s="741">
        <f t="shared" si="1"/>
        <v>90.909090909090907</v>
      </c>
      <c r="F50" s="690"/>
      <c r="G50" s="690"/>
      <c r="H50" s="690"/>
    </row>
    <row r="51" spans="1:8" s="164" customFormat="1" ht="15">
      <c r="A51" s="186"/>
      <c r="B51" s="168" t="s">
        <v>143</v>
      </c>
      <c r="C51" s="740"/>
      <c r="D51" s="740">
        <v>12000</v>
      </c>
      <c r="E51" s="741">
        <f t="shared" si="1"/>
        <v>109.09090909090909</v>
      </c>
      <c r="F51" s="690"/>
      <c r="G51" s="690"/>
      <c r="H51" s="690"/>
    </row>
    <row r="52" spans="1:8" s="164" customFormat="1" ht="15">
      <c r="A52" s="188" t="s">
        <v>418</v>
      </c>
      <c r="B52" s="690"/>
      <c r="C52" s="740"/>
      <c r="D52" s="740">
        <f>(SUM(D37:D51)+SUM(D16:D25))*0.05</f>
        <v>96238.815000000002</v>
      </c>
      <c r="E52" s="741">
        <f t="shared" si="1"/>
        <v>874.89831818181824</v>
      </c>
      <c r="F52" s="14">
        <f>(SUM(D14:D51))*0.05</f>
        <v>733900.55700000003</v>
      </c>
      <c r="G52" s="690"/>
      <c r="H52" s="690"/>
    </row>
    <row r="53" spans="1:8" s="164" customFormat="1" ht="19.5" thickBot="1">
      <c r="A53" s="172" t="s">
        <v>419</v>
      </c>
      <c r="B53" s="169"/>
      <c r="C53" s="170"/>
      <c r="D53" s="179">
        <f>SUM(D14:D52)</f>
        <v>14774249.954999998</v>
      </c>
      <c r="E53" s="190">
        <f t="shared" si="1"/>
        <v>134311.3632272727</v>
      </c>
      <c r="F53" s="690"/>
      <c r="G53" s="690"/>
      <c r="H53" s="690"/>
    </row>
    <row r="54" spans="1:8" s="164" customFormat="1" thickTop="1">
      <c r="A54" s="167"/>
      <c r="B54" s="168"/>
      <c r="C54" s="740"/>
      <c r="D54" s="740"/>
      <c r="E54" s="690"/>
      <c r="F54" s="690"/>
      <c r="G54" s="690"/>
      <c r="H54" s="690"/>
    </row>
    <row r="55" spans="1:8" s="164" customFormat="1" ht="15">
      <c r="A55" s="196"/>
      <c r="B55" s="197"/>
      <c r="C55" s="197"/>
      <c r="D55" s="197"/>
      <c r="E55" s="198"/>
      <c r="F55" s="690"/>
      <c r="G55" s="690"/>
      <c r="H55" s="690"/>
    </row>
    <row r="56" spans="1:8" s="164" customFormat="1" ht="18.75">
      <c r="A56" s="191" t="s">
        <v>420</v>
      </c>
      <c r="B56" s="165"/>
      <c r="C56" s="165"/>
      <c r="D56" s="184" t="s">
        <v>381</v>
      </c>
      <c r="E56" s="189" t="s">
        <v>382</v>
      </c>
      <c r="F56" s="690"/>
      <c r="G56" s="690"/>
      <c r="H56" s="690"/>
    </row>
    <row r="57" spans="1:8">
      <c r="A57" s="192"/>
      <c r="B57" s="173" t="s">
        <v>30</v>
      </c>
      <c r="D57" s="162">
        <v>500000</v>
      </c>
      <c r="E57" s="193">
        <f>D57/$C$9</f>
        <v>4545.454545454545</v>
      </c>
      <c r="G57" s="159"/>
    </row>
    <row r="58" spans="1:8">
      <c r="A58" s="192"/>
      <c r="B58" s="173" t="s">
        <v>32</v>
      </c>
      <c r="D58" s="162">
        <f>D53-(D57+D59+D59)</f>
        <v>14274249.954999998</v>
      </c>
      <c r="E58" s="193">
        <f>D58/$C$9</f>
        <v>129765.90868181817</v>
      </c>
      <c r="G58" s="159"/>
      <c r="H58" s="159"/>
    </row>
    <row r="59" spans="1:8" hidden="1">
      <c r="A59" s="192"/>
      <c r="B59" s="174" t="s">
        <v>9</v>
      </c>
      <c r="D59" s="162">
        <v>0</v>
      </c>
      <c r="E59" s="193">
        <f>D59/$C$9</f>
        <v>0</v>
      </c>
      <c r="G59" s="159"/>
    </row>
    <row r="60" spans="1:8" hidden="1">
      <c r="A60" s="192"/>
      <c r="B60" s="175" t="s">
        <v>421</v>
      </c>
      <c r="D60" s="162">
        <v>0</v>
      </c>
      <c r="E60" s="193">
        <f>D60/$C$9</f>
        <v>0</v>
      </c>
      <c r="G60" s="159"/>
    </row>
    <row r="61" spans="1:8" ht="3.75" customHeight="1">
      <c r="A61" s="743"/>
      <c r="B61" s="823"/>
      <c r="E61" s="194"/>
    </row>
    <row r="62" spans="1:8" s="164" customFormat="1" ht="19.5" thickBot="1">
      <c r="A62" s="172" t="s">
        <v>422</v>
      </c>
      <c r="B62" s="171"/>
      <c r="C62" s="170"/>
      <c r="D62" s="180">
        <f>SUM(D57:D61)</f>
        <v>14774249.954999998</v>
      </c>
      <c r="E62" s="195">
        <f>D62/$C$9</f>
        <v>134311.3632272727</v>
      </c>
      <c r="F62" s="690"/>
      <c r="G62" s="703"/>
      <c r="H62" s="690"/>
    </row>
    <row r="63" spans="1:8" s="164" customFormat="1" thickTop="1">
      <c r="A63" s="31"/>
      <c r="B63" s="31"/>
      <c r="C63" s="740"/>
      <c r="D63" s="740"/>
      <c r="E63" s="690"/>
      <c r="F63" s="690"/>
      <c r="G63" s="690"/>
      <c r="H63" s="690"/>
    </row>
    <row r="64" spans="1:8" s="164" customFormat="1" ht="15">
      <c r="A64" s="31"/>
      <c r="B64" s="31"/>
      <c r="C64" s="740"/>
      <c r="D64" s="740"/>
      <c r="E64" s="690"/>
      <c r="F64" s="690"/>
      <c r="G64" s="690"/>
      <c r="H64" s="690"/>
    </row>
    <row r="65" spans="1:5">
      <c r="A65" s="70"/>
      <c r="B65" s="70"/>
    </row>
    <row r="66" spans="1:5" ht="18.75">
      <c r="A66" s="151" t="s">
        <v>14</v>
      </c>
      <c r="B66" s="148"/>
      <c r="C66" s="148"/>
    </row>
    <row r="67" spans="1:5">
      <c r="A67" s="64"/>
      <c r="B67" s="63" t="s">
        <v>15</v>
      </c>
      <c r="C67" s="63"/>
      <c r="D67" s="162">
        <f>D14</f>
        <v>0</v>
      </c>
      <c r="E67" s="340">
        <f>D67/$D$75</f>
        <v>0</v>
      </c>
    </row>
    <row r="68" spans="1:5">
      <c r="A68" s="64"/>
      <c r="B68" s="4" t="s">
        <v>17</v>
      </c>
      <c r="C68" s="63"/>
      <c r="D68" s="162">
        <f>SUM(D16:D25)</f>
        <v>1747776.3</v>
      </c>
      <c r="E68" s="340">
        <f>D68/$D$75</f>
        <v>0.19298871021771033</v>
      </c>
    </row>
    <row r="69" spans="1:5">
      <c r="A69" s="64"/>
      <c r="B69" s="4" t="s">
        <v>423</v>
      </c>
      <c r="C69" s="4"/>
      <c r="D69" s="162">
        <f>SUM(D27:D28)</f>
        <v>7035350.4000000004</v>
      </c>
      <c r="E69" s="340">
        <f t="shared" ref="E69:E74" si="2">D69/$D$75</f>
        <v>0.77684037689814911</v>
      </c>
    </row>
    <row r="70" spans="1:5">
      <c r="A70" s="64"/>
      <c r="B70" s="4" t="s">
        <v>19</v>
      </c>
      <c r="C70" s="4"/>
      <c r="D70" s="162">
        <f>SUM(D33:D35)</f>
        <v>0</v>
      </c>
      <c r="E70" s="340">
        <f t="shared" si="2"/>
        <v>0</v>
      </c>
    </row>
    <row r="71" spans="1:5">
      <c r="A71" s="64"/>
      <c r="B71" s="4" t="s">
        <v>424</v>
      </c>
      <c r="C71" s="4"/>
      <c r="D71" s="162">
        <f>SUM(D37:D38)</f>
        <v>10000</v>
      </c>
      <c r="E71" s="340">
        <f t="shared" si="2"/>
        <v>1.1041957155369958E-3</v>
      </c>
    </row>
    <row r="72" spans="1:5">
      <c r="A72" s="64"/>
      <c r="B72" s="4" t="s">
        <v>21</v>
      </c>
      <c r="C72" s="4"/>
      <c r="D72" s="162">
        <f>SUM(D40:D48)</f>
        <v>145000</v>
      </c>
      <c r="E72" s="340">
        <f t="shared" si="2"/>
        <v>1.6010837875286441E-2</v>
      </c>
    </row>
    <row r="73" spans="1:5">
      <c r="A73" s="64"/>
      <c r="B73" s="4" t="s">
        <v>270</v>
      </c>
      <c r="C73" s="4"/>
      <c r="D73" s="162">
        <f>SUM(D50:D51)</f>
        <v>22000</v>
      </c>
      <c r="E73" s="340">
        <f t="shared" si="2"/>
        <v>2.4292305741813909E-3</v>
      </c>
    </row>
    <row r="74" spans="1:5" ht="16.5" thickBot="1">
      <c r="A74" s="146"/>
      <c r="B74" s="67" t="s">
        <v>130</v>
      </c>
      <c r="C74" s="67"/>
      <c r="D74" s="338">
        <f>D52</f>
        <v>96238.815000000002</v>
      </c>
      <c r="E74" s="341">
        <f t="shared" si="2"/>
        <v>1.0626648719135757E-2</v>
      </c>
    </row>
    <row r="75" spans="1:5" ht="16.5" thickTop="1">
      <c r="C75" s="150" t="s">
        <v>14</v>
      </c>
      <c r="D75" s="162">
        <f>SUM(D67:D74)</f>
        <v>9056365.5150000006</v>
      </c>
      <c r="E75" s="339">
        <f>SUM(E67:E74)</f>
        <v>1</v>
      </c>
    </row>
  </sheetData>
  <pageMargins left="0.7" right="0.7" top="0.75" bottom="0.75" header="0.3" footer="0.3"/>
  <pageSetup scale="8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Y58"/>
  <sheetViews>
    <sheetView topLeftCell="A12" workbookViewId="0"/>
  </sheetViews>
  <sheetFormatPr defaultColWidth="8" defaultRowHeight="15.75"/>
  <cols>
    <col min="1" max="1" width="4.25" style="4" customWidth="1"/>
    <col min="2" max="2" width="9.25" style="4" customWidth="1"/>
    <col min="3" max="3" width="27.75" style="162" customWidth="1"/>
    <col min="4" max="4" width="15.75" style="162" customWidth="1"/>
    <col min="5" max="5" width="10.625" style="61" customWidth="1"/>
    <col min="6" max="6" width="10.125" style="162" customWidth="1"/>
    <col min="7" max="7" width="11.25" style="162" customWidth="1"/>
    <col min="8" max="19" width="10.125" style="162" customWidth="1"/>
    <col min="20" max="23" width="10.125" style="162" hidden="1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447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454</v>
      </c>
      <c r="B2" s="181"/>
      <c r="C2" s="182"/>
      <c r="D2" s="182"/>
      <c r="E2" s="447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4" spans="1:25" ht="12.75" customHeight="1">
      <c r="A4" s="163"/>
      <c r="B4" s="163"/>
    </row>
    <row r="5" spans="1:25" s="138" customFormat="1" ht="15">
      <c r="A5" s="1761" t="s">
        <v>455</v>
      </c>
      <c r="B5" s="1762"/>
      <c r="C5" s="1762"/>
      <c r="D5" s="350"/>
      <c r="E5" s="350" t="s">
        <v>456</v>
      </c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 t="s">
        <v>457</v>
      </c>
      <c r="Q5" s="350" t="s">
        <v>458</v>
      </c>
      <c r="R5" s="350"/>
      <c r="S5" s="350"/>
      <c r="T5" s="350"/>
      <c r="U5" s="350"/>
      <c r="V5" s="350"/>
      <c r="W5" s="350"/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400" t="s">
        <v>460</v>
      </c>
      <c r="F6" s="400">
        <v>44378</v>
      </c>
      <c r="G6" s="400">
        <f t="shared" ref="G6:W6" si="0">F6+31</f>
        <v>44409</v>
      </c>
      <c r="H6" s="400">
        <f t="shared" si="0"/>
        <v>44440</v>
      </c>
      <c r="I6" s="400">
        <f t="shared" si="0"/>
        <v>44471</v>
      </c>
      <c r="J6" s="400">
        <f t="shared" si="0"/>
        <v>44502</v>
      </c>
      <c r="K6" s="400">
        <f t="shared" si="0"/>
        <v>44533</v>
      </c>
      <c r="L6" s="400">
        <f t="shared" si="0"/>
        <v>44564</v>
      </c>
      <c r="M6" s="400">
        <f t="shared" si="0"/>
        <v>44595</v>
      </c>
      <c r="N6" s="400">
        <f t="shared" si="0"/>
        <v>44626</v>
      </c>
      <c r="O6" s="400">
        <f t="shared" si="0"/>
        <v>44657</v>
      </c>
      <c r="P6" s="400">
        <f t="shared" si="0"/>
        <v>44688</v>
      </c>
      <c r="Q6" s="400">
        <f t="shared" si="0"/>
        <v>44719</v>
      </c>
      <c r="R6" s="400">
        <f t="shared" si="0"/>
        <v>44750</v>
      </c>
      <c r="S6" s="400">
        <f t="shared" si="0"/>
        <v>44781</v>
      </c>
      <c r="T6" s="400">
        <f t="shared" si="0"/>
        <v>44812</v>
      </c>
      <c r="U6" s="400">
        <f t="shared" si="0"/>
        <v>44843</v>
      </c>
      <c r="V6" s="400">
        <f t="shared" si="0"/>
        <v>44874</v>
      </c>
      <c r="W6" s="400">
        <f t="shared" si="0"/>
        <v>44905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7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v>0</v>
      </c>
      <c r="E8" s="749"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9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Predevelopment!D16+Predevelopment!D18</f>
        <v>1395966</v>
      </c>
      <c r="E10" s="749">
        <v>294907.69</v>
      </c>
      <c r="F10" s="748">
        <f>(D10-E10)/10</f>
        <v>110105.83100000001</v>
      </c>
      <c r="G10" s="748">
        <f t="shared" ref="G10:O10" si="1">F10</f>
        <v>110105.83100000001</v>
      </c>
      <c r="H10" s="748">
        <f t="shared" si="1"/>
        <v>110105.83100000001</v>
      </c>
      <c r="I10" s="748">
        <f t="shared" si="1"/>
        <v>110105.83100000001</v>
      </c>
      <c r="J10" s="748">
        <f t="shared" si="1"/>
        <v>110105.83100000001</v>
      </c>
      <c r="K10" s="748">
        <f t="shared" si="1"/>
        <v>110105.83100000001</v>
      </c>
      <c r="L10" s="748">
        <f t="shared" si="1"/>
        <v>110105.83100000001</v>
      </c>
      <c r="M10" s="748">
        <f t="shared" si="1"/>
        <v>110105.83100000001</v>
      </c>
      <c r="N10" s="748">
        <f t="shared" si="1"/>
        <v>110105.83100000001</v>
      </c>
      <c r="O10" s="748">
        <f t="shared" si="1"/>
        <v>110105.83100000001</v>
      </c>
      <c r="P10" s="748">
        <v>0</v>
      </c>
      <c r="Q10" s="748">
        <v>0</v>
      </c>
      <c r="R10" s="748">
        <v>0</v>
      </c>
      <c r="S10" s="748">
        <v>0</v>
      </c>
      <c r="T10" s="748">
        <v>0</v>
      </c>
      <c r="U10" s="748"/>
      <c r="V10" s="748"/>
      <c r="W10" s="748"/>
      <c r="X10" s="748"/>
      <c r="Y10" s="748">
        <f t="shared" ref="Y10:Y46" si="2">SUM(E10:W10)</f>
        <v>1395966</v>
      </c>
    </row>
    <row r="11" spans="1:25" ht="15">
      <c r="A11" s="402"/>
      <c r="B11" s="403" t="s">
        <v>387</v>
      </c>
      <c r="C11" s="748"/>
      <c r="D11" s="748">
        <f>Predevelopment!D17</f>
        <v>234512</v>
      </c>
      <c r="E11" s="749"/>
      <c r="F11" s="748">
        <v>0</v>
      </c>
      <c r="G11" s="748">
        <v>0</v>
      </c>
      <c r="H11" s="748">
        <f>58628+35177</f>
        <v>93805</v>
      </c>
      <c r="I11" s="748">
        <v>0</v>
      </c>
      <c r="J11" s="748">
        <v>23451</v>
      </c>
      <c r="K11" s="748">
        <v>0</v>
      </c>
      <c r="L11" s="748">
        <v>93805</v>
      </c>
      <c r="M11" s="748">
        <v>0</v>
      </c>
      <c r="N11" s="748">
        <v>0</v>
      </c>
      <c r="O11" s="748">
        <v>23451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si="2"/>
        <v>234512</v>
      </c>
    </row>
    <row r="12" spans="1:25" ht="15">
      <c r="A12" s="402"/>
      <c r="B12" s="403" t="s">
        <v>389</v>
      </c>
      <c r="C12" s="748"/>
      <c r="D12" s="748">
        <v>0</v>
      </c>
      <c r="E12" s="749"/>
      <c r="F12" s="748">
        <v>0</v>
      </c>
      <c r="G12" s="748">
        <v>0</v>
      </c>
      <c r="H12" s="748">
        <v>0</v>
      </c>
      <c r="I12" s="748">
        <v>0</v>
      </c>
      <c r="J12" s="748">
        <v>0</v>
      </c>
      <c r="K12" s="748">
        <v>0</v>
      </c>
      <c r="L12" s="748">
        <v>0</v>
      </c>
      <c r="M12" s="748">
        <v>0</v>
      </c>
      <c r="N12" s="748">
        <v>0</v>
      </c>
      <c r="O12" s="748">
        <v>0</v>
      </c>
      <c r="P12" s="748">
        <v>0</v>
      </c>
      <c r="Q12" s="748">
        <v>0</v>
      </c>
      <c r="R12" s="748">
        <v>0</v>
      </c>
      <c r="S12" s="748">
        <v>0</v>
      </c>
      <c r="T12" s="748">
        <v>0</v>
      </c>
      <c r="U12" s="748">
        <v>0</v>
      </c>
      <c r="V12" s="748"/>
      <c r="W12" s="748"/>
      <c r="X12" s="748"/>
      <c r="Y12" s="748">
        <f t="shared" si="2"/>
        <v>0</v>
      </c>
    </row>
    <row r="13" spans="1:25" ht="15">
      <c r="A13" s="402"/>
      <c r="B13" s="403" t="s">
        <v>391</v>
      </c>
      <c r="C13" s="748"/>
      <c r="D13" s="748">
        <f>Predevelopment!D19</f>
        <v>-70000</v>
      </c>
      <c r="E13" s="749"/>
      <c r="F13" s="748">
        <f>D13/10</f>
        <v>-7000</v>
      </c>
      <c r="G13" s="748">
        <f t="shared" ref="G13:O13" si="3">F13</f>
        <v>-7000</v>
      </c>
      <c r="H13" s="748">
        <f t="shared" si="3"/>
        <v>-7000</v>
      </c>
      <c r="I13" s="748">
        <f t="shared" si="3"/>
        <v>-7000</v>
      </c>
      <c r="J13" s="748">
        <f t="shared" si="3"/>
        <v>-7000</v>
      </c>
      <c r="K13" s="748">
        <f t="shared" si="3"/>
        <v>-7000</v>
      </c>
      <c r="L13" s="748">
        <f t="shared" si="3"/>
        <v>-7000</v>
      </c>
      <c r="M13" s="748">
        <f t="shared" si="3"/>
        <v>-7000</v>
      </c>
      <c r="N13" s="748">
        <f t="shared" si="3"/>
        <v>-7000</v>
      </c>
      <c r="O13" s="748">
        <f t="shared" si="3"/>
        <v>-7000</v>
      </c>
      <c r="P13" s="748"/>
      <c r="Q13" s="748"/>
      <c r="R13" s="748"/>
      <c r="S13" s="748"/>
      <c r="T13" s="748"/>
      <c r="U13" s="748"/>
      <c r="V13" s="748"/>
      <c r="W13" s="748"/>
      <c r="X13" s="748"/>
      <c r="Y13" s="748">
        <f t="shared" si="2"/>
        <v>-70000</v>
      </c>
    </row>
    <row r="14" spans="1:25" ht="15">
      <c r="A14" s="402"/>
      <c r="B14" s="406" t="s">
        <v>393</v>
      </c>
      <c r="C14" s="748"/>
      <c r="D14" s="748">
        <f>Predevelopment!D20</f>
        <v>69798.3</v>
      </c>
      <c r="E14" s="749"/>
      <c r="F14" s="748">
        <f>$D$14/10</f>
        <v>6979.83</v>
      </c>
      <c r="G14" s="748">
        <f t="shared" ref="G14:O14" si="4">F14</f>
        <v>6979.83</v>
      </c>
      <c r="H14" s="748">
        <f t="shared" si="4"/>
        <v>6979.83</v>
      </c>
      <c r="I14" s="748">
        <f t="shared" si="4"/>
        <v>6979.83</v>
      </c>
      <c r="J14" s="748">
        <f t="shared" si="4"/>
        <v>6979.83</v>
      </c>
      <c r="K14" s="748">
        <f t="shared" si="4"/>
        <v>6979.83</v>
      </c>
      <c r="L14" s="748">
        <f t="shared" si="4"/>
        <v>6979.83</v>
      </c>
      <c r="M14" s="748">
        <f t="shared" si="4"/>
        <v>6979.83</v>
      </c>
      <c r="N14" s="748">
        <f t="shared" si="4"/>
        <v>6979.83</v>
      </c>
      <c r="O14" s="748">
        <f t="shared" si="4"/>
        <v>6979.83</v>
      </c>
      <c r="P14" s="748">
        <v>0</v>
      </c>
      <c r="Q14" s="748">
        <v>0</v>
      </c>
      <c r="R14" s="748"/>
      <c r="S14" s="748"/>
      <c r="T14" s="748"/>
      <c r="U14" s="748"/>
      <c r="V14" s="748"/>
      <c r="W14" s="748"/>
      <c r="X14" s="748"/>
      <c r="Y14" s="748">
        <f t="shared" si="2"/>
        <v>69798.3</v>
      </c>
    </row>
    <row r="15" spans="1:25" ht="15">
      <c r="A15" s="402"/>
      <c r="B15" s="407" t="s">
        <v>395</v>
      </c>
      <c r="C15" s="748"/>
      <c r="D15" s="748">
        <f>Predevelopment!D21</f>
        <v>35000</v>
      </c>
      <c r="E15" s="749">
        <f>4000+10400</f>
        <v>14400</v>
      </c>
      <c r="F15" s="748">
        <v>0</v>
      </c>
      <c r="G15" s="748">
        <v>0</v>
      </c>
      <c r="H15" s="748">
        <f>(D15-E15)/6</f>
        <v>3433.3333333333335</v>
      </c>
      <c r="I15" s="748">
        <f>H15</f>
        <v>3433.3333333333335</v>
      </c>
      <c r="J15" s="748">
        <f>I15</f>
        <v>3433.3333333333335</v>
      </c>
      <c r="K15" s="748">
        <f>J15</f>
        <v>3433.3333333333335</v>
      </c>
      <c r="L15" s="748">
        <f>K15</f>
        <v>3433.3333333333335</v>
      </c>
      <c r="M15" s="748">
        <f>L15</f>
        <v>3433.3333333333335</v>
      </c>
      <c r="N15" s="748">
        <v>0</v>
      </c>
      <c r="O15" s="748"/>
      <c r="P15" s="748"/>
      <c r="Q15" s="748"/>
      <c r="R15" s="748"/>
      <c r="S15" s="748"/>
      <c r="T15" s="748"/>
      <c r="U15" s="748"/>
      <c r="V15" s="748"/>
      <c r="W15" s="748"/>
      <c r="X15" s="748"/>
      <c r="Y15" s="748">
        <f t="shared" si="2"/>
        <v>34999.999999999993</v>
      </c>
    </row>
    <row r="16" spans="1:25" ht="15">
      <c r="A16" s="402"/>
      <c r="B16" s="405" t="s">
        <v>396</v>
      </c>
      <c r="C16" s="751"/>
      <c r="D16" s="749">
        <f>Predevelopment!D22</f>
        <v>35000</v>
      </c>
      <c r="E16" s="749">
        <v>28017.54</v>
      </c>
      <c r="F16" s="748">
        <v>0</v>
      </c>
      <c r="G16" s="748">
        <v>0</v>
      </c>
      <c r="H16" s="748">
        <v>0</v>
      </c>
      <c r="I16" s="748">
        <v>0</v>
      </c>
      <c r="J16" s="748">
        <v>0</v>
      </c>
      <c r="K16" s="748">
        <v>0</v>
      </c>
      <c r="L16" s="748">
        <v>0</v>
      </c>
      <c r="M16" s="748">
        <v>0</v>
      </c>
      <c r="N16" s="748">
        <f>D16-E16</f>
        <v>6982.4599999999991</v>
      </c>
      <c r="O16" s="748">
        <v>0</v>
      </c>
      <c r="P16" s="748">
        <v>0</v>
      </c>
      <c r="Q16" s="748">
        <v>0</v>
      </c>
      <c r="R16" s="748"/>
      <c r="S16" s="748"/>
      <c r="T16" s="748"/>
      <c r="U16" s="748"/>
      <c r="V16" s="748"/>
      <c r="W16" s="748"/>
      <c r="X16" s="748"/>
      <c r="Y16" s="748">
        <f t="shared" si="2"/>
        <v>35000</v>
      </c>
    </row>
    <row r="17" spans="1:25" ht="15">
      <c r="A17" s="402"/>
      <c r="B17" s="408" t="s">
        <v>397</v>
      </c>
      <c r="C17" s="748"/>
      <c r="D17" s="748">
        <f>Predevelopment!D23</f>
        <v>12500</v>
      </c>
      <c r="E17" s="749">
        <v>12500</v>
      </c>
      <c r="F17" s="748">
        <f>($D$17-$E$17)/2</f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f>($D$17-$E$17)/2</f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2"/>
        <v>12500</v>
      </c>
    </row>
    <row r="18" spans="1:25" ht="15">
      <c r="A18" s="402"/>
      <c r="B18" s="409" t="s">
        <v>105</v>
      </c>
      <c r="C18" s="751"/>
      <c r="D18" s="748">
        <f>Predevelopment!D24</f>
        <v>10000</v>
      </c>
      <c r="E18" s="749"/>
      <c r="F18" s="748"/>
      <c r="G18" s="748"/>
      <c r="H18" s="748"/>
      <c r="I18" s="748"/>
      <c r="J18" s="748"/>
      <c r="K18" s="748"/>
      <c r="L18" s="748"/>
      <c r="M18" s="748"/>
      <c r="N18" s="748">
        <f>D18-E18</f>
        <v>10000</v>
      </c>
      <c r="O18" s="748"/>
      <c r="P18" s="748"/>
      <c r="Q18" s="748"/>
      <c r="R18" s="748"/>
      <c r="S18" s="748"/>
      <c r="T18" s="748"/>
      <c r="U18" s="748"/>
      <c r="V18" s="748"/>
      <c r="W18" s="748"/>
      <c r="X18" s="748"/>
      <c r="Y18" s="748">
        <f t="shared" si="2"/>
        <v>10000</v>
      </c>
    </row>
    <row r="19" spans="1:25" ht="15">
      <c r="A19" s="402"/>
      <c r="B19" s="408" t="s">
        <v>398</v>
      </c>
      <c r="C19" s="748"/>
      <c r="D19" s="748">
        <f>Predevelopment!D25</f>
        <v>25000</v>
      </c>
      <c r="E19" s="749"/>
      <c r="F19" s="748">
        <f>D19/10</f>
        <v>2500</v>
      </c>
      <c r="G19" s="748">
        <f t="shared" ref="G19:O19" si="5">F19</f>
        <v>2500</v>
      </c>
      <c r="H19" s="748">
        <f t="shared" si="5"/>
        <v>2500</v>
      </c>
      <c r="I19" s="748">
        <f t="shared" si="5"/>
        <v>2500</v>
      </c>
      <c r="J19" s="748">
        <f t="shared" si="5"/>
        <v>2500</v>
      </c>
      <c r="K19" s="748">
        <f t="shared" si="5"/>
        <v>2500</v>
      </c>
      <c r="L19" s="748">
        <f t="shared" si="5"/>
        <v>2500</v>
      </c>
      <c r="M19" s="748">
        <f t="shared" si="5"/>
        <v>2500</v>
      </c>
      <c r="N19" s="748">
        <f t="shared" si="5"/>
        <v>2500</v>
      </c>
      <c r="O19" s="748">
        <f t="shared" si="5"/>
        <v>2500</v>
      </c>
      <c r="P19" s="748"/>
      <c r="Q19" s="748"/>
      <c r="R19" s="748"/>
      <c r="S19" s="748"/>
      <c r="T19" s="748"/>
      <c r="U19" s="748"/>
      <c r="V19" s="748"/>
      <c r="W19" s="748"/>
      <c r="X19" s="748"/>
      <c r="Y19" s="748">
        <f t="shared" si="2"/>
        <v>25000</v>
      </c>
    </row>
    <row r="20" spans="1:25" ht="15">
      <c r="A20" s="404" t="s">
        <v>399</v>
      </c>
      <c r="B20" s="408"/>
      <c r="C20" s="748"/>
      <c r="D20" s="748"/>
      <c r="E20" s="749"/>
      <c r="F20" s="748"/>
      <c r="G20" s="748"/>
      <c r="H20" s="748"/>
      <c r="I20" s="748"/>
      <c r="J20" s="748"/>
      <c r="K20" s="748"/>
      <c r="L20" s="748"/>
      <c r="M20" s="748"/>
      <c r="N20" s="748"/>
      <c r="O20" s="748"/>
      <c r="P20" s="748"/>
      <c r="Q20" s="748"/>
      <c r="R20" s="748"/>
      <c r="S20" s="748"/>
      <c r="T20" s="748"/>
      <c r="U20" s="748"/>
      <c r="V20" s="748"/>
      <c r="W20" s="748"/>
      <c r="X20" s="748"/>
      <c r="Y20" s="748">
        <f t="shared" si="2"/>
        <v>0</v>
      </c>
    </row>
    <row r="21" spans="1:25" ht="14.25" customHeight="1">
      <c r="A21" s="402"/>
      <c r="B21" s="408" t="s">
        <v>400</v>
      </c>
      <c r="C21" s="748"/>
      <c r="D21" s="748">
        <f>Predevelopment!D27</f>
        <v>2931396</v>
      </c>
      <c r="E21" s="749"/>
      <c r="F21" s="748"/>
      <c r="G21" s="748"/>
      <c r="H21" s="748"/>
      <c r="I21" s="748">
        <v>586279</v>
      </c>
      <c r="J21" s="748"/>
      <c r="K21" s="748"/>
      <c r="L21" s="748">
        <v>2345117</v>
      </c>
      <c r="M21" s="748"/>
      <c r="N21" s="748"/>
      <c r="O21" s="748"/>
      <c r="P21" s="748"/>
      <c r="Q21" s="748"/>
      <c r="R21" s="748"/>
      <c r="S21" s="748"/>
      <c r="T21" s="748"/>
      <c r="U21" s="748"/>
      <c r="V21" s="748"/>
      <c r="W21" s="748"/>
      <c r="X21" s="748"/>
      <c r="Y21" s="748">
        <f t="shared" si="2"/>
        <v>2931396</v>
      </c>
    </row>
    <row r="22" spans="1:25" ht="15">
      <c r="A22" s="402"/>
      <c r="B22" s="408" t="s">
        <v>401</v>
      </c>
      <c r="C22" s="748"/>
      <c r="D22" s="748">
        <f>Predevelopment!D28</f>
        <v>4103954.4</v>
      </c>
      <c r="E22" s="749"/>
      <c r="F22" s="748"/>
      <c r="G22" s="748"/>
      <c r="H22" s="748"/>
      <c r="I22" s="748"/>
      <c r="J22" s="748"/>
      <c r="K22" s="748"/>
      <c r="L22" s="748"/>
      <c r="M22" s="748"/>
      <c r="N22" s="748"/>
      <c r="O22" s="748"/>
      <c r="P22" s="748">
        <f>D22</f>
        <v>4103954.4</v>
      </c>
      <c r="Q22" s="748"/>
      <c r="R22" s="748"/>
      <c r="S22" s="748"/>
      <c r="T22" s="748"/>
      <c r="U22" s="748"/>
      <c r="V22" s="748"/>
      <c r="W22" s="748"/>
      <c r="X22" s="748"/>
      <c r="Y22" s="748">
        <f t="shared" si="2"/>
        <v>4103954.4</v>
      </c>
    </row>
    <row r="23" spans="1:25" ht="15">
      <c r="A23" s="402"/>
      <c r="B23" s="408" t="s">
        <v>402</v>
      </c>
      <c r="C23" s="748"/>
      <c r="D23" s="748">
        <f>Predevelopment!D29</f>
        <v>4103954</v>
      </c>
      <c r="E23" s="749"/>
      <c r="F23" s="748"/>
      <c r="G23" s="748"/>
      <c r="H23" s="748"/>
      <c r="I23" s="748"/>
      <c r="J23" s="748"/>
      <c r="K23" s="748"/>
      <c r="L23" s="748"/>
      <c r="M23" s="748"/>
      <c r="N23" s="748"/>
      <c r="O23" s="748"/>
      <c r="P23" s="748"/>
      <c r="Q23" s="748"/>
      <c r="R23" s="748"/>
      <c r="S23" s="748">
        <f>D23</f>
        <v>4103954</v>
      </c>
      <c r="T23" s="748"/>
      <c r="U23" s="748"/>
      <c r="V23" s="748"/>
      <c r="W23" s="748"/>
      <c r="X23" s="748"/>
      <c r="Y23" s="748">
        <f t="shared" si="2"/>
        <v>4103954</v>
      </c>
    </row>
    <row r="24" spans="1:25" ht="15">
      <c r="A24" s="402"/>
      <c r="B24" s="408" t="s">
        <v>403</v>
      </c>
      <c r="C24" s="748"/>
      <c r="D24" s="748">
        <f>Predevelopment!D30</f>
        <v>1113930.4400000002</v>
      </c>
      <c r="E24" s="749"/>
      <c r="F24" s="748"/>
      <c r="G24" s="748"/>
      <c r="H24" s="748"/>
      <c r="I24" s="748"/>
      <c r="J24" s="748"/>
      <c r="K24" s="748">
        <f>M24</f>
        <v>278482.61000000004</v>
      </c>
      <c r="L24" s="748"/>
      <c r="M24" s="748">
        <f>D24/4</f>
        <v>278482.61000000004</v>
      </c>
      <c r="N24" s="748"/>
      <c r="O24" s="748"/>
      <c r="P24" s="748">
        <f>M24</f>
        <v>278482.61000000004</v>
      </c>
      <c r="Q24" s="748"/>
      <c r="R24" s="748"/>
      <c r="S24" s="748">
        <f>P24</f>
        <v>278482.61000000004</v>
      </c>
      <c r="T24" s="748"/>
      <c r="U24" s="748"/>
      <c r="V24" s="748"/>
      <c r="W24" s="748"/>
      <c r="X24" s="748"/>
      <c r="Y24" s="748">
        <f t="shared" si="2"/>
        <v>1113930.4400000002</v>
      </c>
    </row>
    <row r="25" spans="1:25" ht="15">
      <c r="A25" s="402"/>
      <c r="B25" s="408" t="s">
        <v>462</v>
      </c>
      <c r="C25" s="748"/>
      <c r="D25" s="748">
        <f>Predevelopment!D31</f>
        <v>500000</v>
      </c>
      <c r="E25" s="749"/>
      <c r="F25" s="748">
        <f>($D$25-$E$25)/12</f>
        <v>41666.666666666664</v>
      </c>
      <c r="G25" s="748">
        <f>F25</f>
        <v>41666.666666666664</v>
      </c>
      <c r="H25" s="748">
        <f t="shared" ref="H25:Q25" si="6">G25</f>
        <v>41666.666666666664</v>
      </c>
      <c r="I25" s="748">
        <f t="shared" si="6"/>
        <v>41666.666666666664</v>
      </c>
      <c r="J25" s="748">
        <f t="shared" si="6"/>
        <v>41666.666666666664</v>
      </c>
      <c r="K25" s="748">
        <f t="shared" si="6"/>
        <v>41666.666666666664</v>
      </c>
      <c r="L25" s="748">
        <f t="shared" si="6"/>
        <v>41666.666666666664</v>
      </c>
      <c r="M25" s="748">
        <f t="shared" si="6"/>
        <v>41666.666666666664</v>
      </c>
      <c r="N25" s="748">
        <f t="shared" si="6"/>
        <v>41666.666666666664</v>
      </c>
      <c r="O25" s="748">
        <f t="shared" si="6"/>
        <v>41666.666666666664</v>
      </c>
      <c r="P25" s="748">
        <f t="shared" si="6"/>
        <v>41666.666666666664</v>
      </c>
      <c r="Q25" s="748">
        <f t="shared" si="6"/>
        <v>41666.666666666664</v>
      </c>
      <c r="R25" s="748"/>
      <c r="S25" s="748"/>
      <c r="T25" s="748"/>
      <c r="U25" s="748"/>
      <c r="V25" s="748"/>
      <c r="W25" s="748"/>
      <c r="X25" s="748"/>
      <c r="Y25" s="748">
        <f t="shared" si="2"/>
        <v>500000.00000000006</v>
      </c>
    </row>
    <row r="26" spans="1:25" ht="15">
      <c r="A26" s="404" t="s">
        <v>405</v>
      </c>
      <c r="B26" s="750"/>
      <c r="C26" s="748"/>
      <c r="D26" s="748"/>
      <c r="E26" s="749"/>
      <c r="F26" s="748"/>
      <c r="G26" s="748"/>
      <c r="H26" s="748"/>
      <c r="I26" s="748"/>
      <c r="J26" s="748"/>
      <c r="K26" s="748"/>
      <c r="L26" s="748"/>
      <c r="M26" s="748"/>
      <c r="N26" s="748"/>
      <c r="O26" s="748"/>
      <c r="P26" s="748"/>
      <c r="Q26" s="748"/>
      <c r="R26" s="748"/>
      <c r="S26" s="748"/>
      <c r="T26" s="748"/>
      <c r="U26" s="748"/>
      <c r="V26" s="748"/>
      <c r="W26" s="748"/>
      <c r="X26" s="748"/>
      <c r="Y26" s="748">
        <f t="shared" si="2"/>
        <v>0</v>
      </c>
    </row>
    <row r="27" spans="1:25" ht="15">
      <c r="A27" s="402"/>
      <c r="B27" s="403" t="s">
        <v>406</v>
      </c>
      <c r="C27" s="748"/>
      <c r="D27" s="748">
        <f>Predevelopment!D33</f>
        <v>0</v>
      </c>
      <c r="E27" s="749"/>
      <c r="F27" s="748"/>
      <c r="G27" s="748"/>
      <c r="H27" s="748"/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>
        <f t="shared" si="2"/>
        <v>0</v>
      </c>
    </row>
    <row r="28" spans="1:25" ht="15">
      <c r="A28" s="402"/>
      <c r="B28" s="405" t="s">
        <v>407</v>
      </c>
      <c r="C28" s="751"/>
      <c r="D28" s="748">
        <f>Predevelopment!D34</f>
        <v>0</v>
      </c>
      <c r="E28" s="749"/>
      <c r="F28" s="748"/>
      <c r="G28" s="748"/>
      <c r="H28" s="748"/>
      <c r="I28" s="748"/>
      <c r="J28" s="748"/>
      <c r="K28" s="748"/>
      <c r="L28" s="748"/>
      <c r="M28" s="748"/>
      <c r="N28" s="748"/>
      <c r="O28" s="748"/>
      <c r="P28" s="748"/>
      <c r="Q28" s="748"/>
      <c r="R28" s="748"/>
      <c r="S28" s="748"/>
      <c r="T28" s="748"/>
      <c r="U28" s="748"/>
      <c r="V28" s="748"/>
      <c r="W28" s="748"/>
      <c r="X28" s="748"/>
      <c r="Y28" s="748">
        <f t="shared" si="2"/>
        <v>0</v>
      </c>
    </row>
    <row r="29" spans="1:25" ht="15">
      <c r="A29" s="402"/>
      <c r="B29" s="403" t="s">
        <v>408</v>
      </c>
      <c r="C29" s="748"/>
      <c r="D29" s="748">
        <f>Data!N14</f>
        <v>0</v>
      </c>
      <c r="E29" s="749"/>
      <c r="F29" s="748"/>
      <c r="G29" s="748"/>
      <c r="H29" s="748"/>
      <c r="I29" s="748"/>
      <c r="J29" s="748"/>
      <c r="K29" s="748"/>
      <c r="L29" s="748"/>
      <c r="M29" s="748"/>
      <c r="N29" s="748"/>
      <c r="O29" s="748"/>
      <c r="P29" s="748"/>
      <c r="Q29" s="748">
        <f>Data!N14</f>
        <v>0</v>
      </c>
      <c r="R29" s="748"/>
      <c r="S29" s="748"/>
      <c r="T29" s="748"/>
      <c r="U29" s="748"/>
      <c r="V29" s="748"/>
      <c r="W29" s="748"/>
      <c r="X29" s="748"/>
      <c r="Y29" s="748">
        <f t="shared" si="2"/>
        <v>0</v>
      </c>
    </row>
    <row r="30" spans="1:25" ht="15">
      <c r="A30" s="404" t="s">
        <v>409</v>
      </c>
      <c r="B30" s="744"/>
      <c r="C30" s="751"/>
      <c r="D30" s="748"/>
      <c r="E30" s="749"/>
      <c r="F30" s="748"/>
      <c r="G30" s="748"/>
      <c r="H30" s="748"/>
      <c r="I30" s="748"/>
      <c r="J30" s="748"/>
      <c r="K30" s="748"/>
      <c r="L30" s="748"/>
      <c r="M30" s="748"/>
      <c r="N30" s="748"/>
      <c r="O30" s="748"/>
      <c r="P30" s="748"/>
      <c r="Q30" s="748"/>
      <c r="R30" s="748"/>
      <c r="S30" s="748"/>
      <c r="T30" s="748"/>
      <c r="U30" s="748"/>
      <c r="V30" s="748"/>
      <c r="W30" s="748"/>
      <c r="X30" s="748"/>
      <c r="Y30" s="748">
        <f t="shared" si="2"/>
        <v>0</v>
      </c>
    </row>
    <row r="31" spans="1:25" ht="15">
      <c r="A31" s="402"/>
      <c r="B31" s="409" t="s">
        <v>136</v>
      </c>
      <c r="C31" s="751"/>
      <c r="D31" s="748">
        <f>Predevelopment!D37</f>
        <v>0</v>
      </c>
      <c r="E31" s="749"/>
      <c r="F31" s="748"/>
      <c r="G31" s="748"/>
      <c r="H31" s="748"/>
      <c r="I31" s="748"/>
      <c r="J31" s="748"/>
      <c r="K31" s="748"/>
      <c r="L31" s="748"/>
      <c r="M31" s="748">
        <f>($D$31-$E$31)/2</f>
        <v>0</v>
      </c>
      <c r="N31" s="748"/>
      <c r="O31" s="748"/>
      <c r="P31" s="748"/>
      <c r="Q31" s="748"/>
      <c r="R31" s="748"/>
      <c r="S31" s="748"/>
      <c r="T31" s="748"/>
      <c r="U31" s="748"/>
      <c r="V31" s="748"/>
      <c r="W31" s="748">
        <f>($D$31-$E$31)/2</f>
        <v>0</v>
      </c>
      <c r="X31" s="748"/>
      <c r="Y31" s="748">
        <f t="shared" si="2"/>
        <v>0</v>
      </c>
    </row>
    <row r="32" spans="1:25" ht="15">
      <c r="A32" s="402"/>
      <c r="B32" s="408" t="s">
        <v>137</v>
      </c>
      <c r="C32" s="748"/>
      <c r="D32" s="748">
        <f>Predevelopment!D38</f>
        <v>10000</v>
      </c>
      <c r="E32" s="749">
        <v>7800</v>
      </c>
      <c r="F32" s="748"/>
      <c r="G32" s="748"/>
      <c r="H32" s="748">
        <f>($D$32-$E$32)/2</f>
        <v>1100</v>
      </c>
      <c r="I32" s="748"/>
      <c r="J32" s="748"/>
      <c r="K32" s="748"/>
      <c r="L32" s="748"/>
      <c r="M32" s="748"/>
      <c r="N32" s="748">
        <f>($D$32-$E$32)/2</f>
        <v>1100</v>
      </c>
      <c r="O32" s="748"/>
      <c r="P32" s="748"/>
      <c r="Q32" s="748"/>
      <c r="R32" s="748">
        <v>0</v>
      </c>
      <c r="S32" s="748"/>
      <c r="T32" s="748"/>
      <c r="U32" s="748"/>
      <c r="V32" s="748"/>
      <c r="W32" s="748"/>
      <c r="X32" s="748"/>
      <c r="Y32" s="748">
        <f t="shared" si="2"/>
        <v>10000</v>
      </c>
    </row>
    <row r="33" spans="1:25" ht="15">
      <c r="A33" s="404" t="s">
        <v>410</v>
      </c>
      <c r="B33" s="744"/>
      <c r="C33" s="751"/>
      <c r="D33" s="748"/>
      <c r="E33" s="749"/>
      <c r="F33" s="748"/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2"/>
        <v>0</v>
      </c>
    </row>
    <row r="34" spans="1:25" ht="15">
      <c r="A34" s="402"/>
      <c r="B34" s="752" t="s">
        <v>411</v>
      </c>
      <c r="C34" s="748"/>
      <c r="D34" s="748">
        <f>Predevelopment!D40</f>
        <v>0</v>
      </c>
      <c r="E34" s="749">
        <f>340+4763.12+11800</f>
        <v>16903.12</v>
      </c>
      <c r="F34" s="748">
        <v>0</v>
      </c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>
        <v>0</v>
      </c>
      <c r="R34" s="748"/>
      <c r="S34" s="748"/>
      <c r="T34" s="748"/>
      <c r="U34" s="748"/>
      <c r="V34" s="748"/>
      <c r="W34" s="748"/>
      <c r="X34" s="748"/>
      <c r="Y34" s="748">
        <f t="shared" si="2"/>
        <v>16903.12</v>
      </c>
    </row>
    <row r="35" spans="1:25" ht="15">
      <c r="A35" s="402"/>
      <c r="B35" s="403" t="s">
        <v>412</v>
      </c>
      <c r="C35" s="748"/>
      <c r="D35" s="748">
        <f>Predevelopment!D41</f>
        <v>0</v>
      </c>
      <c r="E35" s="749">
        <v>0</v>
      </c>
      <c r="F35" s="748"/>
      <c r="G35" s="748"/>
      <c r="H35" s="748"/>
      <c r="I35" s="748"/>
      <c r="J35" s="748"/>
      <c r="K35" s="748"/>
      <c r="L35" s="748"/>
      <c r="M35" s="748"/>
      <c r="N35" s="748">
        <f>D35</f>
        <v>0</v>
      </c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2"/>
        <v>0</v>
      </c>
    </row>
    <row r="36" spans="1:25" ht="15">
      <c r="A36" s="402"/>
      <c r="B36" s="403" t="s">
        <v>413</v>
      </c>
      <c r="C36" s="748"/>
      <c r="D36" s="748">
        <f>Predevelopment!D42</f>
        <v>0</v>
      </c>
      <c r="E36" s="749"/>
      <c r="F36" s="748"/>
      <c r="G36" s="748"/>
      <c r="H36" s="748"/>
      <c r="I36" s="748"/>
      <c r="J36" s="748"/>
      <c r="K36" s="748"/>
      <c r="L36" s="748"/>
      <c r="M36" s="748"/>
      <c r="N36" s="748"/>
      <c r="O36" s="748"/>
      <c r="P36" s="748"/>
      <c r="Q36" s="748">
        <f>D36</f>
        <v>0</v>
      </c>
      <c r="R36" s="748"/>
      <c r="S36" s="748"/>
      <c r="T36" s="748"/>
      <c r="U36" s="748"/>
      <c r="V36" s="748"/>
      <c r="W36" s="748"/>
      <c r="X36" s="748"/>
      <c r="Y36" s="748">
        <f t="shared" si="2"/>
        <v>0</v>
      </c>
    </row>
    <row r="37" spans="1:25" ht="15">
      <c r="A37" s="402"/>
      <c r="B37" s="403" t="s">
        <v>414</v>
      </c>
      <c r="C37" s="748"/>
      <c r="D37" s="748">
        <f>Predevelopment!D43</f>
        <v>50000</v>
      </c>
      <c r="E37" s="749"/>
      <c r="F37" s="748">
        <f t="shared" ref="F37:M37" si="7">($D$37-$E$37)/8</f>
        <v>6250</v>
      </c>
      <c r="G37" s="748">
        <f t="shared" si="7"/>
        <v>6250</v>
      </c>
      <c r="H37" s="748">
        <f t="shared" si="7"/>
        <v>6250</v>
      </c>
      <c r="I37" s="748">
        <f t="shared" si="7"/>
        <v>6250</v>
      </c>
      <c r="J37" s="748">
        <f t="shared" si="7"/>
        <v>6250</v>
      </c>
      <c r="K37" s="748">
        <f t="shared" si="7"/>
        <v>6250</v>
      </c>
      <c r="L37" s="748">
        <f t="shared" si="7"/>
        <v>6250</v>
      </c>
      <c r="M37" s="748">
        <f t="shared" si="7"/>
        <v>6250</v>
      </c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2"/>
        <v>50000</v>
      </c>
    </row>
    <row r="38" spans="1:25" ht="15">
      <c r="A38" s="402"/>
      <c r="B38" s="403" t="s">
        <v>135</v>
      </c>
      <c r="C38" s="748"/>
      <c r="D38" s="748">
        <f>Predevelopment!D44</f>
        <v>0</v>
      </c>
      <c r="E38" s="749"/>
      <c r="F38" s="748"/>
      <c r="G38" s="748"/>
      <c r="H38" s="748"/>
      <c r="I38" s="748">
        <f>D38/3</f>
        <v>0</v>
      </c>
      <c r="J38" s="748"/>
      <c r="K38" s="748"/>
      <c r="L38" s="748">
        <f>I38</f>
        <v>0</v>
      </c>
      <c r="M38" s="748"/>
      <c r="N38" s="748"/>
      <c r="O38" s="748">
        <f>L38</f>
        <v>0</v>
      </c>
      <c r="P38" s="748"/>
      <c r="Q38" s="748"/>
      <c r="R38" s="748"/>
      <c r="S38" s="748"/>
      <c r="T38" s="748"/>
      <c r="U38" s="748"/>
      <c r="V38" s="748"/>
      <c r="W38" s="748"/>
      <c r="X38" s="748"/>
      <c r="Y38" s="748">
        <f t="shared" si="2"/>
        <v>0</v>
      </c>
    </row>
    <row r="39" spans="1:25" ht="15">
      <c r="A39" s="402"/>
      <c r="B39" s="752" t="s">
        <v>463</v>
      </c>
      <c r="C39" s="748"/>
      <c r="D39" s="749">
        <f>Predevelopment!D45+50000</f>
        <v>50000</v>
      </c>
      <c r="E39" s="749">
        <v>125000</v>
      </c>
      <c r="F39" s="748">
        <f>(D39-E39)/6</f>
        <v>-12500</v>
      </c>
      <c r="G39" s="748">
        <f>F39</f>
        <v>-12500</v>
      </c>
      <c r="H39" s="748">
        <f>G39</f>
        <v>-12500</v>
      </c>
      <c r="I39" s="748">
        <f>H39</f>
        <v>-12500</v>
      </c>
      <c r="J39" s="748">
        <f>I39</f>
        <v>-12500</v>
      </c>
      <c r="K39" s="748">
        <f>J39</f>
        <v>-12500</v>
      </c>
      <c r="L39" s="748"/>
      <c r="M39" s="748"/>
      <c r="N39" s="748"/>
      <c r="O39" s="748"/>
      <c r="P39" s="748"/>
      <c r="Q39" s="748"/>
      <c r="R39" s="748"/>
      <c r="S39" s="748"/>
      <c r="T39" s="748"/>
      <c r="U39" s="748"/>
      <c r="V39" s="748"/>
      <c r="W39" s="748"/>
      <c r="X39" s="748"/>
      <c r="Y39" s="748">
        <f t="shared" si="2"/>
        <v>50000</v>
      </c>
    </row>
    <row r="40" spans="1:25" ht="15">
      <c r="A40" s="402"/>
      <c r="B40" s="403" t="s">
        <v>415</v>
      </c>
      <c r="C40" s="748"/>
      <c r="D40" s="748">
        <f>Predevelopment!D46</f>
        <v>50000</v>
      </c>
      <c r="E40" s="749"/>
      <c r="F40" s="748">
        <f>($D$40-$E$40)/4</f>
        <v>12500</v>
      </c>
      <c r="G40" s="748"/>
      <c r="H40" s="748">
        <f>($D$40-$E$40)/4</f>
        <v>12500</v>
      </c>
      <c r="I40" s="748"/>
      <c r="J40" s="748">
        <f>($D$40-$E$40)/4</f>
        <v>12500</v>
      </c>
      <c r="K40" s="748"/>
      <c r="L40" s="748"/>
      <c r="M40" s="748">
        <f>($D$40-$E$40)/4</f>
        <v>12500</v>
      </c>
      <c r="N40" s="748"/>
      <c r="O40" s="748"/>
      <c r="P40" s="748"/>
      <c r="Q40" s="748"/>
      <c r="R40" s="748"/>
      <c r="S40" s="748"/>
      <c r="T40" s="748"/>
      <c r="U40" s="748"/>
      <c r="V40" s="748"/>
      <c r="W40" s="748"/>
      <c r="X40" s="748"/>
      <c r="Y40" s="748">
        <f t="shared" si="2"/>
        <v>50000</v>
      </c>
    </row>
    <row r="41" spans="1:25" ht="15">
      <c r="A41" s="402"/>
      <c r="B41" s="403" t="s">
        <v>416</v>
      </c>
      <c r="C41" s="748"/>
      <c r="D41" s="748">
        <f>Predevelopment!D47</f>
        <v>35000</v>
      </c>
      <c r="E41" s="749">
        <f>5147.5+224+22135</f>
        <v>27506.5</v>
      </c>
      <c r="F41" s="748">
        <f>($D$41-$E$41)/5</f>
        <v>1498.7</v>
      </c>
      <c r="G41" s="748"/>
      <c r="H41" s="748">
        <f>F41</f>
        <v>1498.7</v>
      </c>
      <c r="I41" s="748"/>
      <c r="J41" s="748">
        <f>H41</f>
        <v>1498.7</v>
      </c>
      <c r="K41" s="748"/>
      <c r="L41" s="748">
        <f>($D$41-$E$41)/5</f>
        <v>1498.7</v>
      </c>
      <c r="M41" s="748"/>
      <c r="N41" s="748">
        <f>L41</f>
        <v>1498.7</v>
      </c>
      <c r="O41" s="748"/>
      <c r="P41" s="748"/>
      <c r="Q41" s="748"/>
      <c r="R41" s="748"/>
      <c r="S41" s="748"/>
      <c r="T41" s="748"/>
      <c r="U41" s="748"/>
      <c r="V41" s="748"/>
      <c r="W41" s="748"/>
      <c r="X41" s="748"/>
      <c r="Y41" s="748">
        <f t="shared" si="2"/>
        <v>35000</v>
      </c>
    </row>
    <row r="42" spans="1:25" s="138" customFormat="1" ht="15.75" customHeight="1">
      <c r="A42" s="402"/>
      <c r="B42" s="403" t="s">
        <v>417</v>
      </c>
      <c r="C42" s="748"/>
      <c r="D42" s="748">
        <f>Predevelopment!D48</f>
        <v>10000</v>
      </c>
      <c r="E42" s="749"/>
      <c r="F42" s="748">
        <f>($D$42-$E$42)/2</f>
        <v>5000</v>
      </c>
      <c r="G42" s="748"/>
      <c r="H42" s="748"/>
      <c r="I42" s="748"/>
      <c r="J42" s="748"/>
      <c r="K42" s="748"/>
      <c r="L42" s="748"/>
      <c r="M42" s="748"/>
      <c r="N42" s="748">
        <f>($D$42-$E$42)/2</f>
        <v>5000</v>
      </c>
      <c r="O42" s="748"/>
      <c r="P42" s="748"/>
      <c r="Q42" s="748"/>
      <c r="R42" s="748"/>
      <c r="S42" s="748"/>
      <c r="T42" s="748"/>
      <c r="U42" s="748"/>
      <c r="V42" s="748"/>
      <c r="W42" s="748"/>
      <c r="X42" s="748"/>
      <c r="Y42" s="748">
        <f t="shared" si="2"/>
        <v>10000</v>
      </c>
    </row>
    <row r="43" spans="1:25" ht="14.25" customHeight="1">
      <c r="A43" s="404" t="s">
        <v>150</v>
      </c>
      <c r="B43" s="750"/>
      <c r="C43" s="748"/>
      <c r="D43" s="748"/>
      <c r="E43" s="749"/>
      <c r="F43" s="748"/>
      <c r="G43" s="748"/>
      <c r="H43" s="748"/>
      <c r="I43" s="748"/>
      <c r="J43" s="748"/>
      <c r="K43" s="748"/>
      <c r="L43" s="748"/>
      <c r="M43" s="748"/>
      <c r="N43" s="748"/>
      <c r="O43" s="748"/>
      <c r="P43" s="748"/>
      <c r="Q43" s="748"/>
      <c r="R43" s="748"/>
      <c r="S43" s="748"/>
      <c r="T43" s="748"/>
      <c r="U43" s="748"/>
      <c r="V43" s="748"/>
      <c r="W43" s="748"/>
      <c r="X43" s="748"/>
      <c r="Y43" s="748">
        <f t="shared" si="2"/>
        <v>0</v>
      </c>
    </row>
    <row r="44" spans="1:25" ht="15">
      <c r="A44" s="402"/>
      <c r="B44" s="403" t="s">
        <v>145</v>
      </c>
      <c r="C44" s="748"/>
      <c r="D44" s="748">
        <f>Predevelopment!D50</f>
        <v>10000</v>
      </c>
      <c r="E44" s="749">
        <f>6350.77+893.36+20</f>
        <v>7264.13</v>
      </c>
      <c r="F44" s="748">
        <f>($D$44-$E$44)/12</f>
        <v>227.98916666666665</v>
      </c>
      <c r="G44" s="748">
        <f t="shared" ref="G44:Q44" si="8">F44</f>
        <v>227.98916666666665</v>
      </c>
      <c r="H44" s="748">
        <f t="shared" si="8"/>
        <v>227.98916666666665</v>
      </c>
      <c r="I44" s="748">
        <f t="shared" si="8"/>
        <v>227.98916666666665</v>
      </c>
      <c r="J44" s="748">
        <f t="shared" si="8"/>
        <v>227.98916666666665</v>
      </c>
      <c r="K44" s="748">
        <f t="shared" si="8"/>
        <v>227.98916666666665</v>
      </c>
      <c r="L44" s="748">
        <f t="shared" si="8"/>
        <v>227.98916666666665</v>
      </c>
      <c r="M44" s="748">
        <f t="shared" si="8"/>
        <v>227.98916666666665</v>
      </c>
      <c r="N44" s="748">
        <f t="shared" si="8"/>
        <v>227.98916666666665</v>
      </c>
      <c r="O44" s="748">
        <f t="shared" si="8"/>
        <v>227.98916666666665</v>
      </c>
      <c r="P44" s="748">
        <f t="shared" si="8"/>
        <v>227.98916666666665</v>
      </c>
      <c r="Q44" s="748">
        <f t="shared" si="8"/>
        <v>227.98916666666665</v>
      </c>
      <c r="R44" s="748"/>
      <c r="S44" s="748"/>
      <c r="T44" s="748"/>
      <c r="U44" s="748"/>
      <c r="V44" s="748"/>
      <c r="W44" s="748"/>
      <c r="X44" s="748"/>
      <c r="Y44" s="748">
        <f t="shared" si="2"/>
        <v>9999.9999999999964</v>
      </c>
    </row>
    <row r="45" spans="1:25" ht="15">
      <c r="A45" s="402"/>
      <c r="B45" s="405" t="s">
        <v>143</v>
      </c>
      <c r="C45" s="751"/>
      <c r="D45" s="748">
        <f>Predevelopment!D51</f>
        <v>12000</v>
      </c>
      <c r="E45" s="749"/>
      <c r="F45" s="748">
        <f>($D$45-$E$45)/12</f>
        <v>1000</v>
      </c>
      <c r="G45" s="748">
        <f>F45</f>
        <v>1000</v>
      </c>
      <c r="H45" s="748">
        <f>G45</f>
        <v>1000</v>
      </c>
      <c r="I45" s="748">
        <f>H45</f>
        <v>1000</v>
      </c>
      <c r="J45" s="748">
        <f>I45</f>
        <v>1000</v>
      </c>
      <c r="K45" s="748">
        <f t="shared" ref="K45:Q45" si="9">J45</f>
        <v>1000</v>
      </c>
      <c r="L45" s="748">
        <f t="shared" si="9"/>
        <v>1000</v>
      </c>
      <c r="M45" s="748">
        <f t="shared" si="9"/>
        <v>1000</v>
      </c>
      <c r="N45" s="748">
        <f t="shared" si="9"/>
        <v>1000</v>
      </c>
      <c r="O45" s="748">
        <f t="shared" si="9"/>
        <v>1000</v>
      </c>
      <c r="P45" s="748">
        <f t="shared" si="9"/>
        <v>1000</v>
      </c>
      <c r="Q45" s="748">
        <f t="shared" si="9"/>
        <v>1000</v>
      </c>
      <c r="R45" s="748"/>
      <c r="S45" s="748"/>
      <c r="T45" s="748"/>
      <c r="U45" s="748"/>
      <c r="V45" s="748"/>
      <c r="W45" s="748"/>
      <c r="X45" s="748"/>
      <c r="Y45" s="748">
        <f t="shared" si="2"/>
        <v>12000</v>
      </c>
    </row>
    <row r="46" spans="1:25" thickBot="1">
      <c r="A46" s="410" t="s">
        <v>464</v>
      </c>
      <c r="B46" s="753"/>
      <c r="C46" s="754"/>
      <c r="D46" s="754">
        <f>Predevelopment!D52</f>
        <v>96238.815000000002</v>
      </c>
      <c r="E46" s="755">
        <v>0</v>
      </c>
      <c r="F46" s="754">
        <f>($D$46-$E$46)/12</f>
        <v>8019.9012499999999</v>
      </c>
      <c r="G46" s="754">
        <f>F46</f>
        <v>8019.9012499999999</v>
      </c>
      <c r="H46" s="754">
        <f t="shared" ref="H46:Q46" si="10">G46</f>
        <v>8019.9012499999999</v>
      </c>
      <c r="I46" s="754">
        <f t="shared" si="10"/>
        <v>8019.9012499999999</v>
      </c>
      <c r="J46" s="754">
        <f t="shared" si="10"/>
        <v>8019.9012499999999</v>
      </c>
      <c r="K46" s="754">
        <f t="shared" si="10"/>
        <v>8019.9012499999999</v>
      </c>
      <c r="L46" s="754">
        <f t="shared" si="10"/>
        <v>8019.9012499999999</v>
      </c>
      <c r="M46" s="754">
        <f t="shared" si="10"/>
        <v>8019.9012499999999</v>
      </c>
      <c r="N46" s="754">
        <f t="shared" si="10"/>
        <v>8019.9012499999999</v>
      </c>
      <c r="O46" s="754">
        <f t="shared" si="10"/>
        <v>8019.9012499999999</v>
      </c>
      <c r="P46" s="754">
        <f t="shared" si="10"/>
        <v>8019.9012499999999</v>
      </c>
      <c r="Q46" s="754">
        <f t="shared" si="10"/>
        <v>8019.9012499999999</v>
      </c>
      <c r="R46" s="754"/>
      <c r="S46" s="754"/>
      <c r="T46" s="754"/>
      <c r="U46" s="754"/>
      <c r="V46" s="754"/>
      <c r="W46" s="754"/>
      <c r="X46" s="754"/>
      <c r="Y46" s="754">
        <f t="shared" si="2"/>
        <v>96238.814999999988</v>
      </c>
    </row>
    <row r="47" spans="1:25" s="415" customFormat="1" ht="17.25" thickTop="1" thickBot="1">
      <c r="A47" s="411" t="s">
        <v>419</v>
      </c>
      <c r="B47" s="412"/>
      <c r="C47" s="413"/>
      <c r="D47" s="414">
        <f>SUM(D7:D46)</f>
        <v>14824249.954999998</v>
      </c>
      <c r="E47" s="448">
        <f>SUM(E7:E46)</f>
        <v>534298.98</v>
      </c>
      <c r="F47" s="414">
        <f t="shared" ref="F47:Y47" si="11">SUM(F7:F46)</f>
        <v>176248.91808333335</v>
      </c>
      <c r="G47" s="414">
        <f t="shared" si="11"/>
        <v>157250.21808333334</v>
      </c>
      <c r="H47" s="414">
        <f t="shared" si="11"/>
        <v>269587.25141666667</v>
      </c>
      <c r="I47" s="414">
        <f t="shared" si="11"/>
        <v>746962.5514166666</v>
      </c>
      <c r="J47" s="414">
        <f t="shared" si="11"/>
        <v>198133.25141666667</v>
      </c>
      <c r="K47" s="414">
        <f t="shared" si="11"/>
        <v>439166.16141666676</v>
      </c>
      <c r="L47" s="414">
        <f t="shared" si="11"/>
        <v>2613604.2514166669</v>
      </c>
      <c r="M47" s="414">
        <f t="shared" si="11"/>
        <v>464166.16141666676</v>
      </c>
      <c r="N47" s="414">
        <f t="shared" si="11"/>
        <v>188081.37808333334</v>
      </c>
      <c r="O47" s="414">
        <f t="shared" si="11"/>
        <v>186951.21808333331</v>
      </c>
      <c r="P47" s="414">
        <f t="shared" si="11"/>
        <v>4433351.5670833336</v>
      </c>
      <c r="Q47" s="414">
        <f t="shared" si="11"/>
        <v>50914.557083333333</v>
      </c>
      <c r="R47" s="414">
        <f t="shared" si="11"/>
        <v>0</v>
      </c>
      <c r="S47" s="414">
        <f t="shared" si="11"/>
        <v>4382436.6100000003</v>
      </c>
      <c r="T47" s="414">
        <f t="shared" si="11"/>
        <v>0</v>
      </c>
      <c r="U47" s="414">
        <f t="shared" si="11"/>
        <v>0</v>
      </c>
      <c r="V47" s="414">
        <f t="shared" si="11"/>
        <v>0</v>
      </c>
      <c r="W47" s="414">
        <f t="shared" si="11"/>
        <v>0</v>
      </c>
      <c r="X47" s="414">
        <f t="shared" si="11"/>
        <v>0</v>
      </c>
      <c r="Y47" s="414">
        <f t="shared" si="11"/>
        <v>14841153.074999997</v>
      </c>
    </row>
    <row r="48" spans="1:25" thickTop="1">
      <c r="A48" s="167"/>
      <c r="B48" s="168"/>
      <c r="C48" s="740"/>
      <c r="D48" s="740"/>
      <c r="E48" s="700">
        <f>E47</f>
        <v>534298.98</v>
      </c>
      <c r="F48" s="740">
        <f>F47+E48</f>
        <v>710547.89808333339</v>
      </c>
      <c r="G48" s="740">
        <f>F48+G47</f>
        <v>867798.11616666673</v>
      </c>
      <c r="H48" s="740">
        <f t="shared" ref="H48:W48" si="12">G48+H47</f>
        <v>1137385.3675833335</v>
      </c>
      <c r="I48" s="740">
        <f t="shared" si="12"/>
        <v>1884347.9190000002</v>
      </c>
      <c r="J48" s="740">
        <f t="shared" si="12"/>
        <v>2082481.1704166669</v>
      </c>
      <c r="K48" s="740">
        <f t="shared" si="12"/>
        <v>2521647.3318333337</v>
      </c>
      <c r="L48" s="740">
        <f t="shared" si="12"/>
        <v>5135251.5832500011</v>
      </c>
      <c r="M48" s="740">
        <f t="shared" si="12"/>
        <v>5599417.7446666677</v>
      </c>
      <c r="N48" s="740">
        <f t="shared" si="12"/>
        <v>5787499.122750001</v>
      </c>
      <c r="O48" s="740">
        <f t="shared" si="12"/>
        <v>5974450.3408333343</v>
      </c>
      <c r="P48" s="740">
        <f t="shared" si="12"/>
        <v>10407801.907916669</v>
      </c>
      <c r="Q48" s="740">
        <f t="shared" si="12"/>
        <v>10458716.465000002</v>
      </c>
      <c r="R48" s="740">
        <f t="shared" si="12"/>
        <v>10458716.465000002</v>
      </c>
      <c r="S48" s="740">
        <f t="shared" si="12"/>
        <v>14841153.075000003</v>
      </c>
      <c r="T48" s="740">
        <f t="shared" si="12"/>
        <v>14841153.075000003</v>
      </c>
      <c r="U48" s="740">
        <f t="shared" si="12"/>
        <v>14841153.075000003</v>
      </c>
      <c r="V48" s="740">
        <f t="shared" si="12"/>
        <v>14841153.075000003</v>
      </c>
      <c r="W48" s="740">
        <f t="shared" si="12"/>
        <v>14841153.075000003</v>
      </c>
      <c r="X48" s="740"/>
      <c r="Y48" s="740"/>
    </row>
    <row r="49" spans="1:25" ht="15">
      <c r="A49" s="167"/>
      <c r="B49" s="168"/>
      <c r="C49" s="740"/>
      <c r="D49" s="740"/>
      <c r="E49" s="70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  <c r="X49" s="740"/>
      <c r="Y49" s="740"/>
    </row>
    <row r="50" spans="1:25" ht="18.75">
      <c r="A50" s="191" t="s">
        <v>465</v>
      </c>
      <c r="B50" s="165"/>
      <c r="C50" s="165"/>
      <c r="D50" s="165"/>
      <c r="E50" s="165"/>
      <c r="F50" s="165"/>
      <c r="G50" s="165"/>
      <c r="H50" s="165"/>
      <c r="I50" s="165"/>
      <c r="J50" s="165"/>
      <c r="K50" s="165"/>
      <c r="L50" s="165"/>
      <c r="M50" s="165"/>
      <c r="N50" s="165"/>
      <c r="O50" s="165"/>
      <c r="P50" s="165"/>
      <c r="Q50" s="165"/>
      <c r="R50" s="165"/>
      <c r="S50" s="165"/>
      <c r="T50" s="165"/>
      <c r="U50" s="165"/>
      <c r="V50" s="165"/>
      <c r="W50" s="165"/>
      <c r="X50" s="165"/>
      <c r="Y50" s="165"/>
    </row>
    <row r="51" spans="1:25" s="417" customFormat="1" ht="24" customHeight="1">
      <c r="A51" s="192"/>
      <c r="B51" s="173" t="s">
        <v>30</v>
      </c>
      <c r="C51" s="162"/>
      <c r="D51" s="162">
        <f>Predevelopment!D57</f>
        <v>500000</v>
      </c>
      <c r="E51" s="61">
        <f>E47</f>
        <v>534298.98</v>
      </c>
      <c r="F51" s="162">
        <f>D51-E51</f>
        <v>-34298.979999999981</v>
      </c>
      <c r="G51" s="162">
        <v>0</v>
      </c>
      <c r="H51" s="162">
        <v>0</v>
      </c>
      <c r="I51" s="162">
        <v>0</v>
      </c>
      <c r="J51" s="162">
        <v>0</v>
      </c>
      <c r="K51" s="162">
        <v>0</v>
      </c>
      <c r="L51" s="162">
        <v>0</v>
      </c>
      <c r="M51" s="162">
        <v>0</v>
      </c>
      <c r="N51" s="162">
        <v>0</v>
      </c>
      <c r="O51" s="162">
        <v>0</v>
      </c>
      <c r="P51" s="162">
        <v>0</v>
      </c>
      <c r="Q51" s="162">
        <v>0</v>
      </c>
      <c r="R51" s="162">
        <v>0</v>
      </c>
      <c r="S51" s="162">
        <v>0</v>
      </c>
      <c r="T51" s="162">
        <v>0</v>
      </c>
      <c r="U51" s="162">
        <v>0</v>
      </c>
      <c r="V51" s="162">
        <v>0</v>
      </c>
      <c r="W51" s="162">
        <v>0</v>
      </c>
      <c r="X51" s="162"/>
      <c r="Y51" s="416">
        <f>SUM(E51:W51)</f>
        <v>500000</v>
      </c>
    </row>
    <row r="52" spans="1:25" s="417" customFormat="1" ht="24" customHeight="1">
      <c r="A52" s="192"/>
      <c r="B52" s="173" t="s">
        <v>466</v>
      </c>
      <c r="C52" s="162"/>
      <c r="D52" s="162">
        <v>5104317.1100000003</v>
      </c>
      <c r="E52" s="61"/>
      <c r="F52" s="162">
        <f>F47-F51</f>
        <v>210547.89808333333</v>
      </c>
      <c r="G52" s="162">
        <f>G47-G51</f>
        <v>157250.21808333334</v>
      </c>
      <c r="H52" s="162">
        <f t="shared" ref="H52:O52" si="13">H47-H51</f>
        <v>269587.25141666667</v>
      </c>
      <c r="I52" s="162">
        <f t="shared" si="13"/>
        <v>746962.5514166666</v>
      </c>
      <c r="J52" s="162">
        <f t="shared" si="13"/>
        <v>198133.25141666667</v>
      </c>
      <c r="K52" s="162">
        <f t="shared" si="13"/>
        <v>439166.16141666676</v>
      </c>
      <c r="L52" s="162">
        <f>L47-L53</f>
        <v>268487.2514166669</v>
      </c>
      <c r="M52" s="162">
        <f t="shared" si="13"/>
        <v>464166.16141666676</v>
      </c>
      <c r="N52" s="162">
        <f t="shared" si="13"/>
        <v>188081.37808333334</v>
      </c>
      <c r="O52" s="162">
        <f t="shared" si="13"/>
        <v>186951.21808333331</v>
      </c>
      <c r="P52" s="162">
        <f>P47-P53</f>
        <v>329397.16708333371</v>
      </c>
      <c r="Q52" s="162">
        <f>Q47-Q51-Q53-Q54-Q55</f>
        <v>50914.557083333333</v>
      </c>
      <c r="R52" s="162">
        <f t="shared" ref="R52:W52" si="14">R47-R51-R53</f>
        <v>0</v>
      </c>
      <c r="S52" s="162">
        <f t="shared" si="14"/>
        <v>278482.61000000034</v>
      </c>
      <c r="T52" s="162">
        <f t="shared" si="14"/>
        <v>0</v>
      </c>
      <c r="U52" s="162">
        <f t="shared" si="14"/>
        <v>0</v>
      </c>
      <c r="V52" s="162">
        <f t="shared" si="14"/>
        <v>0</v>
      </c>
      <c r="W52" s="162">
        <f t="shared" si="14"/>
        <v>0</v>
      </c>
      <c r="X52" s="162"/>
      <c r="Y52" s="416">
        <f>SUM(E52:W52)</f>
        <v>3788127.6750000007</v>
      </c>
    </row>
    <row r="53" spans="1:25" s="417" customFormat="1" ht="24" customHeight="1">
      <c r="A53" s="192"/>
      <c r="B53" s="173" t="s">
        <v>467</v>
      </c>
      <c r="C53" s="162"/>
      <c r="D53" s="162">
        <v>10553025.4</v>
      </c>
      <c r="E53" s="61"/>
      <c r="F53" s="162"/>
      <c r="G53" s="162"/>
      <c r="H53" s="162"/>
      <c r="I53" s="162"/>
      <c r="J53" s="162"/>
      <c r="K53" s="162"/>
      <c r="L53" s="162">
        <f>L21</f>
        <v>2345117</v>
      </c>
      <c r="M53" s="162"/>
      <c r="N53" s="162"/>
      <c r="O53" s="162"/>
      <c r="P53" s="162">
        <f>P22</f>
        <v>4103954.4</v>
      </c>
      <c r="Q53" s="162">
        <f>Q21</f>
        <v>0</v>
      </c>
      <c r="R53" s="162"/>
      <c r="S53" s="162">
        <f>S23</f>
        <v>4103954</v>
      </c>
      <c r="T53" s="162"/>
      <c r="U53" s="162">
        <f>U22</f>
        <v>0</v>
      </c>
      <c r="V53" s="162"/>
      <c r="W53" s="162"/>
      <c r="X53" s="162"/>
      <c r="Y53" s="416">
        <f>SUM(E53:W53)</f>
        <v>10553025.4</v>
      </c>
    </row>
    <row r="54" spans="1:25">
      <c r="A54" s="192"/>
      <c r="B54" s="174" t="s">
        <v>9</v>
      </c>
      <c r="D54" s="162">
        <f>Data!O14</f>
        <v>0</v>
      </c>
      <c r="Q54" s="162">
        <f>D54</f>
        <v>0</v>
      </c>
    </row>
    <row r="55" spans="1:25">
      <c r="A55" s="192"/>
      <c r="B55" s="175" t="s">
        <v>421</v>
      </c>
      <c r="D55" s="162">
        <f>D54</f>
        <v>0</v>
      </c>
      <c r="Q55" s="162">
        <f>D55</f>
        <v>0</v>
      </c>
    </row>
    <row r="56" spans="1:25" ht="16.5" thickBot="1">
      <c r="A56" s="192"/>
      <c r="B56" s="173"/>
    </row>
    <row r="57" spans="1:25" s="417" customFormat="1" ht="17.25" thickTop="1" thickBot="1">
      <c r="A57" s="418" t="s">
        <v>422</v>
      </c>
      <c r="B57" s="419"/>
      <c r="C57" s="419"/>
      <c r="D57" s="420">
        <f t="shared" ref="D57:Y57" si="15">SUM(D51:D56)</f>
        <v>16157342.510000002</v>
      </c>
      <c r="E57" s="449">
        <f t="shared" si="15"/>
        <v>534298.98</v>
      </c>
      <c r="F57" s="420">
        <f t="shared" si="15"/>
        <v>176248.91808333335</v>
      </c>
      <c r="G57" s="420">
        <f t="shared" si="15"/>
        <v>157250.21808333334</v>
      </c>
      <c r="H57" s="420">
        <f t="shared" si="15"/>
        <v>269587.25141666667</v>
      </c>
      <c r="I57" s="420">
        <f t="shared" si="15"/>
        <v>746962.5514166666</v>
      </c>
      <c r="J57" s="420">
        <f t="shared" si="15"/>
        <v>198133.25141666667</v>
      </c>
      <c r="K57" s="420">
        <f t="shared" si="15"/>
        <v>439166.16141666676</v>
      </c>
      <c r="L57" s="420">
        <f t="shared" si="15"/>
        <v>2613604.2514166669</v>
      </c>
      <c r="M57" s="420">
        <f t="shared" si="15"/>
        <v>464166.16141666676</v>
      </c>
      <c r="N57" s="420">
        <f t="shared" si="15"/>
        <v>188081.37808333334</v>
      </c>
      <c r="O57" s="420">
        <f t="shared" si="15"/>
        <v>186951.21808333331</v>
      </c>
      <c r="P57" s="420">
        <f t="shared" si="15"/>
        <v>4433351.5670833336</v>
      </c>
      <c r="Q57" s="420">
        <f t="shared" si="15"/>
        <v>50914.557083333333</v>
      </c>
      <c r="R57" s="420">
        <f t="shared" si="15"/>
        <v>0</v>
      </c>
      <c r="S57" s="420">
        <f t="shared" si="15"/>
        <v>4382436.6100000003</v>
      </c>
      <c r="T57" s="420">
        <f t="shared" si="15"/>
        <v>0</v>
      </c>
      <c r="U57" s="420">
        <f t="shared" si="15"/>
        <v>0</v>
      </c>
      <c r="V57" s="420">
        <f t="shared" si="15"/>
        <v>0</v>
      </c>
      <c r="W57" s="420">
        <f t="shared" si="15"/>
        <v>0</v>
      </c>
      <c r="X57" s="420">
        <f t="shared" si="15"/>
        <v>0</v>
      </c>
      <c r="Y57" s="420">
        <f t="shared" si="15"/>
        <v>14841153.075000001</v>
      </c>
    </row>
    <row r="58" spans="1:25" s="31" customFormat="1" thickTop="1">
      <c r="A58" s="167"/>
      <c r="B58" s="424"/>
      <c r="C58" s="424"/>
      <c r="D58" s="425"/>
      <c r="E58" s="450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</row>
  </sheetData>
  <mergeCells count="1">
    <mergeCell ref="A5:C6"/>
  </mergeCells>
  <pageMargins left="0.7" right="0.7" top="0.75" bottom="0.75" header="0.3" footer="0.3"/>
  <pageSetup scale="61" fitToWidth="2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107"/>
  <sheetViews>
    <sheetView workbookViewId="0"/>
  </sheetViews>
  <sheetFormatPr defaultColWidth="8" defaultRowHeight="15.75"/>
  <cols>
    <col min="1" max="1" width="4.25" style="4" customWidth="1"/>
    <col min="2" max="2" width="2.625" style="4" customWidth="1"/>
    <col min="3" max="3" width="34.375" style="162" customWidth="1"/>
    <col min="4" max="4" width="12.5" style="162" customWidth="1"/>
    <col min="5" max="5" width="11.125" style="162" customWidth="1"/>
    <col min="6" max="6" width="10.125" style="162" customWidth="1"/>
    <col min="7" max="7" width="11.25" style="162" customWidth="1"/>
    <col min="8" max="10" width="10.125" style="162" customWidth="1"/>
    <col min="11" max="11" width="10.625" style="162" customWidth="1"/>
    <col min="12" max="22" width="10.125" style="162" customWidth="1"/>
    <col min="23" max="23" width="11.125" style="162" customWidth="1"/>
    <col min="24" max="24" width="2" style="162" customWidth="1"/>
    <col min="25" max="25" width="13.375" style="162" customWidth="1"/>
    <col min="26" max="16384" width="8" style="70"/>
  </cols>
  <sheetData>
    <row r="1" spans="1:25" ht="21">
      <c r="A1" s="181" t="s">
        <v>373</v>
      </c>
      <c r="B1" s="181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  <c r="X1" s="182"/>
      <c r="Y1" s="182"/>
    </row>
    <row r="2" spans="1:25" ht="21">
      <c r="A2" s="181" t="s">
        <v>468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</row>
    <row r="3" spans="1:25">
      <c r="F3" s="429"/>
      <c r="G3" s="429"/>
      <c r="S3" s="429"/>
      <c r="T3" s="429"/>
    </row>
    <row r="4" spans="1:25" ht="12.75" customHeight="1">
      <c r="A4" s="163"/>
      <c r="B4" s="163"/>
    </row>
    <row r="5" spans="1:25" s="138" customFormat="1" ht="30">
      <c r="A5" s="1761" t="s">
        <v>469</v>
      </c>
      <c r="B5" s="1762"/>
      <c r="C5" s="1762"/>
      <c r="D5" s="350"/>
      <c r="E5" s="350" t="s">
        <v>470</v>
      </c>
      <c r="F5" s="350">
        <v>1</v>
      </c>
      <c r="G5" s="350">
        <f>F5+1</f>
        <v>2</v>
      </c>
      <c r="H5" s="350">
        <f t="shared" ref="H5:V5" si="0">G5+1</f>
        <v>3</v>
      </c>
      <c r="I5" s="350">
        <f t="shared" si="0"/>
        <v>4</v>
      </c>
      <c r="J5" s="350">
        <f t="shared" si="0"/>
        <v>5</v>
      </c>
      <c r="K5" s="350">
        <f t="shared" si="0"/>
        <v>6</v>
      </c>
      <c r="L5" s="350">
        <f t="shared" si="0"/>
        <v>7</v>
      </c>
      <c r="M5" s="350">
        <f t="shared" si="0"/>
        <v>8</v>
      </c>
      <c r="N5" s="350">
        <f t="shared" si="0"/>
        <v>9</v>
      </c>
      <c r="O5" s="350">
        <f t="shared" si="0"/>
        <v>10</v>
      </c>
      <c r="P5" s="350">
        <f t="shared" si="0"/>
        <v>11</v>
      </c>
      <c r="Q5" s="350">
        <f t="shared" si="0"/>
        <v>12</v>
      </c>
      <c r="R5" s="350">
        <f t="shared" si="0"/>
        <v>13</v>
      </c>
      <c r="S5" s="350">
        <f t="shared" si="0"/>
        <v>14</v>
      </c>
      <c r="T5" s="350">
        <f t="shared" si="0"/>
        <v>15</v>
      </c>
      <c r="U5" s="350">
        <f t="shared" si="0"/>
        <v>16</v>
      </c>
      <c r="V5" s="350">
        <f t="shared" si="0"/>
        <v>17</v>
      </c>
      <c r="W5" s="439" t="s">
        <v>471</v>
      </c>
      <c r="X5" s="350"/>
      <c r="Y5" s="350" t="s">
        <v>59</v>
      </c>
    </row>
    <row r="6" spans="1:25" s="138" customFormat="1" ht="15">
      <c r="A6" s="1763"/>
      <c r="B6" s="1764"/>
      <c r="C6" s="1764"/>
      <c r="D6" s="399" t="s">
        <v>459</v>
      </c>
      <c r="E6" s="399" t="s">
        <v>472</v>
      </c>
      <c r="F6" s="400">
        <v>44896</v>
      </c>
      <c r="G6" s="400">
        <f t="shared" ref="G6:W6" si="1">F6+31</f>
        <v>44927</v>
      </c>
      <c r="H6" s="400">
        <f t="shared" si="1"/>
        <v>44958</v>
      </c>
      <c r="I6" s="400">
        <f t="shared" si="1"/>
        <v>44989</v>
      </c>
      <c r="J6" s="400">
        <f t="shared" si="1"/>
        <v>45020</v>
      </c>
      <c r="K6" s="400">
        <f t="shared" si="1"/>
        <v>45051</v>
      </c>
      <c r="L6" s="400">
        <f t="shared" si="1"/>
        <v>45082</v>
      </c>
      <c r="M6" s="400">
        <f t="shared" si="1"/>
        <v>45113</v>
      </c>
      <c r="N6" s="400">
        <f t="shared" si="1"/>
        <v>45144</v>
      </c>
      <c r="O6" s="400">
        <f t="shared" si="1"/>
        <v>45175</v>
      </c>
      <c r="P6" s="400">
        <f t="shared" si="1"/>
        <v>45206</v>
      </c>
      <c r="Q6" s="400">
        <f t="shared" si="1"/>
        <v>45237</v>
      </c>
      <c r="R6" s="400">
        <f t="shared" si="1"/>
        <v>45268</v>
      </c>
      <c r="S6" s="400">
        <f t="shared" si="1"/>
        <v>45299</v>
      </c>
      <c r="T6" s="400">
        <f t="shared" si="1"/>
        <v>45330</v>
      </c>
      <c r="U6" s="400">
        <f t="shared" si="1"/>
        <v>45361</v>
      </c>
      <c r="V6" s="400">
        <f t="shared" si="1"/>
        <v>45392</v>
      </c>
      <c r="W6" s="400">
        <f t="shared" si="1"/>
        <v>45423</v>
      </c>
      <c r="X6" s="400"/>
      <c r="Y6" s="400" t="s">
        <v>461</v>
      </c>
    </row>
    <row r="7" spans="1:25" ht="15">
      <c r="A7" s="401" t="s">
        <v>87</v>
      </c>
      <c r="B7" s="744"/>
      <c r="C7" s="745"/>
      <c r="D7" s="746"/>
      <c r="E7" s="746"/>
      <c r="F7" s="746"/>
      <c r="G7" s="746"/>
      <c r="H7" s="746"/>
      <c r="I7" s="746"/>
      <c r="J7" s="746"/>
      <c r="K7" s="746"/>
      <c r="L7" s="746"/>
      <c r="M7" s="746"/>
      <c r="N7" s="746"/>
      <c r="O7" s="746"/>
      <c r="P7" s="746"/>
      <c r="Q7" s="746"/>
      <c r="R7" s="746"/>
      <c r="S7" s="746"/>
      <c r="T7" s="746"/>
      <c r="U7" s="746"/>
      <c r="V7" s="746"/>
      <c r="W7" s="746"/>
      <c r="X7" s="746"/>
      <c r="Y7" s="746"/>
    </row>
    <row r="8" spans="1:25" ht="15">
      <c r="A8" s="402"/>
      <c r="B8" s="403" t="s">
        <v>383</v>
      </c>
      <c r="C8" s="748"/>
      <c r="D8" s="748">
        <f>'Development Budget'!G24</f>
        <v>0</v>
      </c>
      <c r="E8" s="748">
        <f>D8</f>
        <v>0</v>
      </c>
      <c r="F8" s="748"/>
      <c r="G8" s="748"/>
      <c r="H8" s="748"/>
      <c r="I8" s="748"/>
      <c r="J8" s="748"/>
      <c r="K8" s="748"/>
      <c r="L8" s="748"/>
      <c r="M8" s="748"/>
      <c r="N8" s="748"/>
      <c r="O8" s="748"/>
      <c r="P8" s="748"/>
      <c r="Q8" s="748"/>
      <c r="R8" s="748"/>
      <c r="S8" s="748"/>
      <c r="T8" s="748"/>
      <c r="U8" s="748"/>
      <c r="V8" s="748"/>
      <c r="W8" s="748"/>
      <c r="X8" s="748"/>
      <c r="Y8" s="748">
        <f>SUM(E8:W8)</f>
        <v>0</v>
      </c>
    </row>
    <row r="9" spans="1:25" ht="15">
      <c r="A9" s="404" t="s">
        <v>384</v>
      </c>
      <c r="B9" s="750"/>
      <c r="C9" s="748"/>
      <c r="D9" s="748"/>
      <c r="E9" s="748"/>
      <c r="F9" s="748"/>
      <c r="G9" s="748"/>
      <c r="H9" s="748"/>
      <c r="I9" s="748"/>
      <c r="J9" s="748"/>
      <c r="K9" s="748"/>
      <c r="L9" s="748"/>
      <c r="M9" s="748"/>
      <c r="N9" s="748"/>
      <c r="O9" s="748"/>
      <c r="P9" s="748"/>
      <c r="Q9" s="748"/>
      <c r="R9" s="748"/>
      <c r="S9" s="748"/>
      <c r="T9" s="748"/>
      <c r="U9" s="748"/>
      <c r="V9" s="748"/>
      <c r="W9" s="748"/>
      <c r="X9" s="748"/>
      <c r="Y9" s="748"/>
    </row>
    <row r="10" spans="1:25" ht="15">
      <c r="A10" s="402"/>
      <c r="B10" s="405" t="s">
        <v>385</v>
      </c>
      <c r="C10" s="751"/>
      <c r="D10" s="748">
        <f>'Development Budget'!G40</f>
        <v>971957.22375</v>
      </c>
      <c r="E10" s="748">
        <f>'PreDev Flow of Funds'!Y10+'PreDev Flow of Funds'!Y12</f>
        <v>1395966</v>
      </c>
      <c r="F10" s="748">
        <f>(D10-E10)/18</f>
        <v>-23556.043125</v>
      </c>
      <c r="G10" s="748">
        <f>$F$10</f>
        <v>-23556.043125</v>
      </c>
      <c r="H10" s="748">
        <f t="shared" ref="H10:W10" si="2">$F$10</f>
        <v>-23556.043125</v>
      </c>
      <c r="I10" s="748">
        <f t="shared" si="2"/>
        <v>-23556.043125</v>
      </c>
      <c r="J10" s="748">
        <f t="shared" si="2"/>
        <v>-23556.043125</v>
      </c>
      <c r="K10" s="748">
        <f t="shared" si="2"/>
        <v>-23556.043125</v>
      </c>
      <c r="L10" s="748">
        <f t="shared" si="2"/>
        <v>-23556.043125</v>
      </c>
      <c r="M10" s="748">
        <f t="shared" si="2"/>
        <v>-23556.043125</v>
      </c>
      <c r="N10" s="748">
        <f t="shared" si="2"/>
        <v>-23556.043125</v>
      </c>
      <c r="O10" s="748">
        <f t="shared" si="2"/>
        <v>-23556.043125</v>
      </c>
      <c r="P10" s="748">
        <f t="shared" si="2"/>
        <v>-23556.043125</v>
      </c>
      <c r="Q10" s="748">
        <f t="shared" si="2"/>
        <v>-23556.043125</v>
      </c>
      <c r="R10" s="748">
        <f t="shared" si="2"/>
        <v>-23556.043125</v>
      </c>
      <c r="S10" s="748">
        <f t="shared" si="2"/>
        <v>-23556.043125</v>
      </c>
      <c r="T10" s="748">
        <f t="shared" si="2"/>
        <v>-23556.043125</v>
      </c>
      <c r="U10" s="748">
        <f t="shared" si="2"/>
        <v>-23556.043125</v>
      </c>
      <c r="V10" s="748">
        <f t="shared" si="2"/>
        <v>-23556.043125</v>
      </c>
      <c r="W10" s="748">
        <f t="shared" si="2"/>
        <v>-23556.043125</v>
      </c>
      <c r="X10" s="748"/>
      <c r="Y10" s="748">
        <f>SUM(E10:W10)</f>
        <v>971957.22374999896</v>
      </c>
    </row>
    <row r="11" spans="1:25" ht="15">
      <c r="A11" s="402"/>
      <c r="B11" s="403" t="s">
        <v>387</v>
      </c>
      <c r="C11" s="748"/>
      <c r="D11" s="748">
        <f>'Development Budget'!G41</f>
        <v>971957.22375</v>
      </c>
      <c r="E11" s="748">
        <f>'PreDev Flow of Funds'!Y11</f>
        <v>234512</v>
      </c>
      <c r="F11" s="748">
        <v>0</v>
      </c>
      <c r="G11" s="748">
        <v>0</v>
      </c>
      <c r="H11" s="748">
        <v>0</v>
      </c>
      <c r="I11" s="748">
        <v>0</v>
      </c>
      <c r="J11" s="748">
        <v>0</v>
      </c>
      <c r="K11" s="748">
        <v>0</v>
      </c>
      <c r="L11" s="748">
        <v>0</v>
      </c>
      <c r="M11" s="748">
        <v>0</v>
      </c>
      <c r="N11" s="748">
        <v>0</v>
      </c>
      <c r="O11" s="748">
        <v>0</v>
      </c>
      <c r="P11" s="748">
        <v>0</v>
      </c>
      <c r="Q11" s="748">
        <v>0</v>
      </c>
      <c r="R11" s="748">
        <v>0</v>
      </c>
      <c r="S11" s="748">
        <v>0</v>
      </c>
      <c r="T11" s="748">
        <v>0</v>
      </c>
      <c r="U11" s="748">
        <v>0</v>
      </c>
      <c r="V11" s="748">
        <v>0</v>
      </c>
      <c r="W11" s="748">
        <v>0</v>
      </c>
      <c r="X11" s="748"/>
      <c r="Y11" s="748">
        <f t="shared" ref="Y11:Y74" si="3">SUM(E11:W11)</f>
        <v>234512</v>
      </c>
    </row>
    <row r="12" spans="1:25" ht="15">
      <c r="A12" s="402"/>
      <c r="B12" s="403" t="s">
        <v>391</v>
      </c>
      <c r="C12" s="748"/>
      <c r="D12" s="748">
        <f>'Development Budget'!G42</f>
        <v>0</v>
      </c>
      <c r="E12" s="748">
        <f>'PreDev Flow of Funds'!Y13</f>
        <v>-70000</v>
      </c>
      <c r="F12" s="748">
        <f>(D12-E12)/18</f>
        <v>3888.8888888888887</v>
      </c>
      <c r="G12" s="748">
        <f>$F$12</f>
        <v>3888.8888888888887</v>
      </c>
      <c r="H12" s="748">
        <f t="shared" ref="H12:W12" si="4">$F$12</f>
        <v>3888.8888888888887</v>
      </c>
      <c r="I12" s="748">
        <f t="shared" si="4"/>
        <v>3888.8888888888887</v>
      </c>
      <c r="J12" s="748">
        <f t="shared" si="4"/>
        <v>3888.8888888888887</v>
      </c>
      <c r="K12" s="748">
        <f t="shared" si="4"/>
        <v>3888.8888888888887</v>
      </c>
      <c r="L12" s="748">
        <f t="shared" si="4"/>
        <v>3888.8888888888887</v>
      </c>
      <c r="M12" s="748">
        <f t="shared" si="4"/>
        <v>3888.8888888888887</v>
      </c>
      <c r="N12" s="748">
        <f t="shared" si="4"/>
        <v>3888.8888888888887</v>
      </c>
      <c r="O12" s="748">
        <f t="shared" si="4"/>
        <v>3888.8888888888887</v>
      </c>
      <c r="P12" s="748">
        <f t="shared" si="4"/>
        <v>3888.8888888888887</v>
      </c>
      <c r="Q12" s="748">
        <f t="shared" si="4"/>
        <v>3888.8888888888887</v>
      </c>
      <c r="R12" s="748">
        <f t="shared" si="4"/>
        <v>3888.8888888888887</v>
      </c>
      <c r="S12" s="748">
        <f t="shared" si="4"/>
        <v>3888.8888888888887</v>
      </c>
      <c r="T12" s="748">
        <f t="shared" si="4"/>
        <v>3888.8888888888887</v>
      </c>
      <c r="U12" s="748">
        <f t="shared" si="4"/>
        <v>3888.8888888888887</v>
      </c>
      <c r="V12" s="748">
        <f t="shared" si="4"/>
        <v>3888.8888888888887</v>
      </c>
      <c r="W12" s="748">
        <f t="shared" si="4"/>
        <v>3888.8888888888887</v>
      </c>
      <c r="X12" s="748"/>
      <c r="Y12" s="748">
        <f t="shared" si="3"/>
        <v>2.0008883439004421E-11</v>
      </c>
    </row>
    <row r="13" spans="1:25" ht="15">
      <c r="A13" s="402"/>
      <c r="B13" s="406" t="s">
        <v>393</v>
      </c>
      <c r="C13" s="748"/>
      <c r="D13" s="748">
        <f>'Development Budget'!G44</f>
        <v>81146435.312499985</v>
      </c>
      <c r="E13" s="748">
        <f>'PreDev Flow of Funds'!Y14</f>
        <v>69798.3</v>
      </c>
      <c r="F13" s="748">
        <f>(D13-E13)/18</f>
        <v>4504257.6118055545</v>
      </c>
      <c r="G13" s="748">
        <f>$F$13</f>
        <v>4504257.6118055545</v>
      </c>
      <c r="H13" s="748">
        <f t="shared" ref="H13:W13" si="5">$F$13</f>
        <v>4504257.6118055545</v>
      </c>
      <c r="I13" s="748">
        <f t="shared" si="5"/>
        <v>4504257.6118055545</v>
      </c>
      <c r="J13" s="748">
        <f t="shared" si="5"/>
        <v>4504257.6118055545</v>
      </c>
      <c r="K13" s="748">
        <f t="shared" si="5"/>
        <v>4504257.6118055545</v>
      </c>
      <c r="L13" s="748">
        <f t="shared" si="5"/>
        <v>4504257.6118055545</v>
      </c>
      <c r="M13" s="748">
        <f t="shared" si="5"/>
        <v>4504257.6118055545</v>
      </c>
      <c r="N13" s="748">
        <f t="shared" si="5"/>
        <v>4504257.6118055545</v>
      </c>
      <c r="O13" s="748">
        <f t="shared" si="5"/>
        <v>4504257.6118055545</v>
      </c>
      <c r="P13" s="748">
        <f t="shared" si="5"/>
        <v>4504257.6118055545</v>
      </c>
      <c r="Q13" s="748">
        <f t="shared" si="5"/>
        <v>4504257.6118055545</v>
      </c>
      <c r="R13" s="748">
        <f t="shared" si="5"/>
        <v>4504257.6118055545</v>
      </c>
      <c r="S13" s="748">
        <f t="shared" si="5"/>
        <v>4504257.6118055545</v>
      </c>
      <c r="T13" s="748">
        <f t="shared" si="5"/>
        <v>4504257.6118055545</v>
      </c>
      <c r="U13" s="748">
        <f t="shared" si="5"/>
        <v>4504257.6118055545</v>
      </c>
      <c r="V13" s="748">
        <f t="shared" si="5"/>
        <v>4504257.6118055545</v>
      </c>
      <c r="W13" s="748">
        <f t="shared" si="5"/>
        <v>4504257.6118055545</v>
      </c>
      <c r="X13" s="748"/>
      <c r="Y13" s="748">
        <f t="shared" si="3"/>
        <v>81146435.312500015</v>
      </c>
    </row>
    <row r="14" spans="1:25" ht="15">
      <c r="A14" s="402"/>
      <c r="B14" s="407" t="s">
        <v>395</v>
      </c>
      <c r="C14" s="748"/>
      <c r="D14" s="748">
        <f>'Development Budget'!G43</f>
        <v>0</v>
      </c>
      <c r="E14" s="748">
        <f>'PreDev Flow of Funds'!Y15+'PreDev Flow of Funds'!Y18</f>
        <v>44999.999999999993</v>
      </c>
      <c r="F14" s="748">
        <f>(D14-E14)/18</f>
        <v>-2499.9999999999995</v>
      </c>
      <c r="G14" s="748">
        <f>$F$14</f>
        <v>-2499.9999999999995</v>
      </c>
      <c r="H14" s="748">
        <f t="shared" ref="H14:W14" si="6">$F$14</f>
        <v>-2499.9999999999995</v>
      </c>
      <c r="I14" s="748">
        <f t="shared" si="6"/>
        <v>-2499.9999999999995</v>
      </c>
      <c r="J14" s="748">
        <f t="shared" si="6"/>
        <v>-2499.9999999999995</v>
      </c>
      <c r="K14" s="748">
        <f t="shared" si="6"/>
        <v>-2499.9999999999995</v>
      </c>
      <c r="L14" s="748">
        <f t="shared" si="6"/>
        <v>-2499.9999999999995</v>
      </c>
      <c r="M14" s="748">
        <f t="shared" si="6"/>
        <v>-2499.9999999999995</v>
      </c>
      <c r="N14" s="748">
        <f t="shared" si="6"/>
        <v>-2499.9999999999995</v>
      </c>
      <c r="O14" s="748">
        <f t="shared" si="6"/>
        <v>-2499.9999999999995</v>
      </c>
      <c r="P14" s="748">
        <f t="shared" si="6"/>
        <v>-2499.9999999999995</v>
      </c>
      <c r="Q14" s="748">
        <f t="shared" si="6"/>
        <v>-2499.9999999999995</v>
      </c>
      <c r="R14" s="748">
        <f t="shared" si="6"/>
        <v>-2499.9999999999995</v>
      </c>
      <c r="S14" s="748">
        <f t="shared" si="6"/>
        <v>-2499.9999999999995</v>
      </c>
      <c r="T14" s="748">
        <f t="shared" si="6"/>
        <v>-2499.9999999999995</v>
      </c>
      <c r="U14" s="748">
        <f t="shared" si="6"/>
        <v>-2499.9999999999995</v>
      </c>
      <c r="V14" s="748">
        <f t="shared" si="6"/>
        <v>-2499.9999999999995</v>
      </c>
      <c r="W14" s="748">
        <f t="shared" si="6"/>
        <v>-2499.9999999999995</v>
      </c>
      <c r="X14" s="748"/>
      <c r="Y14" s="748">
        <f t="shared" si="3"/>
        <v>-6.3664629124104977E-12</v>
      </c>
    </row>
    <row r="15" spans="1:25" ht="15">
      <c r="A15" s="404" t="s">
        <v>368</v>
      </c>
      <c r="B15" s="408"/>
      <c r="C15" s="748"/>
      <c r="D15" s="748">
        <f>'Development Budget'!G46</f>
        <v>81146435.312499985</v>
      </c>
      <c r="E15" s="748">
        <f>'PreDev Flow of Funds'!Y16+'PreDev Flow of Funds'!Y17+'PreDev Flow of Funds'!Y19</f>
        <v>72500</v>
      </c>
      <c r="F15" s="748">
        <f>(D15-E15)/18</f>
        <v>4504107.5173611101</v>
      </c>
      <c r="G15" s="748">
        <f>$F$15</f>
        <v>4504107.5173611101</v>
      </c>
      <c r="H15" s="748">
        <f t="shared" ref="H15:W15" si="7">$F$15</f>
        <v>4504107.5173611101</v>
      </c>
      <c r="I15" s="748">
        <f t="shared" si="7"/>
        <v>4504107.5173611101</v>
      </c>
      <c r="J15" s="748">
        <f t="shared" si="7"/>
        <v>4504107.5173611101</v>
      </c>
      <c r="K15" s="748">
        <f t="shared" si="7"/>
        <v>4504107.5173611101</v>
      </c>
      <c r="L15" s="748">
        <f t="shared" si="7"/>
        <v>4504107.5173611101</v>
      </c>
      <c r="M15" s="748">
        <f t="shared" si="7"/>
        <v>4504107.5173611101</v>
      </c>
      <c r="N15" s="748">
        <f t="shared" si="7"/>
        <v>4504107.5173611101</v>
      </c>
      <c r="O15" s="748">
        <f t="shared" si="7"/>
        <v>4504107.5173611101</v>
      </c>
      <c r="P15" s="748">
        <f t="shared" si="7"/>
        <v>4504107.5173611101</v>
      </c>
      <c r="Q15" s="748">
        <f t="shared" si="7"/>
        <v>4504107.5173611101</v>
      </c>
      <c r="R15" s="748">
        <f t="shared" si="7"/>
        <v>4504107.5173611101</v>
      </c>
      <c r="S15" s="748">
        <f t="shared" si="7"/>
        <v>4504107.5173611101</v>
      </c>
      <c r="T15" s="748">
        <f t="shared" si="7"/>
        <v>4504107.5173611101</v>
      </c>
      <c r="U15" s="748">
        <f t="shared" si="7"/>
        <v>4504107.5173611101</v>
      </c>
      <c r="V15" s="748">
        <f t="shared" si="7"/>
        <v>4504107.5173611101</v>
      </c>
      <c r="W15" s="748">
        <f t="shared" si="7"/>
        <v>4504107.5173611101</v>
      </c>
      <c r="X15" s="748"/>
      <c r="Y15" s="748">
        <f t="shared" si="3"/>
        <v>81146435.312499985</v>
      </c>
    </row>
    <row r="16" spans="1:25" ht="15">
      <c r="A16" s="404" t="s">
        <v>399</v>
      </c>
      <c r="B16" s="408"/>
      <c r="C16" s="748"/>
      <c r="D16" s="748"/>
      <c r="E16" s="748"/>
      <c r="F16" s="748"/>
      <c r="G16" s="748"/>
      <c r="H16" s="748"/>
      <c r="I16" s="748"/>
      <c r="J16" s="748"/>
      <c r="K16" s="748"/>
      <c r="L16" s="748"/>
      <c r="M16" s="748"/>
      <c r="N16" s="748"/>
      <c r="O16" s="748"/>
      <c r="P16" s="748"/>
      <c r="Q16" s="748"/>
      <c r="R16" s="748"/>
      <c r="S16" s="748"/>
      <c r="T16" s="748"/>
      <c r="U16" s="748"/>
      <c r="V16" s="748"/>
      <c r="W16" s="748"/>
      <c r="X16" s="748"/>
      <c r="Y16" s="748">
        <f t="shared" si="3"/>
        <v>0</v>
      </c>
    </row>
    <row r="17" spans="1:25" ht="14.25" customHeight="1">
      <c r="A17" s="402"/>
      <c r="B17" s="408" t="s">
        <v>400</v>
      </c>
      <c r="C17" s="748"/>
      <c r="D17" s="748">
        <f>'PreDev Flow of Funds'!D21</f>
        <v>2931396</v>
      </c>
      <c r="E17" s="748">
        <f>'PreDev Flow of Funds'!Y21</f>
        <v>2931396</v>
      </c>
      <c r="F17" s="748">
        <v>0</v>
      </c>
      <c r="G17" s="748">
        <v>0</v>
      </c>
      <c r="H17" s="748">
        <v>0</v>
      </c>
      <c r="I17" s="748">
        <v>0</v>
      </c>
      <c r="J17" s="748">
        <v>0</v>
      </c>
      <c r="K17" s="748">
        <v>0</v>
      </c>
      <c r="L17" s="748">
        <v>0</v>
      </c>
      <c r="M17" s="748">
        <v>0</v>
      </c>
      <c r="N17" s="748">
        <v>0</v>
      </c>
      <c r="O17" s="748">
        <v>0</v>
      </c>
      <c r="P17" s="748">
        <v>0</v>
      </c>
      <c r="Q17" s="748">
        <v>0</v>
      </c>
      <c r="R17" s="748">
        <v>0</v>
      </c>
      <c r="S17" s="748">
        <v>0</v>
      </c>
      <c r="T17" s="748">
        <v>0</v>
      </c>
      <c r="U17" s="748">
        <v>0</v>
      </c>
      <c r="V17" s="748">
        <v>0</v>
      </c>
      <c r="W17" s="748">
        <v>0</v>
      </c>
      <c r="X17" s="748"/>
      <c r="Y17" s="748">
        <f t="shared" si="3"/>
        <v>2931396</v>
      </c>
    </row>
    <row r="18" spans="1:25" ht="15">
      <c r="A18" s="402"/>
      <c r="B18" s="408" t="s">
        <v>401</v>
      </c>
      <c r="C18" s="748"/>
      <c r="D18" s="748">
        <f>'PreDev Flow of Funds'!D22</f>
        <v>4103954.4</v>
      </c>
      <c r="E18" s="748">
        <f>'PreDev Flow of Funds'!Y22</f>
        <v>4103954.4</v>
      </c>
      <c r="F18" s="748">
        <v>0</v>
      </c>
      <c r="G18" s="748">
        <v>0</v>
      </c>
      <c r="H18" s="748">
        <v>0</v>
      </c>
      <c r="I18" s="748">
        <v>0</v>
      </c>
      <c r="J18" s="748">
        <v>0</v>
      </c>
      <c r="K18" s="748">
        <v>0</v>
      </c>
      <c r="L18" s="748">
        <v>0</v>
      </c>
      <c r="M18" s="748">
        <v>0</v>
      </c>
      <c r="N18" s="748">
        <v>0</v>
      </c>
      <c r="O18" s="748">
        <v>0</v>
      </c>
      <c r="P18" s="748">
        <v>0</v>
      </c>
      <c r="Q18" s="748">
        <v>0</v>
      </c>
      <c r="R18" s="748">
        <v>0</v>
      </c>
      <c r="S18" s="748">
        <v>0</v>
      </c>
      <c r="T18" s="748">
        <v>0</v>
      </c>
      <c r="U18" s="748">
        <v>0</v>
      </c>
      <c r="V18" s="748">
        <v>0</v>
      </c>
      <c r="W18" s="748">
        <v>0</v>
      </c>
      <c r="X18" s="748"/>
      <c r="Y18" s="748">
        <f t="shared" si="3"/>
        <v>4103954.4</v>
      </c>
    </row>
    <row r="19" spans="1:25" ht="15">
      <c r="A19" s="402"/>
      <c r="B19" s="408" t="s">
        <v>402</v>
      </c>
      <c r="C19" s="748"/>
      <c r="D19" s="748">
        <f>'PreDev Flow of Funds'!D23</f>
        <v>4103954</v>
      </c>
      <c r="E19" s="748">
        <f>'PreDev Flow of Funds'!Y23</f>
        <v>4103954</v>
      </c>
      <c r="F19" s="748">
        <v>0</v>
      </c>
      <c r="G19" s="748">
        <v>0</v>
      </c>
      <c r="H19" s="748">
        <v>0</v>
      </c>
      <c r="I19" s="748">
        <v>0</v>
      </c>
      <c r="J19" s="748">
        <v>0</v>
      </c>
      <c r="K19" s="748">
        <v>0</v>
      </c>
      <c r="L19" s="748">
        <v>0</v>
      </c>
      <c r="M19" s="748">
        <v>0</v>
      </c>
      <c r="N19" s="748">
        <v>0</v>
      </c>
      <c r="O19" s="748">
        <v>0</v>
      </c>
      <c r="P19" s="748">
        <v>0</v>
      </c>
      <c r="Q19" s="748">
        <v>0</v>
      </c>
      <c r="R19" s="748">
        <v>0</v>
      </c>
      <c r="S19" s="748">
        <v>0</v>
      </c>
      <c r="T19" s="748">
        <v>0</v>
      </c>
      <c r="U19" s="748">
        <v>0</v>
      </c>
      <c r="V19" s="748">
        <v>0</v>
      </c>
      <c r="W19" s="748">
        <v>0</v>
      </c>
      <c r="X19" s="748"/>
      <c r="Y19" s="748">
        <f t="shared" si="3"/>
        <v>4103954</v>
      </c>
    </row>
    <row r="20" spans="1:25" ht="15">
      <c r="A20" s="402"/>
      <c r="B20" s="408" t="s">
        <v>473</v>
      </c>
      <c r="C20" s="748"/>
      <c r="D20" s="748">
        <v>422121.02</v>
      </c>
      <c r="E20" s="748">
        <v>0</v>
      </c>
      <c r="F20" s="748">
        <f>D20</f>
        <v>422121.02</v>
      </c>
      <c r="G20" s="748">
        <v>0</v>
      </c>
      <c r="H20" s="748">
        <v>0</v>
      </c>
      <c r="I20" s="748">
        <v>0</v>
      </c>
      <c r="J20" s="748">
        <v>0</v>
      </c>
      <c r="K20" s="748">
        <v>0</v>
      </c>
      <c r="L20" s="748">
        <v>0</v>
      </c>
      <c r="M20" s="748">
        <v>0</v>
      </c>
      <c r="N20" s="748">
        <v>0</v>
      </c>
      <c r="O20" s="748">
        <v>0</v>
      </c>
      <c r="P20" s="748">
        <v>0</v>
      </c>
      <c r="Q20" s="748">
        <v>0</v>
      </c>
      <c r="R20" s="748">
        <v>0</v>
      </c>
      <c r="S20" s="748">
        <v>0</v>
      </c>
      <c r="T20" s="748">
        <v>0</v>
      </c>
      <c r="U20" s="748">
        <v>0</v>
      </c>
      <c r="V20" s="748">
        <v>0</v>
      </c>
      <c r="W20" s="748">
        <v>0</v>
      </c>
      <c r="X20" s="748"/>
      <c r="Y20" s="748">
        <f t="shared" si="3"/>
        <v>422121.02</v>
      </c>
    </row>
    <row r="21" spans="1:25" ht="15">
      <c r="A21" s="402"/>
      <c r="B21" s="408" t="s">
        <v>474</v>
      </c>
      <c r="C21" s="748"/>
      <c r="D21" s="748">
        <v>315000</v>
      </c>
      <c r="E21" s="748">
        <v>0</v>
      </c>
      <c r="F21" s="748">
        <v>0</v>
      </c>
      <c r="G21" s="748">
        <v>0</v>
      </c>
      <c r="H21" s="748">
        <v>0</v>
      </c>
      <c r="I21" s="748">
        <v>0</v>
      </c>
      <c r="J21" s="748">
        <v>0</v>
      </c>
      <c r="K21" s="748">
        <f>D21</f>
        <v>315000</v>
      </c>
      <c r="L21" s="748">
        <v>0</v>
      </c>
      <c r="M21" s="748">
        <v>0</v>
      </c>
      <c r="N21" s="748">
        <v>0</v>
      </c>
      <c r="O21" s="748">
        <v>0</v>
      </c>
      <c r="P21" s="748">
        <v>0</v>
      </c>
      <c r="Q21" s="748">
        <v>0</v>
      </c>
      <c r="R21" s="748">
        <v>0</v>
      </c>
      <c r="S21" s="748">
        <v>0</v>
      </c>
      <c r="T21" s="748">
        <v>0</v>
      </c>
      <c r="U21" s="748">
        <v>0</v>
      </c>
      <c r="V21" s="748">
        <v>0</v>
      </c>
      <c r="W21" s="748">
        <v>0</v>
      </c>
      <c r="X21" s="748"/>
      <c r="Y21" s="748">
        <f t="shared" si="3"/>
        <v>315000</v>
      </c>
    </row>
    <row r="22" spans="1:25" ht="15">
      <c r="A22" s="402"/>
      <c r="B22" s="408" t="s">
        <v>475</v>
      </c>
      <c r="C22" s="748"/>
      <c r="D22" s="748">
        <f>293139.6+293139.6</f>
        <v>586279.19999999995</v>
      </c>
      <c r="E22" s="748">
        <v>0</v>
      </c>
      <c r="F22" s="748">
        <v>0</v>
      </c>
      <c r="G22" s="748">
        <v>0</v>
      </c>
      <c r="H22" s="748">
        <v>0</v>
      </c>
      <c r="I22" s="748">
        <v>0</v>
      </c>
      <c r="J22" s="748">
        <v>0</v>
      </c>
      <c r="K22" s="748">
        <v>0</v>
      </c>
      <c r="L22" s="748">
        <v>0</v>
      </c>
      <c r="M22" s="748">
        <f>D22</f>
        <v>586279.19999999995</v>
      </c>
      <c r="N22" s="748">
        <v>0</v>
      </c>
      <c r="O22" s="748">
        <v>0</v>
      </c>
      <c r="P22" s="748">
        <v>0</v>
      </c>
      <c r="Q22" s="748">
        <v>0</v>
      </c>
      <c r="R22" s="748">
        <v>0</v>
      </c>
      <c r="S22" s="748">
        <v>0</v>
      </c>
      <c r="T22" s="748">
        <v>0</v>
      </c>
      <c r="U22" s="748">
        <v>0</v>
      </c>
      <c r="V22" s="748">
        <v>0</v>
      </c>
      <c r="W22" s="748">
        <v>0</v>
      </c>
      <c r="X22" s="748"/>
      <c r="Y22" s="748">
        <f t="shared" si="3"/>
        <v>586279.19999999995</v>
      </c>
    </row>
    <row r="23" spans="1:25" ht="15">
      <c r="A23" s="402"/>
      <c r="B23" s="408" t="s">
        <v>476</v>
      </c>
      <c r="C23" s="748"/>
      <c r="D23" s="748" t="e">
        <f>'Development Budget'!#REF!-(SUM('Construction Flow of Funds'!D17:D22))</f>
        <v>#REF!</v>
      </c>
      <c r="E23" s="748">
        <f>'PreDev Flow of Funds'!Y24</f>
        <v>1113930.4400000002</v>
      </c>
      <c r="F23" s="748" t="e">
        <f>(D23-E23)/8</f>
        <v>#REF!</v>
      </c>
      <c r="G23" s="748" t="e">
        <f t="shared" ref="G23:M23" si="8">$F$23</f>
        <v>#REF!</v>
      </c>
      <c r="H23" s="748" t="e">
        <f t="shared" si="8"/>
        <v>#REF!</v>
      </c>
      <c r="I23" s="748" t="e">
        <f t="shared" si="8"/>
        <v>#REF!</v>
      </c>
      <c r="J23" s="748" t="e">
        <f t="shared" si="8"/>
        <v>#REF!</v>
      </c>
      <c r="K23" s="748" t="e">
        <f t="shared" si="8"/>
        <v>#REF!</v>
      </c>
      <c r="L23" s="748" t="e">
        <f t="shared" si="8"/>
        <v>#REF!</v>
      </c>
      <c r="M23" s="748" t="e">
        <f t="shared" si="8"/>
        <v>#REF!</v>
      </c>
      <c r="N23" s="748">
        <v>0</v>
      </c>
      <c r="O23" s="748">
        <v>0</v>
      </c>
      <c r="P23" s="748">
        <v>0</v>
      </c>
      <c r="Q23" s="748">
        <v>0</v>
      </c>
      <c r="R23" s="748">
        <v>0</v>
      </c>
      <c r="S23" s="748">
        <v>0</v>
      </c>
      <c r="T23" s="748">
        <v>0</v>
      </c>
      <c r="U23" s="748">
        <v>0</v>
      </c>
      <c r="V23" s="748">
        <v>0</v>
      </c>
      <c r="W23" s="748">
        <v>0</v>
      </c>
      <c r="X23" s="748"/>
      <c r="Y23" s="748" t="e">
        <f t="shared" si="3"/>
        <v>#REF!</v>
      </c>
    </row>
    <row r="24" spans="1:25" ht="15">
      <c r="A24" s="402"/>
      <c r="B24" s="408" t="s">
        <v>462</v>
      </c>
      <c r="C24" s="748"/>
      <c r="D24" s="748"/>
      <c r="E24" s="748"/>
      <c r="F24" s="748"/>
      <c r="G24" s="748"/>
      <c r="H24" s="748"/>
      <c r="I24" s="748"/>
      <c r="J24" s="748"/>
      <c r="K24" s="748"/>
      <c r="L24" s="748"/>
      <c r="M24" s="748"/>
      <c r="N24" s="748"/>
      <c r="O24" s="748"/>
      <c r="P24" s="748"/>
      <c r="Q24" s="748"/>
      <c r="R24" s="748"/>
      <c r="S24" s="748"/>
      <c r="T24" s="748"/>
      <c r="U24" s="748"/>
      <c r="V24" s="748"/>
      <c r="W24" s="748"/>
      <c r="X24" s="748"/>
      <c r="Y24" s="748">
        <f t="shared" si="3"/>
        <v>0</v>
      </c>
    </row>
    <row r="25" spans="1:25" ht="15">
      <c r="A25" s="402"/>
      <c r="B25" s="409"/>
      <c r="C25" s="751" t="s">
        <v>477</v>
      </c>
      <c r="D25" s="748">
        <f>'Development Budget'!G104</f>
        <v>0</v>
      </c>
      <c r="E25" s="748">
        <f>'PreDev Flow of Funds'!Y25</f>
        <v>500000.00000000006</v>
      </c>
      <c r="F25" s="748">
        <v>0</v>
      </c>
      <c r="G25" s="748">
        <v>0</v>
      </c>
      <c r="H25" s="748">
        <v>0</v>
      </c>
      <c r="I25" s="748">
        <v>0</v>
      </c>
      <c r="J25" s="748">
        <v>0</v>
      </c>
      <c r="K25" s="748">
        <v>0</v>
      </c>
      <c r="L25" s="748">
        <v>0</v>
      </c>
      <c r="M25" s="748">
        <v>0</v>
      </c>
      <c r="N25" s="748">
        <v>0</v>
      </c>
      <c r="O25" s="748">
        <v>0</v>
      </c>
      <c r="P25" s="748">
        <v>0</v>
      </c>
      <c r="Q25" s="748">
        <v>0</v>
      </c>
      <c r="R25" s="748">
        <v>0</v>
      </c>
      <c r="S25" s="748">
        <v>0</v>
      </c>
      <c r="T25" s="748">
        <v>0</v>
      </c>
      <c r="U25" s="748">
        <v>0</v>
      </c>
      <c r="V25" s="748">
        <v>0</v>
      </c>
      <c r="W25" s="748">
        <v>0</v>
      </c>
      <c r="X25" s="748"/>
      <c r="Y25" s="748">
        <f t="shared" si="3"/>
        <v>500000.00000000006</v>
      </c>
    </row>
    <row r="26" spans="1:25" ht="15">
      <c r="A26" s="402"/>
      <c r="B26" s="430"/>
      <c r="C26" s="751" t="s">
        <v>91</v>
      </c>
      <c r="D26" s="748">
        <f>'Development Budget'!G28</f>
        <v>13305000</v>
      </c>
      <c r="E26" s="748">
        <v>0</v>
      </c>
      <c r="F26" s="748">
        <f>D26/2</f>
        <v>6652500</v>
      </c>
      <c r="G26" s="748">
        <f>F26</f>
        <v>6652500</v>
      </c>
      <c r="H26" s="748">
        <v>0</v>
      </c>
      <c r="I26" s="748">
        <v>0</v>
      </c>
      <c r="J26" s="748">
        <v>0</v>
      </c>
      <c r="K26" s="748">
        <v>0</v>
      </c>
      <c r="L26" s="748">
        <v>0</v>
      </c>
      <c r="M26" s="748">
        <v>0</v>
      </c>
      <c r="N26" s="748">
        <v>0</v>
      </c>
      <c r="O26" s="748">
        <v>0</v>
      </c>
      <c r="P26" s="748">
        <v>0</v>
      </c>
      <c r="Q26" s="748">
        <v>0</v>
      </c>
      <c r="R26" s="748">
        <v>0</v>
      </c>
      <c r="S26" s="748">
        <v>0</v>
      </c>
      <c r="T26" s="748">
        <v>0</v>
      </c>
      <c r="U26" s="748">
        <v>0</v>
      </c>
      <c r="V26" s="748">
        <v>0</v>
      </c>
      <c r="W26" s="748">
        <v>0</v>
      </c>
      <c r="X26" s="748"/>
      <c r="Y26" s="748">
        <f t="shared" si="3"/>
        <v>13305000</v>
      </c>
    </row>
    <row r="27" spans="1:25" ht="15">
      <c r="A27" s="402"/>
      <c r="B27" s="430"/>
      <c r="C27" s="751" t="s">
        <v>92</v>
      </c>
      <c r="D27" s="748" t="e">
        <f>'Development Budget'!#REF!</f>
        <v>#REF!</v>
      </c>
      <c r="E27" s="748">
        <v>0</v>
      </c>
      <c r="F27" s="748" t="e">
        <f>D27/3</f>
        <v>#REF!</v>
      </c>
      <c r="G27" s="748" t="e">
        <f>$F$27</f>
        <v>#REF!</v>
      </c>
      <c r="H27" s="748" t="e">
        <f>$F$27</f>
        <v>#REF!</v>
      </c>
      <c r="I27" s="748"/>
      <c r="J27" s="748"/>
      <c r="K27" s="748"/>
      <c r="L27" s="748"/>
      <c r="M27" s="748"/>
      <c r="N27" s="748"/>
      <c r="O27" s="748"/>
      <c r="P27" s="748"/>
      <c r="Q27" s="748"/>
      <c r="R27" s="748"/>
      <c r="S27" s="748"/>
      <c r="T27" s="748"/>
      <c r="U27" s="748"/>
      <c r="V27" s="748"/>
      <c r="W27" s="748"/>
      <c r="X27" s="748"/>
      <c r="Y27" s="748" t="e">
        <f t="shared" si="3"/>
        <v>#REF!</v>
      </c>
    </row>
    <row r="28" spans="1:25" ht="15">
      <c r="A28" s="402"/>
      <c r="B28" s="430"/>
      <c r="C28" s="751" t="s">
        <v>93</v>
      </c>
      <c r="D28" s="749" t="e">
        <f>'Development Budget'!#REF!</f>
        <v>#REF!</v>
      </c>
      <c r="E28" s="748">
        <v>0</v>
      </c>
      <c r="F28" s="756" t="e">
        <f>D28/18</f>
        <v>#REF!</v>
      </c>
      <c r="G28" s="748" t="e">
        <f>$F$28</f>
        <v>#REF!</v>
      </c>
      <c r="H28" s="748" t="e">
        <f t="shared" ref="H28:W28" si="9">$F$28</f>
        <v>#REF!</v>
      </c>
      <c r="I28" s="748" t="e">
        <f t="shared" si="9"/>
        <v>#REF!</v>
      </c>
      <c r="J28" s="748" t="e">
        <f t="shared" si="9"/>
        <v>#REF!</v>
      </c>
      <c r="K28" s="748" t="e">
        <f t="shared" si="9"/>
        <v>#REF!</v>
      </c>
      <c r="L28" s="748" t="e">
        <f t="shared" si="9"/>
        <v>#REF!</v>
      </c>
      <c r="M28" s="748" t="e">
        <f t="shared" si="9"/>
        <v>#REF!</v>
      </c>
      <c r="N28" s="748" t="e">
        <f t="shared" si="9"/>
        <v>#REF!</v>
      </c>
      <c r="O28" s="748" t="e">
        <f t="shared" si="9"/>
        <v>#REF!</v>
      </c>
      <c r="P28" s="748" t="e">
        <f t="shared" si="9"/>
        <v>#REF!</v>
      </c>
      <c r="Q28" s="748" t="e">
        <f t="shared" si="9"/>
        <v>#REF!</v>
      </c>
      <c r="R28" s="748" t="e">
        <f t="shared" si="9"/>
        <v>#REF!</v>
      </c>
      <c r="S28" s="748" t="e">
        <f t="shared" si="9"/>
        <v>#REF!</v>
      </c>
      <c r="T28" s="748" t="e">
        <f t="shared" si="9"/>
        <v>#REF!</v>
      </c>
      <c r="U28" s="748" t="e">
        <f t="shared" si="9"/>
        <v>#REF!</v>
      </c>
      <c r="V28" s="748" t="e">
        <f t="shared" si="9"/>
        <v>#REF!</v>
      </c>
      <c r="W28" s="748" t="e">
        <f t="shared" si="9"/>
        <v>#REF!</v>
      </c>
      <c r="X28" s="748"/>
      <c r="Y28" s="748" t="e">
        <f t="shared" si="3"/>
        <v>#REF!</v>
      </c>
    </row>
    <row r="29" spans="1:25" ht="15">
      <c r="A29" s="402"/>
      <c r="B29" s="430"/>
      <c r="C29" s="751" t="s">
        <v>478</v>
      </c>
      <c r="D29" s="748" t="e">
        <f>'Development Budget'!#REF!</f>
        <v>#REF!</v>
      </c>
      <c r="E29" s="748">
        <v>0</v>
      </c>
      <c r="F29" s="748">
        <v>0</v>
      </c>
      <c r="G29" s="748">
        <v>0</v>
      </c>
      <c r="H29" s="748">
        <v>0</v>
      </c>
      <c r="I29" s="748" t="e">
        <f>D29/15</f>
        <v>#REF!</v>
      </c>
      <c r="J29" s="748" t="e">
        <f>$I$29</f>
        <v>#REF!</v>
      </c>
      <c r="K29" s="748" t="e">
        <f t="shared" ref="K29:W29" si="10">$I$29</f>
        <v>#REF!</v>
      </c>
      <c r="L29" s="748" t="e">
        <f t="shared" si="10"/>
        <v>#REF!</v>
      </c>
      <c r="M29" s="748" t="e">
        <f t="shared" si="10"/>
        <v>#REF!</v>
      </c>
      <c r="N29" s="748" t="e">
        <f t="shared" si="10"/>
        <v>#REF!</v>
      </c>
      <c r="O29" s="748" t="e">
        <f t="shared" si="10"/>
        <v>#REF!</v>
      </c>
      <c r="P29" s="748" t="e">
        <f t="shared" si="10"/>
        <v>#REF!</v>
      </c>
      <c r="Q29" s="748" t="e">
        <f t="shared" si="10"/>
        <v>#REF!</v>
      </c>
      <c r="R29" s="748" t="e">
        <f t="shared" si="10"/>
        <v>#REF!</v>
      </c>
      <c r="S29" s="748" t="e">
        <f t="shared" si="10"/>
        <v>#REF!</v>
      </c>
      <c r="T29" s="748" t="e">
        <f t="shared" si="10"/>
        <v>#REF!</v>
      </c>
      <c r="U29" s="748" t="e">
        <f t="shared" si="10"/>
        <v>#REF!</v>
      </c>
      <c r="V29" s="748" t="e">
        <f t="shared" si="10"/>
        <v>#REF!</v>
      </c>
      <c r="W29" s="748" t="e">
        <f t="shared" si="10"/>
        <v>#REF!</v>
      </c>
      <c r="X29" s="748"/>
      <c r="Y29" s="748" t="e">
        <f t="shared" si="3"/>
        <v>#REF!</v>
      </c>
    </row>
    <row r="30" spans="1:25" ht="15">
      <c r="A30" s="402"/>
      <c r="B30" s="430"/>
      <c r="C30" s="751" t="s">
        <v>99</v>
      </c>
      <c r="D30" s="748" t="e">
        <f>'Development Budget'!#REF!</f>
        <v>#REF!</v>
      </c>
      <c r="E30" s="748">
        <v>0</v>
      </c>
      <c r="F30" s="756" t="e">
        <f>D30/18</f>
        <v>#REF!</v>
      </c>
      <c r="G30" s="748" t="e">
        <f>$F$30</f>
        <v>#REF!</v>
      </c>
      <c r="H30" s="748" t="e">
        <f t="shared" ref="H30:W30" si="11">$F$30</f>
        <v>#REF!</v>
      </c>
      <c r="I30" s="748" t="e">
        <f t="shared" si="11"/>
        <v>#REF!</v>
      </c>
      <c r="J30" s="748" t="e">
        <f t="shared" si="11"/>
        <v>#REF!</v>
      </c>
      <c r="K30" s="748" t="e">
        <f t="shared" si="11"/>
        <v>#REF!</v>
      </c>
      <c r="L30" s="748" t="e">
        <f t="shared" si="11"/>
        <v>#REF!</v>
      </c>
      <c r="M30" s="748" t="e">
        <f t="shared" si="11"/>
        <v>#REF!</v>
      </c>
      <c r="N30" s="748" t="e">
        <f t="shared" si="11"/>
        <v>#REF!</v>
      </c>
      <c r="O30" s="748" t="e">
        <f t="shared" si="11"/>
        <v>#REF!</v>
      </c>
      <c r="P30" s="748" t="e">
        <f t="shared" si="11"/>
        <v>#REF!</v>
      </c>
      <c r="Q30" s="748" t="e">
        <f t="shared" si="11"/>
        <v>#REF!</v>
      </c>
      <c r="R30" s="748" t="e">
        <f t="shared" si="11"/>
        <v>#REF!</v>
      </c>
      <c r="S30" s="748" t="e">
        <f t="shared" si="11"/>
        <v>#REF!</v>
      </c>
      <c r="T30" s="748" t="e">
        <f t="shared" si="11"/>
        <v>#REF!</v>
      </c>
      <c r="U30" s="748" t="e">
        <f t="shared" si="11"/>
        <v>#REF!</v>
      </c>
      <c r="V30" s="748" t="e">
        <f t="shared" si="11"/>
        <v>#REF!</v>
      </c>
      <c r="W30" s="748" t="e">
        <f t="shared" si="11"/>
        <v>#REF!</v>
      </c>
      <c r="X30" s="748"/>
      <c r="Y30" s="748" t="e">
        <f t="shared" si="3"/>
        <v>#REF!</v>
      </c>
    </row>
    <row r="31" spans="1:25" ht="15">
      <c r="A31" s="402"/>
      <c r="B31" s="430"/>
      <c r="C31" s="751" t="s">
        <v>100</v>
      </c>
      <c r="D31" s="748"/>
      <c r="E31" s="748"/>
      <c r="F31" s="748"/>
      <c r="G31" s="748"/>
      <c r="H31" s="748"/>
      <c r="I31" s="748"/>
      <c r="J31" s="748"/>
      <c r="K31" s="748"/>
      <c r="L31" s="748"/>
      <c r="M31" s="748"/>
      <c r="N31" s="748"/>
      <c r="O31" s="748"/>
      <c r="P31" s="748"/>
      <c r="Q31" s="748"/>
      <c r="R31" s="748"/>
      <c r="S31" s="748"/>
      <c r="T31" s="748"/>
      <c r="U31" s="748"/>
      <c r="V31" s="748"/>
      <c r="W31" s="748"/>
      <c r="X31" s="748"/>
      <c r="Y31" s="748">
        <f t="shared" si="3"/>
        <v>0</v>
      </c>
    </row>
    <row r="32" spans="1:25" ht="15">
      <c r="A32" s="402"/>
      <c r="B32" s="430"/>
      <c r="C32" s="751" t="s">
        <v>367</v>
      </c>
      <c r="D32" s="748" t="e">
        <f>'Development Budget'!#REF!</f>
        <v>#REF!</v>
      </c>
      <c r="E32" s="748">
        <v>0</v>
      </c>
      <c r="F32" s="748" t="e">
        <f>D32/18</f>
        <v>#REF!</v>
      </c>
      <c r="G32" s="748" t="e">
        <f>$F$32</f>
        <v>#REF!</v>
      </c>
      <c r="H32" s="748" t="e">
        <f t="shared" ref="H32:W32" si="12">$F$32</f>
        <v>#REF!</v>
      </c>
      <c r="I32" s="748" t="e">
        <f t="shared" si="12"/>
        <v>#REF!</v>
      </c>
      <c r="J32" s="748" t="e">
        <f t="shared" si="12"/>
        <v>#REF!</v>
      </c>
      <c r="K32" s="748" t="e">
        <f t="shared" si="12"/>
        <v>#REF!</v>
      </c>
      <c r="L32" s="748" t="e">
        <f t="shared" si="12"/>
        <v>#REF!</v>
      </c>
      <c r="M32" s="748" t="e">
        <f t="shared" si="12"/>
        <v>#REF!</v>
      </c>
      <c r="N32" s="748" t="e">
        <f t="shared" si="12"/>
        <v>#REF!</v>
      </c>
      <c r="O32" s="748" t="e">
        <f t="shared" si="12"/>
        <v>#REF!</v>
      </c>
      <c r="P32" s="748" t="e">
        <f t="shared" si="12"/>
        <v>#REF!</v>
      </c>
      <c r="Q32" s="748" t="e">
        <f t="shared" si="12"/>
        <v>#REF!</v>
      </c>
      <c r="R32" s="748" t="e">
        <f t="shared" si="12"/>
        <v>#REF!</v>
      </c>
      <c r="S32" s="748" t="e">
        <f t="shared" si="12"/>
        <v>#REF!</v>
      </c>
      <c r="T32" s="748" t="e">
        <f t="shared" si="12"/>
        <v>#REF!</v>
      </c>
      <c r="U32" s="748" t="e">
        <f t="shared" si="12"/>
        <v>#REF!</v>
      </c>
      <c r="V32" s="748" t="e">
        <f t="shared" si="12"/>
        <v>#REF!</v>
      </c>
      <c r="W32" s="748" t="e">
        <f t="shared" si="12"/>
        <v>#REF!</v>
      </c>
      <c r="X32" s="748"/>
      <c r="Y32" s="748" t="e">
        <f t="shared" si="3"/>
        <v>#REF!</v>
      </c>
    </row>
    <row r="33" spans="1:25" ht="15">
      <c r="A33" s="402"/>
      <c r="B33" s="430"/>
      <c r="C33" s="751" t="s">
        <v>101</v>
      </c>
      <c r="D33" s="748">
        <f>'Development Budget'!G32</f>
        <v>64797148.25</v>
      </c>
      <c r="E33" s="748">
        <v>0</v>
      </c>
      <c r="F33" s="748">
        <f>D33</f>
        <v>64797148.25</v>
      </c>
      <c r="G33" s="748"/>
      <c r="H33" s="748"/>
      <c r="I33" s="748"/>
      <c r="J33" s="748"/>
      <c r="K33" s="748"/>
      <c r="L33" s="748"/>
      <c r="M33" s="748"/>
      <c r="N33" s="748"/>
      <c r="O33" s="748"/>
      <c r="P33" s="748"/>
      <c r="Q33" s="748"/>
      <c r="R33" s="748"/>
      <c r="S33" s="748"/>
      <c r="T33" s="748"/>
      <c r="U33" s="748"/>
      <c r="V33" s="748"/>
      <c r="W33" s="748"/>
      <c r="X33" s="748"/>
      <c r="Y33" s="748">
        <f t="shared" si="3"/>
        <v>64797148.25</v>
      </c>
    </row>
    <row r="34" spans="1:25" ht="15">
      <c r="A34" s="404" t="s">
        <v>405</v>
      </c>
      <c r="B34" s="750"/>
      <c r="C34" s="748"/>
      <c r="D34" s="748"/>
      <c r="E34" s="748"/>
      <c r="F34" s="748"/>
      <c r="G34" s="748"/>
      <c r="H34" s="748"/>
      <c r="I34" s="748"/>
      <c r="J34" s="748"/>
      <c r="K34" s="748"/>
      <c r="L34" s="748"/>
      <c r="M34" s="748"/>
      <c r="N34" s="748"/>
      <c r="O34" s="748"/>
      <c r="P34" s="748"/>
      <c r="Q34" s="748"/>
      <c r="R34" s="748"/>
      <c r="S34" s="748"/>
      <c r="T34" s="748"/>
      <c r="U34" s="748"/>
      <c r="V34" s="748"/>
      <c r="W34" s="748"/>
      <c r="X34" s="748"/>
      <c r="Y34" s="748">
        <f t="shared" si="3"/>
        <v>0</v>
      </c>
    </row>
    <row r="35" spans="1:25" ht="15">
      <c r="A35" s="404"/>
      <c r="B35" s="690" t="s">
        <v>107</v>
      </c>
      <c r="C35" s="748"/>
      <c r="D35" s="748"/>
      <c r="E35" s="748"/>
      <c r="F35" s="748"/>
      <c r="G35" s="748"/>
      <c r="H35" s="748"/>
      <c r="I35" s="748"/>
      <c r="J35" s="748"/>
      <c r="K35" s="748"/>
      <c r="L35" s="748"/>
      <c r="M35" s="748"/>
      <c r="N35" s="748"/>
      <c r="O35" s="748"/>
      <c r="P35" s="748"/>
      <c r="Q35" s="748"/>
      <c r="R35" s="748"/>
      <c r="S35" s="748"/>
      <c r="T35" s="748"/>
      <c r="U35" s="748"/>
      <c r="V35" s="748"/>
      <c r="W35" s="748"/>
      <c r="X35" s="748"/>
      <c r="Y35" s="748">
        <f t="shared" si="3"/>
        <v>0</v>
      </c>
    </row>
    <row r="36" spans="1:25" ht="15">
      <c r="A36" s="402"/>
      <c r="B36" s="430"/>
      <c r="C36" s="751" t="s">
        <v>108</v>
      </c>
      <c r="D36" s="749">
        <f>'Development Budget'!G61</f>
        <v>0</v>
      </c>
      <c r="E36" s="748">
        <v>0</v>
      </c>
      <c r="F36" s="748"/>
      <c r="G36" s="748"/>
      <c r="H36" s="748"/>
      <c r="I36" s="748"/>
      <c r="J36" s="748"/>
      <c r="K36" s="748"/>
      <c r="L36" s="748"/>
      <c r="M36" s="748">
        <f>D36/11</f>
        <v>0</v>
      </c>
      <c r="N36" s="748">
        <f t="shared" ref="N36:W36" si="13">$M$36</f>
        <v>0</v>
      </c>
      <c r="O36" s="748">
        <f t="shared" si="13"/>
        <v>0</v>
      </c>
      <c r="P36" s="748">
        <f t="shared" si="13"/>
        <v>0</v>
      </c>
      <c r="Q36" s="748">
        <f t="shared" si="13"/>
        <v>0</v>
      </c>
      <c r="R36" s="748">
        <f t="shared" si="13"/>
        <v>0</v>
      </c>
      <c r="S36" s="748">
        <f t="shared" si="13"/>
        <v>0</v>
      </c>
      <c r="T36" s="748">
        <f t="shared" si="13"/>
        <v>0</v>
      </c>
      <c r="U36" s="748">
        <f t="shared" si="13"/>
        <v>0</v>
      </c>
      <c r="V36" s="748">
        <f t="shared" si="13"/>
        <v>0</v>
      </c>
      <c r="W36" s="748">
        <f t="shared" si="13"/>
        <v>0</v>
      </c>
      <c r="X36" s="748"/>
      <c r="Y36" s="748">
        <f t="shared" si="3"/>
        <v>0</v>
      </c>
    </row>
    <row r="37" spans="1:25" ht="15">
      <c r="A37" s="402"/>
      <c r="B37" s="430"/>
      <c r="C37" s="751" t="s">
        <v>479</v>
      </c>
      <c r="D37" s="748"/>
      <c r="E37" s="748"/>
      <c r="F37" s="748"/>
      <c r="G37" s="748"/>
      <c r="H37" s="748"/>
      <c r="I37" s="748"/>
      <c r="J37" s="748"/>
      <c r="K37" s="748"/>
      <c r="L37" s="748"/>
      <c r="M37" s="748"/>
      <c r="N37" s="748"/>
      <c r="O37" s="748"/>
      <c r="P37" s="748"/>
      <c r="Q37" s="748"/>
      <c r="R37" s="748"/>
      <c r="S37" s="748"/>
      <c r="T37" s="748"/>
      <c r="U37" s="748"/>
      <c r="V37" s="748"/>
      <c r="W37" s="748"/>
      <c r="X37" s="748"/>
      <c r="Y37" s="748">
        <f t="shared" si="3"/>
        <v>0</v>
      </c>
    </row>
    <row r="38" spans="1:25" ht="15">
      <c r="A38" s="402"/>
      <c r="B38" s="430"/>
      <c r="C38" s="751" t="s">
        <v>109</v>
      </c>
      <c r="D38" s="748">
        <f>'Development Budget'!G62</f>
        <v>0</v>
      </c>
      <c r="E38" s="748">
        <f>D38</f>
        <v>0</v>
      </c>
      <c r="F38" s="748">
        <v>0</v>
      </c>
      <c r="G38" s="748">
        <v>0</v>
      </c>
      <c r="H38" s="748">
        <v>0</v>
      </c>
      <c r="I38" s="748">
        <v>0</v>
      </c>
      <c r="J38" s="748">
        <v>0</v>
      </c>
      <c r="K38" s="748">
        <v>0</v>
      </c>
      <c r="L38" s="748">
        <v>0</v>
      </c>
      <c r="M38" s="748">
        <v>0</v>
      </c>
      <c r="N38" s="748">
        <v>0</v>
      </c>
      <c r="O38" s="748">
        <v>0</v>
      </c>
      <c r="P38" s="748">
        <v>0</v>
      </c>
      <c r="Q38" s="748">
        <v>0</v>
      </c>
      <c r="R38" s="748">
        <v>0</v>
      </c>
      <c r="S38" s="748">
        <v>0</v>
      </c>
      <c r="T38" s="748">
        <v>0</v>
      </c>
      <c r="U38" s="748">
        <v>0</v>
      </c>
      <c r="V38" s="748">
        <v>0</v>
      </c>
      <c r="W38" s="748">
        <v>0</v>
      </c>
      <c r="X38" s="748"/>
      <c r="Y38" s="748">
        <f t="shared" si="3"/>
        <v>0</v>
      </c>
    </row>
    <row r="39" spans="1:25" ht="15">
      <c r="A39" s="402"/>
      <c r="B39" s="430"/>
      <c r="C39" s="751" t="s">
        <v>110</v>
      </c>
      <c r="D39" s="748">
        <f>'Development Budget'!G63</f>
        <v>0</v>
      </c>
      <c r="E39" s="748">
        <f>D39</f>
        <v>0</v>
      </c>
      <c r="F39" s="748">
        <v>0</v>
      </c>
      <c r="G39" s="748">
        <v>0</v>
      </c>
      <c r="H39" s="748">
        <v>0</v>
      </c>
      <c r="I39" s="748">
        <v>0</v>
      </c>
      <c r="J39" s="748">
        <v>0</v>
      </c>
      <c r="K39" s="748">
        <v>0</v>
      </c>
      <c r="L39" s="748">
        <v>0</v>
      </c>
      <c r="M39" s="748">
        <v>0</v>
      </c>
      <c r="N39" s="748">
        <v>0</v>
      </c>
      <c r="O39" s="748">
        <v>0</v>
      </c>
      <c r="P39" s="748">
        <v>0</v>
      </c>
      <c r="Q39" s="748">
        <v>0</v>
      </c>
      <c r="R39" s="748">
        <v>0</v>
      </c>
      <c r="S39" s="748">
        <v>0</v>
      </c>
      <c r="T39" s="748">
        <v>0</v>
      </c>
      <c r="U39" s="748">
        <v>0</v>
      </c>
      <c r="V39" s="748">
        <v>0</v>
      </c>
      <c r="W39" s="748">
        <v>0</v>
      </c>
      <c r="X39" s="748"/>
      <c r="Y39" s="748">
        <f t="shared" si="3"/>
        <v>0</v>
      </c>
    </row>
    <row r="40" spans="1:25" ht="15">
      <c r="A40" s="402"/>
      <c r="B40" s="430"/>
      <c r="C40" s="751" t="s">
        <v>111</v>
      </c>
      <c r="D40" s="748">
        <f>'Development Budget'!G64</f>
        <v>0</v>
      </c>
      <c r="E40" s="748">
        <v>0</v>
      </c>
      <c r="F40" s="748">
        <f>D40/18</f>
        <v>0</v>
      </c>
      <c r="G40" s="748">
        <f>$F$40</f>
        <v>0</v>
      </c>
      <c r="H40" s="748">
        <f t="shared" ref="H40:W40" si="14">$F$40</f>
        <v>0</v>
      </c>
      <c r="I40" s="748">
        <f t="shared" si="14"/>
        <v>0</v>
      </c>
      <c r="J40" s="748">
        <f t="shared" si="14"/>
        <v>0</v>
      </c>
      <c r="K40" s="748">
        <f t="shared" si="14"/>
        <v>0</v>
      </c>
      <c r="L40" s="748">
        <f t="shared" si="14"/>
        <v>0</v>
      </c>
      <c r="M40" s="748">
        <f t="shared" si="14"/>
        <v>0</v>
      </c>
      <c r="N40" s="748">
        <f t="shared" si="14"/>
        <v>0</v>
      </c>
      <c r="O40" s="748">
        <f t="shared" si="14"/>
        <v>0</v>
      </c>
      <c r="P40" s="748">
        <f t="shared" si="14"/>
        <v>0</v>
      </c>
      <c r="Q40" s="748">
        <f t="shared" si="14"/>
        <v>0</v>
      </c>
      <c r="R40" s="748">
        <f t="shared" si="14"/>
        <v>0</v>
      </c>
      <c r="S40" s="748">
        <f t="shared" si="14"/>
        <v>0</v>
      </c>
      <c r="T40" s="748">
        <f t="shared" si="14"/>
        <v>0</v>
      </c>
      <c r="U40" s="748">
        <f t="shared" si="14"/>
        <v>0</v>
      </c>
      <c r="V40" s="748">
        <f t="shared" si="14"/>
        <v>0</v>
      </c>
      <c r="W40" s="748">
        <f t="shared" si="14"/>
        <v>0</v>
      </c>
      <c r="X40" s="748"/>
      <c r="Y40" s="748">
        <f t="shared" si="3"/>
        <v>0</v>
      </c>
    </row>
    <row r="41" spans="1:25" ht="15">
      <c r="A41" s="402"/>
      <c r="B41" s="430"/>
      <c r="C41" s="751" t="s">
        <v>112</v>
      </c>
      <c r="D41" s="748">
        <f>'Development Budget'!G65</f>
        <v>0</v>
      </c>
      <c r="E41" s="748">
        <f>D41</f>
        <v>0</v>
      </c>
      <c r="F41" s="748">
        <v>0</v>
      </c>
      <c r="G41" s="748">
        <v>0</v>
      </c>
      <c r="H41" s="748">
        <v>0</v>
      </c>
      <c r="I41" s="748">
        <v>0</v>
      </c>
      <c r="J41" s="748">
        <v>0</v>
      </c>
      <c r="K41" s="748">
        <v>0</v>
      </c>
      <c r="L41" s="748">
        <v>0</v>
      </c>
      <c r="M41" s="748">
        <v>0</v>
      </c>
      <c r="N41" s="748">
        <v>0</v>
      </c>
      <c r="O41" s="748">
        <v>0</v>
      </c>
      <c r="P41" s="748">
        <v>0</v>
      </c>
      <c r="Q41" s="748">
        <v>0</v>
      </c>
      <c r="R41" s="748">
        <v>0</v>
      </c>
      <c r="S41" s="748">
        <v>0</v>
      </c>
      <c r="T41" s="748">
        <v>0</v>
      </c>
      <c r="U41" s="748">
        <v>0</v>
      </c>
      <c r="V41" s="748">
        <v>0</v>
      </c>
      <c r="W41" s="748">
        <v>0</v>
      </c>
      <c r="X41" s="748"/>
      <c r="Y41" s="748">
        <f t="shared" si="3"/>
        <v>0</v>
      </c>
    </row>
    <row r="42" spans="1:25" ht="15">
      <c r="A42" s="402"/>
      <c r="B42" s="430"/>
      <c r="C42" s="751" t="s">
        <v>113</v>
      </c>
      <c r="D42" s="748">
        <f>'Development Budget'!G66</f>
        <v>0</v>
      </c>
      <c r="E42" s="748">
        <v>0</v>
      </c>
      <c r="F42" s="748">
        <f>D42/18</f>
        <v>0</v>
      </c>
      <c r="G42" s="748">
        <f>$F$42</f>
        <v>0</v>
      </c>
      <c r="H42" s="748">
        <f t="shared" ref="H42:W42" si="15">$F$42</f>
        <v>0</v>
      </c>
      <c r="I42" s="748">
        <f t="shared" si="15"/>
        <v>0</v>
      </c>
      <c r="J42" s="748">
        <f t="shared" si="15"/>
        <v>0</v>
      </c>
      <c r="K42" s="748">
        <f t="shared" si="15"/>
        <v>0</v>
      </c>
      <c r="L42" s="748">
        <f t="shared" si="15"/>
        <v>0</v>
      </c>
      <c r="M42" s="748">
        <f t="shared" si="15"/>
        <v>0</v>
      </c>
      <c r="N42" s="748">
        <f t="shared" si="15"/>
        <v>0</v>
      </c>
      <c r="O42" s="748">
        <f t="shared" si="15"/>
        <v>0</v>
      </c>
      <c r="P42" s="748">
        <f t="shared" si="15"/>
        <v>0</v>
      </c>
      <c r="Q42" s="748">
        <f t="shared" si="15"/>
        <v>0</v>
      </c>
      <c r="R42" s="748">
        <f t="shared" si="15"/>
        <v>0</v>
      </c>
      <c r="S42" s="748">
        <f t="shared" si="15"/>
        <v>0</v>
      </c>
      <c r="T42" s="748">
        <f t="shared" si="15"/>
        <v>0</v>
      </c>
      <c r="U42" s="748">
        <f t="shared" si="15"/>
        <v>0</v>
      </c>
      <c r="V42" s="748">
        <f t="shared" si="15"/>
        <v>0</v>
      </c>
      <c r="W42" s="748">
        <f t="shared" si="15"/>
        <v>0</v>
      </c>
      <c r="X42" s="748"/>
      <c r="Y42" s="748">
        <f t="shared" si="3"/>
        <v>0</v>
      </c>
    </row>
    <row r="43" spans="1:25" ht="15">
      <c r="A43" s="402"/>
      <c r="B43" s="430"/>
      <c r="C43" s="751" t="s">
        <v>114</v>
      </c>
      <c r="D43" s="748">
        <f>'Development Budget'!G67</f>
        <v>202866.08828124998</v>
      </c>
      <c r="E43" s="748">
        <f>D43</f>
        <v>202866.08828124998</v>
      </c>
      <c r="F43" s="748">
        <v>0</v>
      </c>
      <c r="G43" s="748">
        <v>0</v>
      </c>
      <c r="H43" s="748">
        <v>0</v>
      </c>
      <c r="I43" s="748">
        <v>0</v>
      </c>
      <c r="J43" s="748">
        <v>0</v>
      </c>
      <c r="K43" s="748">
        <v>0</v>
      </c>
      <c r="L43" s="748">
        <v>0</v>
      </c>
      <c r="M43" s="748">
        <v>0</v>
      </c>
      <c r="N43" s="748">
        <v>0</v>
      </c>
      <c r="O43" s="748">
        <v>0</v>
      </c>
      <c r="P43" s="748">
        <v>0</v>
      </c>
      <c r="Q43" s="748">
        <v>0</v>
      </c>
      <c r="R43" s="748">
        <v>0</v>
      </c>
      <c r="S43" s="748">
        <v>0</v>
      </c>
      <c r="T43" s="748">
        <v>0</v>
      </c>
      <c r="U43" s="748">
        <v>0</v>
      </c>
      <c r="V43" s="748">
        <v>0</v>
      </c>
      <c r="W43" s="748">
        <v>0</v>
      </c>
      <c r="X43" s="748"/>
      <c r="Y43" s="748">
        <f t="shared" si="3"/>
        <v>202866.08828124998</v>
      </c>
    </row>
    <row r="44" spans="1:25" ht="15">
      <c r="A44" s="402"/>
      <c r="B44" s="690" t="s">
        <v>116</v>
      </c>
      <c r="C44" s="751"/>
      <c r="D44" s="748"/>
      <c r="E44" s="748"/>
      <c r="F44" s="748"/>
      <c r="G44" s="748"/>
      <c r="H44" s="748"/>
      <c r="I44" s="748"/>
      <c r="J44" s="748"/>
      <c r="K44" s="748"/>
      <c r="L44" s="748"/>
      <c r="M44" s="748"/>
      <c r="N44" s="748"/>
      <c r="O44" s="748"/>
      <c r="P44" s="748"/>
      <c r="Q44" s="748"/>
      <c r="R44" s="748"/>
      <c r="S44" s="748"/>
      <c r="T44" s="748"/>
      <c r="U44" s="748"/>
      <c r="V44" s="748"/>
      <c r="W44" s="748"/>
      <c r="X44" s="748"/>
      <c r="Y44" s="748">
        <f t="shared" si="3"/>
        <v>0</v>
      </c>
    </row>
    <row r="45" spans="1:25" ht="15">
      <c r="A45" s="402"/>
      <c r="B45" s="430"/>
      <c r="C45" s="431" t="s">
        <v>109</v>
      </c>
      <c r="D45" s="748">
        <f>'Development Budget'!G71</f>
        <v>0</v>
      </c>
      <c r="E45" s="748">
        <f>D45</f>
        <v>0</v>
      </c>
      <c r="F45" s="748">
        <v>0</v>
      </c>
      <c r="G45" s="748">
        <v>0</v>
      </c>
      <c r="H45" s="748">
        <v>0</v>
      </c>
      <c r="I45" s="748">
        <v>0</v>
      </c>
      <c r="J45" s="748">
        <v>0</v>
      </c>
      <c r="K45" s="748">
        <v>0</v>
      </c>
      <c r="L45" s="748">
        <v>0</v>
      </c>
      <c r="M45" s="748">
        <v>0</v>
      </c>
      <c r="N45" s="748">
        <v>0</v>
      </c>
      <c r="O45" s="748">
        <v>0</v>
      </c>
      <c r="P45" s="748">
        <v>0</v>
      </c>
      <c r="Q45" s="748">
        <v>0</v>
      </c>
      <c r="R45" s="748">
        <v>0</v>
      </c>
      <c r="S45" s="748">
        <v>0</v>
      </c>
      <c r="T45" s="748">
        <v>0</v>
      </c>
      <c r="U45" s="748">
        <v>0</v>
      </c>
      <c r="V45" s="748">
        <v>0</v>
      </c>
      <c r="W45" s="748">
        <v>0</v>
      </c>
      <c r="X45" s="748"/>
      <c r="Y45" s="748">
        <f t="shared" si="3"/>
        <v>0</v>
      </c>
    </row>
    <row r="46" spans="1:25" ht="15">
      <c r="A46" s="402"/>
      <c r="B46" s="430"/>
      <c r="C46" s="431" t="s">
        <v>110</v>
      </c>
      <c r="D46" s="748">
        <f>'Development Budget'!G72</f>
        <v>0</v>
      </c>
      <c r="E46" s="748">
        <f>D46</f>
        <v>0</v>
      </c>
      <c r="F46" s="748">
        <v>0</v>
      </c>
      <c r="G46" s="748">
        <v>0</v>
      </c>
      <c r="H46" s="748">
        <v>0</v>
      </c>
      <c r="I46" s="748">
        <v>0</v>
      </c>
      <c r="J46" s="748">
        <v>0</v>
      </c>
      <c r="K46" s="748">
        <v>0</v>
      </c>
      <c r="L46" s="748">
        <v>0</v>
      </c>
      <c r="M46" s="748">
        <v>0</v>
      </c>
      <c r="N46" s="748">
        <v>0</v>
      </c>
      <c r="O46" s="748">
        <v>0</v>
      </c>
      <c r="P46" s="748">
        <v>0</v>
      </c>
      <c r="Q46" s="748">
        <v>0</v>
      </c>
      <c r="R46" s="748">
        <v>0</v>
      </c>
      <c r="S46" s="748">
        <v>0</v>
      </c>
      <c r="T46" s="748">
        <v>0</v>
      </c>
      <c r="U46" s="748">
        <v>0</v>
      </c>
      <c r="V46" s="748">
        <v>0</v>
      </c>
      <c r="W46" s="748">
        <v>0</v>
      </c>
      <c r="X46" s="748"/>
      <c r="Y46" s="748">
        <f t="shared" si="3"/>
        <v>0</v>
      </c>
    </row>
    <row r="47" spans="1:25" ht="15">
      <c r="A47" s="402"/>
      <c r="B47" s="430"/>
      <c r="C47" s="431" t="s">
        <v>114</v>
      </c>
      <c r="D47" s="749">
        <f>'Development Budget'!G73</f>
        <v>0</v>
      </c>
      <c r="E47" s="748">
        <v>0</v>
      </c>
      <c r="F47" s="748"/>
      <c r="G47" s="748"/>
      <c r="H47" s="748"/>
      <c r="I47" s="748"/>
      <c r="J47" s="748"/>
      <c r="K47" s="748"/>
      <c r="L47" s="748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48"/>
      <c r="X47" s="748"/>
      <c r="Y47" s="748">
        <f t="shared" si="3"/>
        <v>0</v>
      </c>
    </row>
    <row r="48" spans="1:25" ht="15">
      <c r="A48" s="3" t="s">
        <v>118</v>
      </c>
      <c r="B48" s="690"/>
      <c r="C48" s="431"/>
      <c r="D48" s="748"/>
      <c r="E48" s="748"/>
      <c r="F48" s="748"/>
      <c r="G48" s="748"/>
      <c r="H48" s="748"/>
      <c r="I48" s="748"/>
      <c r="J48" s="748"/>
      <c r="K48" s="748"/>
      <c r="L48" s="748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48"/>
      <c r="X48" s="748"/>
      <c r="Y48" s="748">
        <f t="shared" si="3"/>
        <v>0</v>
      </c>
    </row>
    <row r="49" spans="1:25" ht="15">
      <c r="A49" s="748"/>
      <c r="B49" s="748" t="s">
        <v>119</v>
      </c>
      <c r="C49" s="748"/>
      <c r="D49" s="749">
        <f>'Development Budget'!G77</f>
        <v>0</v>
      </c>
      <c r="E49" s="748">
        <v>25000</v>
      </c>
      <c r="F49" s="748">
        <f>(D49-E49)/18</f>
        <v>-1388.8888888888889</v>
      </c>
      <c r="G49" s="748">
        <f>$F$49</f>
        <v>-1388.8888888888889</v>
      </c>
      <c r="H49" s="748">
        <f t="shared" ref="H49:W49" si="16">$F$49</f>
        <v>-1388.8888888888889</v>
      </c>
      <c r="I49" s="748">
        <f t="shared" si="16"/>
        <v>-1388.8888888888889</v>
      </c>
      <c r="J49" s="748">
        <f t="shared" si="16"/>
        <v>-1388.8888888888889</v>
      </c>
      <c r="K49" s="748">
        <f t="shared" si="16"/>
        <v>-1388.8888888888889</v>
      </c>
      <c r="L49" s="748">
        <f t="shared" si="16"/>
        <v>-1388.8888888888889</v>
      </c>
      <c r="M49" s="748">
        <f t="shared" si="16"/>
        <v>-1388.8888888888889</v>
      </c>
      <c r="N49" s="748">
        <f t="shared" si="16"/>
        <v>-1388.8888888888889</v>
      </c>
      <c r="O49" s="748">
        <f t="shared" si="16"/>
        <v>-1388.8888888888889</v>
      </c>
      <c r="P49" s="748">
        <f t="shared" si="16"/>
        <v>-1388.8888888888889</v>
      </c>
      <c r="Q49" s="748">
        <f t="shared" si="16"/>
        <v>-1388.8888888888889</v>
      </c>
      <c r="R49" s="748">
        <f t="shared" si="16"/>
        <v>-1388.8888888888889</v>
      </c>
      <c r="S49" s="748">
        <f t="shared" si="16"/>
        <v>-1388.8888888888889</v>
      </c>
      <c r="T49" s="748">
        <f t="shared" si="16"/>
        <v>-1388.8888888888889</v>
      </c>
      <c r="U49" s="748">
        <f t="shared" si="16"/>
        <v>-1388.8888888888889</v>
      </c>
      <c r="V49" s="748">
        <f t="shared" si="16"/>
        <v>-1388.8888888888889</v>
      </c>
      <c r="W49" s="748">
        <f t="shared" si="16"/>
        <v>-1388.8888888888889</v>
      </c>
      <c r="X49" s="748"/>
      <c r="Y49" s="748">
        <f t="shared" si="3"/>
        <v>-7.73070496506989E-12</v>
      </c>
    </row>
    <row r="50" spans="1:25" ht="15">
      <c r="A50" s="748"/>
      <c r="B50" s="748" t="s">
        <v>120</v>
      </c>
      <c r="C50" s="748"/>
      <c r="D50" s="749">
        <f>'Development Budget'!G78</f>
        <v>30000</v>
      </c>
      <c r="E50" s="748">
        <f>D50</f>
        <v>30000</v>
      </c>
      <c r="F50" s="748"/>
      <c r="G50" s="748"/>
      <c r="H50" s="748"/>
      <c r="I50" s="748"/>
      <c r="J50" s="748"/>
      <c r="K50" s="748"/>
      <c r="L50" s="748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48"/>
      <c r="X50" s="748"/>
      <c r="Y50" s="748">
        <f t="shared" si="3"/>
        <v>30000</v>
      </c>
    </row>
    <row r="51" spans="1:25" ht="15">
      <c r="A51" s="748"/>
      <c r="B51" s="748" t="s">
        <v>121</v>
      </c>
      <c r="C51" s="748"/>
      <c r="D51" s="748">
        <f>'Development Budget'!G79</f>
        <v>34000</v>
      </c>
      <c r="E51" s="748">
        <f>D51</f>
        <v>34000</v>
      </c>
      <c r="F51" s="748">
        <v>0</v>
      </c>
      <c r="G51" s="748">
        <v>0</v>
      </c>
      <c r="H51" s="748">
        <v>0</v>
      </c>
      <c r="I51" s="748">
        <v>0</v>
      </c>
      <c r="J51" s="748">
        <v>0</v>
      </c>
      <c r="K51" s="748">
        <v>0</v>
      </c>
      <c r="L51" s="748">
        <v>0</v>
      </c>
      <c r="M51" s="748">
        <v>0</v>
      </c>
      <c r="N51" s="748">
        <v>0</v>
      </c>
      <c r="O51" s="748">
        <v>0</v>
      </c>
      <c r="P51" s="748">
        <v>0</v>
      </c>
      <c r="Q51" s="748">
        <v>0</v>
      </c>
      <c r="R51" s="748">
        <v>0</v>
      </c>
      <c r="S51" s="748">
        <v>0</v>
      </c>
      <c r="T51" s="748">
        <v>0</v>
      </c>
      <c r="U51" s="748">
        <v>0</v>
      </c>
      <c r="V51" s="748">
        <v>0</v>
      </c>
      <c r="W51" s="748">
        <v>0</v>
      </c>
      <c r="X51" s="748"/>
      <c r="Y51" s="748">
        <f t="shared" si="3"/>
        <v>34000</v>
      </c>
    </row>
    <row r="52" spans="1:25" ht="15">
      <c r="A52" s="748"/>
      <c r="B52" s="748" t="s">
        <v>122</v>
      </c>
      <c r="C52" s="748"/>
      <c r="D52" s="749">
        <f>'Development Budget'!G80</f>
        <v>393866.08828124998</v>
      </c>
      <c r="E52" s="748">
        <f>D52</f>
        <v>393866.08828124998</v>
      </c>
      <c r="F52" s="748"/>
      <c r="G52" s="748"/>
      <c r="H52" s="748"/>
      <c r="I52" s="748"/>
      <c r="J52" s="748"/>
      <c r="K52" s="748"/>
      <c r="L52" s="748"/>
      <c r="M52" s="748"/>
      <c r="N52" s="748"/>
      <c r="O52" s="748"/>
      <c r="P52" s="748"/>
      <c r="Q52" s="748"/>
      <c r="R52" s="748"/>
      <c r="S52" s="748"/>
      <c r="T52" s="748"/>
      <c r="U52" s="748"/>
      <c r="V52" s="748"/>
      <c r="W52" s="748"/>
      <c r="X52" s="748"/>
      <c r="Y52" s="748">
        <f t="shared" si="3"/>
        <v>393866.08828124998</v>
      </c>
    </row>
    <row r="53" spans="1:25" ht="15">
      <c r="A53" s="432" t="s">
        <v>124</v>
      </c>
      <c r="B53" s="748"/>
      <c r="C53" s="748"/>
      <c r="D53" s="748"/>
      <c r="E53" s="748"/>
      <c r="F53" s="748"/>
      <c r="G53" s="748"/>
      <c r="H53" s="748"/>
      <c r="I53" s="748"/>
      <c r="J53" s="748"/>
      <c r="K53" s="748"/>
      <c r="L53" s="748"/>
      <c r="M53" s="748"/>
      <c r="N53" s="748"/>
      <c r="O53" s="748"/>
      <c r="P53" s="748"/>
      <c r="Q53" s="748"/>
      <c r="R53" s="748"/>
      <c r="S53" s="748"/>
      <c r="T53" s="748"/>
      <c r="U53" s="748"/>
      <c r="V53" s="748"/>
      <c r="W53" s="748"/>
      <c r="X53" s="748"/>
      <c r="Y53" s="748">
        <f t="shared" si="3"/>
        <v>0</v>
      </c>
    </row>
    <row r="54" spans="1:25" ht="15">
      <c r="A54" s="748"/>
      <c r="B54" s="748" t="s">
        <v>125</v>
      </c>
      <c r="C54" s="748"/>
      <c r="D54" s="749">
        <f>'Development Budget'!G84</f>
        <v>0</v>
      </c>
      <c r="E54" s="748">
        <v>0</v>
      </c>
      <c r="F54" s="748"/>
      <c r="G54" s="748"/>
      <c r="H54" s="748"/>
      <c r="I54" s="748"/>
      <c r="J54" s="748"/>
      <c r="K54" s="748"/>
      <c r="L54" s="748"/>
      <c r="M54" s="748"/>
      <c r="N54" s="748"/>
      <c r="O54" s="748"/>
      <c r="P54" s="748"/>
      <c r="Q54" s="748"/>
      <c r="R54" s="748"/>
      <c r="S54" s="748"/>
      <c r="T54" s="748"/>
      <c r="U54" s="748"/>
      <c r="V54" s="748"/>
      <c r="W54" s="748"/>
      <c r="X54" s="748"/>
      <c r="Y54" s="748">
        <f t="shared" si="3"/>
        <v>0</v>
      </c>
    </row>
    <row r="55" spans="1:25" ht="15">
      <c r="A55" s="748"/>
      <c r="B55" s="748" t="s">
        <v>126</v>
      </c>
      <c r="C55" s="748"/>
      <c r="D55" s="748">
        <v>0</v>
      </c>
      <c r="E55" s="748">
        <v>0</v>
      </c>
      <c r="F55" s="748"/>
      <c r="G55" s="748"/>
      <c r="H55" s="748"/>
      <c r="I55" s="748"/>
      <c r="J55" s="748"/>
      <c r="K55" s="748"/>
      <c r="L55" s="748"/>
      <c r="M55" s="748"/>
      <c r="N55" s="748"/>
      <c r="O55" s="748"/>
      <c r="P55" s="748"/>
      <c r="Q55" s="748"/>
      <c r="R55" s="748"/>
      <c r="S55" s="748"/>
      <c r="T55" s="748"/>
      <c r="U55" s="748"/>
      <c r="V55" s="748"/>
      <c r="W55" s="748"/>
      <c r="X55" s="748"/>
      <c r="Y55" s="748">
        <f t="shared" si="3"/>
        <v>0</v>
      </c>
    </row>
    <row r="56" spans="1:25" ht="15">
      <c r="A56" s="3" t="s">
        <v>128</v>
      </c>
      <c r="B56" s="690"/>
      <c r="C56" s="431"/>
      <c r="D56" s="748"/>
      <c r="E56" s="748"/>
      <c r="F56" s="748"/>
      <c r="G56" s="748"/>
      <c r="H56" s="748"/>
      <c r="I56" s="748"/>
      <c r="J56" s="748"/>
      <c r="K56" s="748"/>
      <c r="L56" s="748"/>
      <c r="M56" s="748"/>
      <c r="N56" s="748"/>
      <c r="O56" s="748"/>
      <c r="P56" s="748"/>
      <c r="Q56" s="748"/>
      <c r="R56" s="748"/>
      <c r="S56" s="748"/>
      <c r="T56" s="748"/>
      <c r="U56" s="748"/>
      <c r="V56" s="748"/>
      <c r="W56" s="748"/>
      <c r="X56" s="748"/>
      <c r="Y56" s="748">
        <f t="shared" si="3"/>
        <v>0</v>
      </c>
    </row>
    <row r="57" spans="1:25" ht="15">
      <c r="A57" s="748"/>
      <c r="B57" s="748" t="s">
        <v>129</v>
      </c>
      <c r="C57" s="748"/>
      <c r="D57" s="748">
        <f>'Development Budget'!G89</f>
        <v>0</v>
      </c>
      <c r="E57" s="748">
        <v>0</v>
      </c>
      <c r="F57" s="748">
        <f>D57/18</f>
        <v>0</v>
      </c>
      <c r="G57" s="748">
        <f>$F$57</f>
        <v>0</v>
      </c>
      <c r="H57" s="748">
        <f t="shared" ref="H57:W57" si="17">$F$57</f>
        <v>0</v>
      </c>
      <c r="I57" s="748">
        <f t="shared" si="17"/>
        <v>0</v>
      </c>
      <c r="J57" s="748">
        <f t="shared" si="17"/>
        <v>0</v>
      </c>
      <c r="K57" s="748">
        <f t="shared" si="17"/>
        <v>0</v>
      </c>
      <c r="L57" s="748">
        <f t="shared" si="17"/>
        <v>0</v>
      </c>
      <c r="M57" s="748">
        <f t="shared" si="17"/>
        <v>0</v>
      </c>
      <c r="N57" s="748">
        <f t="shared" si="17"/>
        <v>0</v>
      </c>
      <c r="O57" s="748">
        <f t="shared" si="17"/>
        <v>0</v>
      </c>
      <c r="P57" s="748">
        <f t="shared" si="17"/>
        <v>0</v>
      </c>
      <c r="Q57" s="748">
        <f t="shared" si="17"/>
        <v>0</v>
      </c>
      <c r="R57" s="748">
        <f t="shared" si="17"/>
        <v>0</v>
      </c>
      <c r="S57" s="748">
        <f t="shared" si="17"/>
        <v>0</v>
      </c>
      <c r="T57" s="748">
        <f t="shared" si="17"/>
        <v>0</v>
      </c>
      <c r="U57" s="748">
        <f t="shared" si="17"/>
        <v>0</v>
      </c>
      <c r="V57" s="748">
        <f t="shared" si="17"/>
        <v>0</v>
      </c>
      <c r="W57" s="748">
        <f t="shared" si="17"/>
        <v>0</v>
      </c>
      <c r="X57" s="748"/>
      <c r="Y57" s="748">
        <f t="shared" si="3"/>
        <v>0</v>
      </c>
    </row>
    <row r="58" spans="1:25" ht="15">
      <c r="A58" s="748"/>
      <c r="B58" s="748" t="s">
        <v>130</v>
      </c>
      <c r="C58" s="748"/>
      <c r="D58" s="748">
        <f>'Development Budget'!G90</f>
        <v>3256436</v>
      </c>
      <c r="E58" s="748">
        <f>'PreDev Flow of Funds'!Y46</f>
        <v>96238.814999999988</v>
      </c>
      <c r="F58" s="748">
        <f>(D58-E58)/18</f>
        <v>175566.51027777779</v>
      </c>
      <c r="G58" s="748">
        <f>$F$58</f>
        <v>175566.51027777779</v>
      </c>
      <c r="H58" s="748">
        <f t="shared" ref="H58:W58" si="18">$F$58</f>
        <v>175566.51027777779</v>
      </c>
      <c r="I58" s="748">
        <f t="shared" si="18"/>
        <v>175566.51027777779</v>
      </c>
      <c r="J58" s="748">
        <f t="shared" si="18"/>
        <v>175566.51027777779</v>
      </c>
      <c r="K58" s="748">
        <f t="shared" si="18"/>
        <v>175566.51027777779</v>
      </c>
      <c r="L58" s="748">
        <f t="shared" si="18"/>
        <v>175566.51027777779</v>
      </c>
      <c r="M58" s="748">
        <f t="shared" si="18"/>
        <v>175566.51027777779</v>
      </c>
      <c r="N58" s="748">
        <f t="shared" si="18"/>
        <v>175566.51027777779</v>
      </c>
      <c r="O58" s="748">
        <f t="shared" si="18"/>
        <v>175566.51027777779</v>
      </c>
      <c r="P58" s="748">
        <f t="shared" si="18"/>
        <v>175566.51027777779</v>
      </c>
      <c r="Q58" s="748">
        <f t="shared" si="18"/>
        <v>175566.51027777779</v>
      </c>
      <c r="R58" s="748">
        <f t="shared" si="18"/>
        <v>175566.51027777779</v>
      </c>
      <c r="S58" s="748">
        <f t="shared" si="18"/>
        <v>175566.51027777779</v>
      </c>
      <c r="T58" s="748">
        <f t="shared" si="18"/>
        <v>175566.51027777779</v>
      </c>
      <c r="U58" s="748">
        <f t="shared" si="18"/>
        <v>175566.51027777779</v>
      </c>
      <c r="V58" s="748">
        <f t="shared" si="18"/>
        <v>175566.51027777779</v>
      </c>
      <c r="W58" s="748">
        <f t="shared" si="18"/>
        <v>175566.51027777779</v>
      </c>
      <c r="X58" s="748"/>
      <c r="Y58" s="748">
        <f t="shared" si="3"/>
        <v>3256436.0000000019</v>
      </c>
    </row>
    <row r="59" spans="1:25" ht="15">
      <c r="A59" s="404" t="s">
        <v>410</v>
      </c>
      <c r="B59" s="744"/>
      <c r="C59" s="751"/>
      <c r="D59" s="748"/>
      <c r="E59" s="748"/>
      <c r="F59" s="748"/>
      <c r="G59" s="748"/>
      <c r="H59" s="748"/>
      <c r="I59" s="748"/>
      <c r="J59" s="748"/>
      <c r="K59" s="748"/>
      <c r="L59" s="748"/>
      <c r="M59" s="748"/>
      <c r="N59" s="748"/>
      <c r="O59" s="748"/>
      <c r="P59" s="748"/>
      <c r="Q59" s="748"/>
      <c r="R59" s="748"/>
      <c r="S59" s="748"/>
      <c r="T59" s="748"/>
      <c r="U59" s="748"/>
      <c r="V59" s="748"/>
      <c r="W59" s="748"/>
      <c r="X59" s="748"/>
      <c r="Y59" s="748">
        <f t="shared" si="3"/>
        <v>0</v>
      </c>
    </row>
    <row r="60" spans="1:25" ht="15">
      <c r="A60" s="404"/>
      <c r="B60" s="748" t="s">
        <v>133</v>
      </c>
      <c r="C60" s="748"/>
      <c r="D60" s="748">
        <f>'Development Budget'!G94</f>
        <v>0</v>
      </c>
      <c r="E60" s="748">
        <f>'PreDev Flow of Funds'!Y34</f>
        <v>16903.12</v>
      </c>
      <c r="F60" s="748">
        <v>0</v>
      </c>
      <c r="G60" s="748">
        <v>0</v>
      </c>
      <c r="H60" s="748">
        <v>0</v>
      </c>
      <c r="I60" s="748">
        <v>0</v>
      </c>
      <c r="J60" s="748">
        <v>0</v>
      </c>
      <c r="K60" s="748">
        <v>0</v>
      </c>
      <c r="L60" s="748">
        <v>0</v>
      </c>
      <c r="M60" s="748">
        <v>0</v>
      </c>
      <c r="N60" s="748">
        <v>0</v>
      </c>
      <c r="O60" s="748">
        <v>0</v>
      </c>
      <c r="P60" s="748">
        <v>0</v>
      </c>
      <c r="Q60" s="748">
        <v>0</v>
      </c>
      <c r="R60" s="748">
        <v>0</v>
      </c>
      <c r="S60" s="748">
        <v>0</v>
      </c>
      <c r="T60" s="748">
        <v>0</v>
      </c>
      <c r="U60" s="748">
        <v>0</v>
      </c>
      <c r="V60" s="748">
        <v>0</v>
      </c>
      <c r="W60" s="748">
        <v>0</v>
      </c>
      <c r="X60" s="748"/>
      <c r="Y60" s="748">
        <f t="shared" si="3"/>
        <v>16903.12</v>
      </c>
    </row>
    <row r="61" spans="1:25" ht="15">
      <c r="A61" s="404"/>
      <c r="B61" s="748" t="s">
        <v>369</v>
      </c>
      <c r="C61" s="748"/>
      <c r="D61" s="748">
        <f>'Development Budget'!G95</f>
        <v>0</v>
      </c>
      <c r="E61" s="748">
        <f>('PreDev Flow of Funds'!Y35+'PreDev Flow of Funds'!Y36)+(D61-'PreDev Flow of Funds'!D35-'PreDev Flow of Funds'!D36)</f>
        <v>0</v>
      </c>
      <c r="F61" s="748">
        <v>0</v>
      </c>
      <c r="G61" s="748">
        <v>0</v>
      </c>
      <c r="H61" s="748">
        <v>0</v>
      </c>
      <c r="I61" s="748">
        <v>0</v>
      </c>
      <c r="J61" s="748">
        <v>0</v>
      </c>
      <c r="K61" s="748">
        <v>0</v>
      </c>
      <c r="L61" s="748">
        <v>0</v>
      </c>
      <c r="M61" s="748">
        <v>0</v>
      </c>
      <c r="N61" s="748">
        <v>0</v>
      </c>
      <c r="O61" s="748">
        <v>0</v>
      </c>
      <c r="P61" s="748">
        <v>0</v>
      </c>
      <c r="Q61" s="748">
        <v>0</v>
      </c>
      <c r="R61" s="748">
        <v>0</v>
      </c>
      <c r="S61" s="748">
        <v>0</v>
      </c>
      <c r="T61" s="748">
        <v>0</v>
      </c>
      <c r="U61" s="748">
        <v>0</v>
      </c>
      <c r="V61" s="748">
        <v>0</v>
      </c>
      <c r="W61" s="748">
        <v>0</v>
      </c>
      <c r="X61" s="748"/>
      <c r="Y61" s="748">
        <f t="shared" si="3"/>
        <v>0</v>
      </c>
    </row>
    <row r="62" spans="1:25" ht="15">
      <c r="A62" s="404"/>
      <c r="B62" s="748" t="s">
        <v>134</v>
      </c>
      <c r="C62" s="748"/>
      <c r="D62" s="748">
        <f>'Development Budget'!G99</f>
        <v>0</v>
      </c>
      <c r="E62" s="748">
        <f>D62</f>
        <v>0</v>
      </c>
      <c r="F62" s="748"/>
      <c r="G62" s="748"/>
      <c r="H62" s="748"/>
      <c r="I62" s="748"/>
      <c r="J62" s="748"/>
      <c r="K62" s="748"/>
      <c r="L62" s="748"/>
      <c r="M62" s="748"/>
      <c r="N62" s="748"/>
      <c r="O62" s="748"/>
      <c r="P62" s="748"/>
      <c r="Q62" s="748"/>
      <c r="R62" s="748"/>
      <c r="S62" s="748"/>
      <c r="T62" s="748"/>
      <c r="U62" s="748"/>
      <c r="V62" s="748"/>
      <c r="W62" s="748"/>
      <c r="X62" s="748"/>
      <c r="Y62" s="748">
        <f t="shared" si="3"/>
        <v>0</v>
      </c>
    </row>
    <row r="63" spans="1:25" ht="15">
      <c r="A63" s="404"/>
      <c r="B63" s="748" t="s">
        <v>135</v>
      </c>
      <c r="C63" s="748"/>
      <c r="D63" s="748">
        <f>'Development Budget'!G100</f>
        <v>0</v>
      </c>
      <c r="E63" s="748">
        <f>'PreDev Flow of Funds'!Y38</f>
        <v>0</v>
      </c>
      <c r="F63" s="748"/>
      <c r="G63" s="748"/>
      <c r="H63" s="748"/>
      <c r="I63" s="748"/>
      <c r="J63" s="748"/>
      <c r="K63" s="748"/>
      <c r="L63" s="748"/>
      <c r="M63" s="748"/>
      <c r="N63" s="748"/>
      <c r="O63" s="748"/>
      <c r="P63" s="748"/>
      <c r="Q63" s="748"/>
      <c r="R63" s="748">
        <f>(D63-E63)/6</f>
        <v>0</v>
      </c>
      <c r="S63" s="748">
        <f>$R$63</f>
        <v>0</v>
      </c>
      <c r="T63" s="748">
        <f>$R$63</f>
        <v>0</v>
      </c>
      <c r="U63" s="748">
        <f>$R$63</f>
        <v>0</v>
      </c>
      <c r="V63" s="748">
        <f>$R$63</f>
        <v>0</v>
      </c>
      <c r="W63" s="748">
        <f>$R$63</f>
        <v>0</v>
      </c>
      <c r="X63" s="748"/>
      <c r="Y63" s="748">
        <f t="shared" si="3"/>
        <v>0</v>
      </c>
    </row>
    <row r="64" spans="1:25" ht="15">
      <c r="A64" s="404"/>
      <c r="B64" s="748" t="s">
        <v>136</v>
      </c>
      <c r="C64" s="748"/>
      <c r="D64" s="748">
        <f>'Development Budget'!G101</f>
        <v>0</v>
      </c>
      <c r="E64" s="748">
        <f>'PreDev Flow of Funds'!Y31</f>
        <v>0</v>
      </c>
      <c r="F64" s="748">
        <v>0</v>
      </c>
      <c r="G64" s="748">
        <v>0</v>
      </c>
      <c r="H64" s="748">
        <v>0</v>
      </c>
      <c r="I64" s="748">
        <v>0</v>
      </c>
      <c r="J64" s="748">
        <v>0</v>
      </c>
      <c r="K64" s="748">
        <v>0</v>
      </c>
      <c r="L64" s="748">
        <v>0</v>
      </c>
      <c r="M64" s="748">
        <v>0</v>
      </c>
      <c r="N64" s="748">
        <v>0</v>
      </c>
      <c r="O64" s="748">
        <v>0</v>
      </c>
      <c r="P64" s="748">
        <v>0</v>
      </c>
      <c r="Q64" s="748">
        <v>0</v>
      </c>
      <c r="R64" s="748">
        <v>0</v>
      </c>
      <c r="S64" s="748">
        <v>0</v>
      </c>
      <c r="T64" s="748">
        <v>0</v>
      </c>
      <c r="U64" s="748">
        <v>0</v>
      </c>
      <c r="V64" s="748">
        <v>0</v>
      </c>
      <c r="W64" s="748">
        <v>0</v>
      </c>
      <c r="X64" s="748"/>
      <c r="Y64" s="748">
        <f t="shared" si="3"/>
        <v>0</v>
      </c>
    </row>
    <row r="65" spans="1:25" ht="15">
      <c r="A65" s="404"/>
      <c r="B65" s="748" t="s">
        <v>137</v>
      </c>
      <c r="C65" s="748"/>
      <c r="D65" s="748">
        <f>'Development Budget'!G102</f>
        <v>307801.188158968</v>
      </c>
      <c r="E65" s="748">
        <f>'PreDev Flow of Funds'!Y32</f>
        <v>10000</v>
      </c>
      <c r="F65" s="748">
        <v>0</v>
      </c>
      <c r="G65" s="748">
        <v>0</v>
      </c>
      <c r="H65" s="748">
        <v>0</v>
      </c>
      <c r="I65" s="748">
        <v>0</v>
      </c>
      <c r="J65" s="748">
        <v>0</v>
      </c>
      <c r="K65" s="748">
        <v>0</v>
      </c>
      <c r="L65" s="748">
        <v>0</v>
      </c>
      <c r="M65" s="748">
        <v>0</v>
      </c>
      <c r="N65" s="748">
        <v>0</v>
      </c>
      <c r="O65" s="748">
        <v>0</v>
      </c>
      <c r="P65" s="748">
        <v>0</v>
      </c>
      <c r="Q65" s="748">
        <v>0</v>
      </c>
      <c r="R65" s="748">
        <v>0</v>
      </c>
      <c r="S65" s="748">
        <v>0</v>
      </c>
      <c r="T65" s="748">
        <v>0</v>
      </c>
      <c r="U65" s="748">
        <v>0</v>
      </c>
      <c r="V65" s="748">
        <v>0</v>
      </c>
      <c r="W65" s="748">
        <v>0</v>
      </c>
      <c r="X65" s="748"/>
      <c r="Y65" s="748">
        <f t="shared" si="3"/>
        <v>10000</v>
      </c>
    </row>
    <row r="66" spans="1:25" ht="15">
      <c r="A66" s="404"/>
      <c r="B66" s="748" t="s">
        <v>138</v>
      </c>
      <c r="C66" s="748"/>
      <c r="D66" s="748">
        <f>'Development Budget'!G103</f>
        <v>0</v>
      </c>
      <c r="E66" s="748">
        <f>D66</f>
        <v>0</v>
      </c>
      <c r="F66" s="748">
        <v>0</v>
      </c>
      <c r="G66" s="748">
        <v>0</v>
      </c>
      <c r="H66" s="748">
        <v>0</v>
      </c>
      <c r="I66" s="748">
        <v>0</v>
      </c>
      <c r="J66" s="748">
        <v>0</v>
      </c>
      <c r="K66" s="748">
        <v>0</v>
      </c>
      <c r="L66" s="748">
        <v>0</v>
      </c>
      <c r="M66" s="748">
        <v>0</v>
      </c>
      <c r="N66" s="748">
        <v>0</v>
      </c>
      <c r="O66" s="748">
        <v>0</v>
      </c>
      <c r="P66" s="748">
        <v>0</v>
      </c>
      <c r="Q66" s="748">
        <v>0</v>
      </c>
      <c r="R66" s="748">
        <v>0</v>
      </c>
      <c r="S66" s="748">
        <v>0</v>
      </c>
      <c r="T66" s="748">
        <v>0</v>
      </c>
      <c r="U66" s="748">
        <v>0</v>
      </c>
      <c r="V66" s="748">
        <v>0</v>
      </c>
      <c r="W66" s="748">
        <v>0</v>
      </c>
      <c r="X66" s="748"/>
      <c r="Y66" s="748">
        <f t="shared" si="3"/>
        <v>0</v>
      </c>
    </row>
    <row r="67" spans="1:25" ht="15">
      <c r="A67" s="404"/>
      <c r="B67" s="748" t="s">
        <v>139</v>
      </c>
      <c r="C67" s="748"/>
      <c r="D67" s="748">
        <f>'Development Budget'!G105</f>
        <v>0</v>
      </c>
      <c r="E67" s="748">
        <f>'PreDev Flow of Funds'!Y40</f>
        <v>50000</v>
      </c>
      <c r="F67" s="748">
        <v>0</v>
      </c>
      <c r="G67" s="748">
        <v>0</v>
      </c>
      <c r="H67" s="748">
        <v>0</v>
      </c>
      <c r="I67" s="748">
        <v>0</v>
      </c>
      <c r="J67" s="748">
        <v>0</v>
      </c>
      <c r="K67" s="748">
        <v>0</v>
      </c>
      <c r="L67" s="748">
        <v>0</v>
      </c>
      <c r="M67" s="748">
        <v>0</v>
      </c>
      <c r="N67" s="748">
        <v>0</v>
      </c>
      <c r="O67" s="748">
        <v>0</v>
      </c>
      <c r="P67" s="748">
        <v>0</v>
      </c>
      <c r="Q67" s="748">
        <v>0</v>
      </c>
      <c r="R67" s="748">
        <v>0</v>
      </c>
      <c r="S67" s="748">
        <v>0</v>
      </c>
      <c r="T67" s="748">
        <v>0</v>
      </c>
      <c r="U67" s="748">
        <v>0</v>
      </c>
      <c r="V67" s="748">
        <v>0</v>
      </c>
      <c r="W67" s="748">
        <v>0</v>
      </c>
      <c r="X67" s="748"/>
      <c r="Y67" s="748">
        <f t="shared" si="3"/>
        <v>50000</v>
      </c>
    </row>
    <row r="68" spans="1:25" ht="15">
      <c r="A68" s="404"/>
      <c r="B68" s="748" t="s">
        <v>140</v>
      </c>
      <c r="C68" s="748"/>
      <c r="D68" s="749">
        <f>'Development Budget'!G106</f>
        <v>0</v>
      </c>
      <c r="E68" s="748">
        <v>0</v>
      </c>
      <c r="F68" s="748"/>
      <c r="G68" s="748"/>
      <c r="H68" s="748"/>
      <c r="I68" s="748"/>
      <c r="J68" s="748"/>
      <c r="K68" s="748"/>
      <c r="L68" s="748"/>
      <c r="M68" s="748"/>
      <c r="N68" s="748"/>
      <c r="O68" s="748"/>
      <c r="P68" s="748"/>
      <c r="Q68" s="748"/>
      <c r="R68" s="748">
        <f>D68/6</f>
        <v>0</v>
      </c>
      <c r="S68" s="748">
        <f>$R$68</f>
        <v>0</v>
      </c>
      <c r="T68" s="748">
        <f>$R$68</f>
        <v>0</v>
      </c>
      <c r="U68" s="748">
        <f>$R$68</f>
        <v>0</v>
      </c>
      <c r="V68" s="748">
        <f>$R$68</f>
        <v>0</v>
      </c>
      <c r="W68" s="748">
        <f>$R$68</f>
        <v>0</v>
      </c>
      <c r="X68" s="748"/>
      <c r="Y68" s="748">
        <f t="shared" si="3"/>
        <v>0</v>
      </c>
    </row>
    <row r="69" spans="1:25" ht="15">
      <c r="A69" s="402"/>
      <c r="B69" s="748" t="s">
        <v>141</v>
      </c>
      <c r="C69" s="748"/>
      <c r="D69" s="748"/>
      <c r="E69" s="748"/>
      <c r="F69" s="748"/>
      <c r="G69" s="748"/>
      <c r="H69" s="748"/>
      <c r="I69" s="748"/>
      <c r="J69" s="748"/>
      <c r="K69" s="748"/>
      <c r="L69" s="748"/>
      <c r="M69" s="748"/>
      <c r="N69" s="748"/>
      <c r="O69" s="748"/>
      <c r="P69" s="748"/>
      <c r="Q69" s="748"/>
      <c r="R69" s="748"/>
      <c r="S69" s="748"/>
      <c r="T69" s="748"/>
      <c r="U69" s="748"/>
      <c r="V69" s="748"/>
      <c r="W69" s="748"/>
      <c r="X69" s="748"/>
      <c r="Y69" s="748">
        <f t="shared" si="3"/>
        <v>0</v>
      </c>
    </row>
    <row r="70" spans="1:25" ht="15">
      <c r="A70" s="402"/>
      <c r="B70" s="748" t="s">
        <v>142</v>
      </c>
      <c r="C70" s="748"/>
      <c r="D70" s="748">
        <f>'Development Budget'!G108</f>
        <v>0</v>
      </c>
      <c r="E70" s="748">
        <v>0</v>
      </c>
      <c r="F70" s="748"/>
      <c r="G70" s="748"/>
      <c r="H70" s="748"/>
      <c r="I70" s="748"/>
      <c r="J70" s="748"/>
      <c r="K70" s="748"/>
      <c r="L70" s="748"/>
      <c r="M70" s="748"/>
      <c r="N70" s="748"/>
      <c r="O70" s="748"/>
      <c r="P70" s="748"/>
      <c r="Q70" s="748"/>
      <c r="R70" s="748">
        <f>D70/6</f>
        <v>0</v>
      </c>
      <c r="S70" s="748">
        <f>$R$70</f>
        <v>0</v>
      </c>
      <c r="T70" s="748">
        <f>$R$70</f>
        <v>0</v>
      </c>
      <c r="U70" s="748">
        <f>$R$70</f>
        <v>0</v>
      </c>
      <c r="V70" s="748">
        <f>$R$70</f>
        <v>0</v>
      </c>
      <c r="W70" s="748">
        <f>$R$70</f>
        <v>0</v>
      </c>
      <c r="X70" s="748"/>
      <c r="Y70" s="748">
        <f t="shared" si="3"/>
        <v>0</v>
      </c>
    </row>
    <row r="71" spans="1:25" ht="15">
      <c r="A71" s="402"/>
      <c r="B71" s="748" t="s">
        <v>143</v>
      </c>
      <c r="C71" s="748"/>
      <c r="D71" s="748">
        <f>'Development Budget'!G109</f>
        <v>0</v>
      </c>
      <c r="E71" s="748">
        <f>'PreDev Flow of Funds'!Y45</f>
        <v>12000</v>
      </c>
      <c r="F71" s="748">
        <f>(D71-E71)/18</f>
        <v>-666.66666666666663</v>
      </c>
      <c r="G71" s="748">
        <f>$F$71</f>
        <v>-666.66666666666663</v>
      </c>
      <c r="H71" s="748">
        <f t="shared" ref="H71:W71" si="19">$F$71</f>
        <v>-666.66666666666663</v>
      </c>
      <c r="I71" s="748">
        <f t="shared" si="19"/>
        <v>-666.66666666666663</v>
      </c>
      <c r="J71" s="748">
        <f t="shared" si="19"/>
        <v>-666.66666666666663</v>
      </c>
      <c r="K71" s="748">
        <f t="shared" si="19"/>
        <v>-666.66666666666663</v>
      </c>
      <c r="L71" s="748">
        <f t="shared" si="19"/>
        <v>-666.66666666666663</v>
      </c>
      <c r="M71" s="748">
        <f t="shared" si="19"/>
        <v>-666.66666666666663</v>
      </c>
      <c r="N71" s="748">
        <f t="shared" si="19"/>
        <v>-666.66666666666663</v>
      </c>
      <c r="O71" s="748">
        <f t="shared" si="19"/>
        <v>-666.66666666666663</v>
      </c>
      <c r="P71" s="748">
        <f t="shared" si="19"/>
        <v>-666.66666666666663</v>
      </c>
      <c r="Q71" s="748">
        <f t="shared" si="19"/>
        <v>-666.66666666666663</v>
      </c>
      <c r="R71" s="748">
        <f t="shared" si="19"/>
        <v>-666.66666666666663</v>
      </c>
      <c r="S71" s="748">
        <f t="shared" si="19"/>
        <v>-666.66666666666663</v>
      </c>
      <c r="T71" s="748">
        <f t="shared" si="19"/>
        <v>-666.66666666666663</v>
      </c>
      <c r="U71" s="748">
        <f t="shared" si="19"/>
        <v>-666.66666666666663</v>
      </c>
      <c r="V71" s="748">
        <f t="shared" si="19"/>
        <v>-666.66666666666663</v>
      </c>
      <c r="W71" s="748">
        <f t="shared" si="19"/>
        <v>-666.66666666666663</v>
      </c>
      <c r="X71" s="748"/>
      <c r="Y71" s="748">
        <f t="shared" si="3"/>
        <v>2.0463630789890885E-12</v>
      </c>
    </row>
    <row r="72" spans="1:25" ht="15">
      <c r="A72" s="402"/>
      <c r="B72" s="748" t="s">
        <v>144</v>
      </c>
      <c r="C72" s="748"/>
      <c r="D72" s="748">
        <f>'Development Budget'!G110</f>
        <v>0</v>
      </c>
      <c r="E72" s="748">
        <f>'PreDev Flow of Funds'!Y42</f>
        <v>10000</v>
      </c>
      <c r="F72" s="748">
        <v>0</v>
      </c>
      <c r="G72" s="748">
        <v>0</v>
      </c>
      <c r="H72" s="748">
        <v>0</v>
      </c>
      <c r="I72" s="748">
        <v>0</v>
      </c>
      <c r="J72" s="748">
        <v>0</v>
      </c>
      <c r="K72" s="748">
        <v>0</v>
      </c>
      <c r="L72" s="748">
        <v>0</v>
      </c>
      <c r="M72" s="748">
        <v>0</v>
      </c>
      <c r="N72" s="748">
        <v>0</v>
      </c>
      <c r="O72" s="748">
        <v>0</v>
      </c>
      <c r="P72" s="748">
        <v>0</v>
      </c>
      <c r="Q72" s="748">
        <v>0</v>
      </c>
      <c r="R72" s="748">
        <v>0</v>
      </c>
      <c r="S72" s="748">
        <v>0</v>
      </c>
      <c r="T72" s="748">
        <v>0</v>
      </c>
      <c r="U72" s="748">
        <v>0</v>
      </c>
      <c r="V72" s="748">
        <v>0</v>
      </c>
      <c r="W72" s="748">
        <v>0</v>
      </c>
      <c r="X72" s="748"/>
      <c r="Y72" s="748">
        <f t="shared" si="3"/>
        <v>10000</v>
      </c>
    </row>
    <row r="73" spans="1:25" ht="15">
      <c r="A73" s="402"/>
      <c r="B73" s="748" t="s">
        <v>145</v>
      </c>
      <c r="C73" s="748"/>
      <c r="D73" s="748">
        <f>'Development Budget'!G111</f>
        <v>0</v>
      </c>
      <c r="E73" s="748">
        <f>'PreDev Flow of Funds'!Y44</f>
        <v>9999.9999999999964</v>
      </c>
      <c r="F73" s="748">
        <v>0</v>
      </c>
      <c r="G73" s="748">
        <v>0</v>
      </c>
      <c r="H73" s="748">
        <v>0</v>
      </c>
      <c r="I73" s="748">
        <v>0</v>
      </c>
      <c r="J73" s="748">
        <v>0</v>
      </c>
      <c r="K73" s="748">
        <v>0</v>
      </c>
      <c r="L73" s="748">
        <v>0</v>
      </c>
      <c r="M73" s="748">
        <v>0</v>
      </c>
      <c r="N73" s="748">
        <v>0</v>
      </c>
      <c r="O73" s="748">
        <v>0</v>
      </c>
      <c r="P73" s="748">
        <v>0</v>
      </c>
      <c r="Q73" s="748">
        <v>0</v>
      </c>
      <c r="R73" s="748">
        <v>0</v>
      </c>
      <c r="S73" s="748">
        <v>0</v>
      </c>
      <c r="T73" s="748">
        <v>0</v>
      </c>
      <c r="U73" s="748">
        <v>0</v>
      </c>
      <c r="V73" s="748">
        <v>0</v>
      </c>
      <c r="W73" s="748">
        <v>0</v>
      </c>
      <c r="X73" s="748"/>
      <c r="Y73" s="748">
        <f t="shared" si="3"/>
        <v>9999.9999999999964</v>
      </c>
    </row>
    <row r="74" spans="1:25" ht="15">
      <c r="A74" s="402"/>
      <c r="B74" s="748" t="s">
        <v>146</v>
      </c>
      <c r="C74" s="748"/>
      <c r="D74" s="749">
        <f>'Development Budget'!G112</f>
        <v>0</v>
      </c>
      <c r="E74" s="748">
        <v>0</v>
      </c>
      <c r="F74" s="756">
        <v>0</v>
      </c>
      <c r="G74" s="748">
        <f>$F$74</f>
        <v>0</v>
      </c>
      <c r="H74" s="748">
        <f t="shared" ref="H74:W74" si="20">$F$74</f>
        <v>0</v>
      </c>
      <c r="I74" s="748">
        <f t="shared" si="20"/>
        <v>0</v>
      </c>
      <c r="J74" s="748">
        <f t="shared" si="20"/>
        <v>0</v>
      </c>
      <c r="K74" s="748">
        <f t="shared" si="20"/>
        <v>0</v>
      </c>
      <c r="L74" s="748">
        <f t="shared" si="20"/>
        <v>0</v>
      </c>
      <c r="M74" s="748">
        <f t="shared" si="20"/>
        <v>0</v>
      </c>
      <c r="N74" s="748">
        <f t="shared" si="20"/>
        <v>0</v>
      </c>
      <c r="O74" s="748">
        <f t="shared" si="20"/>
        <v>0</v>
      </c>
      <c r="P74" s="748">
        <f t="shared" si="20"/>
        <v>0</v>
      </c>
      <c r="Q74" s="748">
        <f t="shared" si="20"/>
        <v>0</v>
      </c>
      <c r="R74" s="748">
        <f t="shared" si="20"/>
        <v>0</v>
      </c>
      <c r="S74" s="748">
        <f t="shared" si="20"/>
        <v>0</v>
      </c>
      <c r="T74" s="748">
        <f t="shared" si="20"/>
        <v>0</v>
      </c>
      <c r="U74" s="748">
        <f t="shared" si="20"/>
        <v>0</v>
      </c>
      <c r="V74" s="748">
        <f t="shared" si="20"/>
        <v>0</v>
      </c>
      <c r="W74" s="748">
        <f t="shared" si="20"/>
        <v>0</v>
      </c>
      <c r="X74" s="748"/>
      <c r="Y74" s="748">
        <f t="shared" si="3"/>
        <v>0</v>
      </c>
    </row>
    <row r="75" spans="1:25" ht="15">
      <c r="A75" s="402"/>
      <c r="B75" s="748" t="s">
        <v>480</v>
      </c>
      <c r="C75" s="748"/>
      <c r="D75" s="748">
        <f>'Development Budget'!G113</f>
        <v>0</v>
      </c>
      <c r="E75" s="748">
        <f>'PreDev Flow of Funds'!Y39</f>
        <v>50000</v>
      </c>
      <c r="F75" s="748"/>
      <c r="G75" s="748"/>
      <c r="H75" s="748"/>
      <c r="I75" s="748"/>
      <c r="J75" s="748"/>
      <c r="K75" s="748"/>
      <c r="L75" s="748"/>
      <c r="M75" s="748"/>
      <c r="N75" s="748"/>
      <c r="O75" s="748"/>
      <c r="P75" s="748"/>
      <c r="Q75" s="748"/>
      <c r="R75" s="748"/>
      <c r="S75" s="748"/>
      <c r="T75" s="748"/>
      <c r="U75" s="748"/>
      <c r="V75" s="748"/>
      <c r="W75" s="748"/>
      <c r="X75" s="748"/>
      <c r="Y75" s="748">
        <f>SUM(E75:W75)</f>
        <v>50000</v>
      </c>
    </row>
    <row r="76" spans="1:25" ht="15">
      <c r="A76" s="402"/>
      <c r="B76" s="749" t="s">
        <v>371</v>
      </c>
      <c r="C76" s="749"/>
      <c r="D76" s="749">
        <f>'Development Budget'!G115</f>
        <v>0</v>
      </c>
      <c r="E76" s="749">
        <v>0</v>
      </c>
      <c r="F76" s="748">
        <f>D76/18</f>
        <v>0</v>
      </c>
      <c r="G76" s="748">
        <f>$F$76</f>
        <v>0</v>
      </c>
      <c r="H76" s="748">
        <f t="shared" ref="H76:W76" si="21">$F$76</f>
        <v>0</v>
      </c>
      <c r="I76" s="748">
        <f t="shared" si="21"/>
        <v>0</v>
      </c>
      <c r="J76" s="748">
        <f t="shared" si="21"/>
        <v>0</v>
      </c>
      <c r="K76" s="748">
        <f t="shared" si="21"/>
        <v>0</v>
      </c>
      <c r="L76" s="748">
        <f t="shared" si="21"/>
        <v>0</v>
      </c>
      <c r="M76" s="748">
        <f t="shared" si="21"/>
        <v>0</v>
      </c>
      <c r="N76" s="748">
        <f t="shared" si="21"/>
        <v>0</v>
      </c>
      <c r="O76" s="748">
        <f t="shared" si="21"/>
        <v>0</v>
      </c>
      <c r="P76" s="748">
        <f t="shared" si="21"/>
        <v>0</v>
      </c>
      <c r="Q76" s="748">
        <f t="shared" si="21"/>
        <v>0</v>
      </c>
      <c r="R76" s="748">
        <f t="shared" si="21"/>
        <v>0</v>
      </c>
      <c r="S76" s="748">
        <f t="shared" si="21"/>
        <v>0</v>
      </c>
      <c r="T76" s="748">
        <f t="shared" si="21"/>
        <v>0</v>
      </c>
      <c r="U76" s="748">
        <f t="shared" si="21"/>
        <v>0</v>
      </c>
      <c r="V76" s="748">
        <f t="shared" si="21"/>
        <v>0</v>
      </c>
      <c r="W76" s="748">
        <f t="shared" si="21"/>
        <v>0</v>
      </c>
      <c r="X76" s="748"/>
      <c r="Y76" s="748">
        <f>SUM(E76:W76)</f>
        <v>0</v>
      </c>
    </row>
    <row r="77" spans="1:25" ht="14.25" customHeight="1">
      <c r="A77" s="404" t="s">
        <v>150</v>
      </c>
      <c r="B77" s="750"/>
      <c r="C77" s="748"/>
      <c r="D77" s="748"/>
      <c r="E77" s="748"/>
      <c r="F77" s="748"/>
      <c r="G77" s="748"/>
      <c r="H77" s="748"/>
      <c r="I77" s="748"/>
      <c r="J77" s="748"/>
      <c r="K77" s="748"/>
      <c r="L77" s="748"/>
      <c r="M77" s="748"/>
      <c r="N77" s="748"/>
      <c r="O77" s="748"/>
      <c r="P77" s="748"/>
      <c r="Q77" s="748"/>
      <c r="R77" s="748"/>
      <c r="S77" s="748"/>
      <c r="T77" s="748"/>
      <c r="U77" s="748"/>
      <c r="V77" s="748"/>
      <c r="W77" s="748"/>
      <c r="X77" s="748"/>
      <c r="Y77" s="748">
        <f>SUM(E77:W77)</f>
        <v>0</v>
      </c>
    </row>
    <row r="78" spans="1:25" ht="15">
      <c r="A78" s="402"/>
      <c r="B78" s="403" t="s">
        <v>151</v>
      </c>
      <c r="C78" s="748"/>
      <c r="D78" s="749">
        <f>'Development Budget'!G119</f>
        <v>0</v>
      </c>
      <c r="E78" s="748">
        <f>D78*0.25</f>
        <v>0</v>
      </c>
      <c r="F78" s="748"/>
      <c r="G78" s="748"/>
      <c r="H78" s="748"/>
      <c r="I78" s="748"/>
      <c r="J78" s="748"/>
      <c r="K78" s="748"/>
      <c r="L78" s="748"/>
      <c r="M78" s="748"/>
      <c r="N78" s="748">
        <f>(D78*0.25)/2</f>
        <v>0</v>
      </c>
      <c r="O78" s="748"/>
      <c r="P78" s="748"/>
      <c r="Q78" s="748"/>
      <c r="R78" s="748"/>
      <c r="S78" s="748"/>
      <c r="T78" s="748"/>
      <c r="U78" s="748"/>
      <c r="V78" s="748"/>
      <c r="W78" s="748">
        <f>N78</f>
        <v>0</v>
      </c>
      <c r="X78" s="748"/>
      <c r="Y78" s="748">
        <f>SUM(E78:W78)</f>
        <v>0</v>
      </c>
    </row>
    <row r="79" spans="1:25" thickBot="1">
      <c r="A79" s="433"/>
      <c r="B79" s="434"/>
      <c r="C79" s="757"/>
      <c r="D79" s="758"/>
      <c r="E79" s="758"/>
      <c r="F79" s="758"/>
      <c r="G79" s="758"/>
      <c r="H79" s="758"/>
      <c r="I79" s="758"/>
      <c r="J79" s="758"/>
      <c r="K79" s="758"/>
      <c r="L79" s="758"/>
      <c r="M79" s="758"/>
      <c r="N79" s="758"/>
      <c r="O79" s="758"/>
      <c r="P79" s="758"/>
      <c r="Q79" s="758"/>
      <c r="R79" s="758"/>
      <c r="S79" s="758"/>
      <c r="T79" s="758"/>
      <c r="U79" s="758"/>
      <c r="V79" s="758"/>
      <c r="W79" s="758"/>
      <c r="X79" s="758"/>
      <c r="Y79" s="748">
        <f>SUM(E79:W79)</f>
        <v>0</v>
      </c>
    </row>
    <row r="80" spans="1:25" s="415" customFormat="1" ht="17.25" thickTop="1" thickBot="1">
      <c r="A80" s="435" t="s">
        <v>481</v>
      </c>
      <c r="B80" s="436"/>
      <c r="C80" s="420"/>
      <c r="D80" s="437" t="e">
        <f t="shared" ref="D80:Y80" si="22">SUM(D7:D79)</f>
        <v>#REF!</v>
      </c>
      <c r="E80" s="437">
        <f t="shared" si="22"/>
        <v>15441885.251562497</v>
      </c>
      <c r="F80" s="437" t="e">
        <f t="shared" si="22"/>
        <v>#REF!</v>
      </c>
      <c r="G80" s="437" t="e">
        <f t="shared" si="22"/>
        <v>#REF!</v>
      </c>
      <c r="H80" s="437" t="e">
        <f t="shared" si="22"/>
        <v>#REF!</v>
      </c>
      <c r="I80" s="437" t="e">
        <f t="shared" si="22"/>
        <v>#REF!</v>
      </c>
      <c r="J80" s="437" t="e">
        <f t="shared" si="22"/>
        <v>#REF!</v>
      </c>
      <c r="K80" s="437" t="e">
        <f t="shared" si="22"/>
        <v>#REF!</v>
      </c>
      <c r="L80" s="437" t="e">
        <f t="shared" si="22"/>
        <v>#REF!</v>
      </c>
      <c r="M80" s="437" t="e">
        <f t="shared" si="22"/>
        <v>#REF!</v>
      </c>
      <c r="N80" s="437" t="e">
        <f t="shared" si="22"/>
        <v>#REF!</v>
      </c>
      <c r="O80" s="437" t="e">
        <f t="shared" si="22"/>
        <v>#REF!</v>
      </c>
      <c r="P80" s="437" t="e">
        <f t="shared" si="22"/>
        <v>#REF!</v>
      </c>
      <c r="Q80" s="437" t="e">
        <f t="shared" si="22"/>
        <v>#REF!</v>
      </c>
      <c r="R80" s="437" t="e">
        <f t="shared" si="22"/>
        <v>#REF!</v>
      </c>
      <c r="S80" s="437" t="e">
        <f t="shared" si="22"/>
        <v>#REF!</v>
      </c>
      <c r="T80" s="437" t="e">
        <f t="shared" si="22"/>
        <v>#REF!</v>
      </c>
      <c r="U80" s="437" t="e">
        <f t="shared" si="22"/>
        <v>#REF!</v>
      </c>
      <c r="V80" s="437" t="e">
        <f t="shared" si="22"/>
        <v>#REF!</v>
      </c>
      <c r="W80" s="437" t="e">
        <f t="shared" si="22"/>
        <v>#REF!</v>
      </c>
      <c r="X80" s="437">
        <f t="shared" si="22"/>
        <v>0</v>
      </c>
      <c r="Y80" s="437" t="e">
        <f t="shared" si="22"/>
        <v>#REF!</v>
      </c>
    </row>
    <row r="81" spans="1:25" thickTop="1">
      <c r="A81" s="167"/>
      <c r="B81" s="168"/>
      <c r="C81" s="740"/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  <c r="X81" s="740"/>
      <c r="Y81" s="740"/>
    </row>
    <row r="82" spans="1:25" ht="15">
      <c r="A82" s="167"/>
      <c r="B82" s="168"/>
      <c r="C82" s="740"/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  <c r="X82" s="740"/>
      <c r="Y82" s="740"/>
    </row>
    <row r="83" spans="1:25" ht="18.75">
      <c r="A83" s="191" t="s">
        <v>22</v>
      </c>
      <c r="B83" s="165"/>
      <c r="C83" s="165"/>
      <c r="D83" s="165"/>
      <c r="E83" s="165"/>
      <c r="F83" s="165"/>
      <c r="G83" s="165"/>
      <c r="H83" s="165"/>
      <c r="I83" s="165"/>
      <c r="J83" s="165"/>
      <c r="K83" s="165"/>
      <c r="L83" s="165"/>
      <c r="M83" s="165"/>
      <c r="N83" s="165"/>
      <c r="O83" s="165"/>
      <c r="P83" s="165"/>
      <c r="Q83" s="165"/>
      <c r="R83" s="165"/>
      <c r="S83" s="165"/>
      <c r="T83" s="165"/>
      <c r="U83" s="165"/>
      <c r="V83" s="165"/>
      <c r="W83" s="165"/>
      <c r="X83" s="165"/>
      <c r="Y83" s="165"/>
    </row>
    <row r="84" spans="1:25" ht="15">
      <c r="A84" s="402"/>
      <c r="B84" s="749" t="s">
        <v>431</v>
      </c>
      <c r="C84" s="749"/>
      <c r="D84" s="749">
        <f>GapCalc!D28</f>
        <v>83205212.517524853</v>
      </c>
      <c r="E84" s="749">
        <v>0</v>
      </c>
      <c r="F84" s="748"/>
      <c r="G84" s="748"/>
      <c r="H84" s="748"/>
      <c r="I84" s="748"/>
      <c r="J84" s="748"/>
      <c r="K84" s="748"/>
      <c r="L84" s="748"/>
      <c r="M84" s="748" t="e">
        <f>M80-M90</f>
        <v>#REF!</v>
      </c>
      <c r="N84" s="748" t="e">
        <f t="shared" ref="N84:W84" si="23">N80</f>
        <v>#REF!</v>
      </c>
      <c r="O84" s="748" t="e">
        <f t="shared" si="23"/>
        <v>#REF!</v>
      </c>
      <c r="P84" s="748" t="e">
        <f t="shared" si="23"/>
        <v>#REF!</v>
      </c>
      <c r="Q84" s="748" t="e">
        <f t="shared" si="23"/>
        <v>#REF!</v>
      </c>
      <c r="R84" s="748" t="e">
        <f t="shared" si="23"/>
        <v>#REF!</v>
      </c>
      <c r="S84" s="748" t="e">
        <f t="shared" si="23"/>
        <v>#REF!</v>
      </c>
      <c r="T84" s="748" t="e">
        <f t="shared" si="23"/>
        <v>#REF!</v>
      </c>
      <c r="U84" s="748" t="e">
        <f t="shared" si="23"/>
        <v>#REF!</v>
      </c>
      <c r="V84" s="748" t="e">
        <f t="shared" si="23"/>
        <v>#REF!</v>
      </c>
      <c r="W84" s="748" t="e">
        <f t="shared" si="23"/>
        <v>#REF!</v>
      </c>
      <c r="X84" s="748"/>
      <c r="Y84" s="748" t="e">
        <f t="shared" ref="Y84:Y89" si="24">SUM(E84:W84)</f>
        <v>#REF!</v>
      </c>
    </row>
    <row r="85" spans="1:25" ht="15">
      <c r="A85" s="402"/>
      <c r="B85" s="749" t="s">
        <v>466</v>
      </c>
      <c r="C85" s="749"/>
      <c r="D85" s="749">
        <f>'PreDev Flow of Funds'!D52</f>
        <v>5104317.1100000003</v>
      </c>
      <c r="E85" s="749">
        <f>'PreDev Flow of Funds'!Y52</f>
        <v>3788127.6750000007</v>
      </c>
      <c r="F85" s="748"/>
      <c r="G85" s="748"/>
      <c r="H85" s="748"/>
      <c r="I85" s="748"/>
      <c r="J85" s="748"/>
      <c r="K85" s="748"/>
      <c r="L85" s="748"/>
      <c r="M85" s="748"/>
      <c r="N85" s="748"/>
      <c r="O85" s="748"/>
      <c r="P85" s="748"/>
      <c r="Q85" s="748"/>
      <c r="R85" s="748"/>
      <c r="S85" s="748"/>
      <c r="T85" s="748"/>
      <c r="U85" s="748"/>
      <c r="V85" s="748"/>
      <c r="W85" s="748"/>
      <c r="X85" s="748"/>
      <c r="Y85" s="748">
        <f t="shared" si="24"/>
        <v>3788127.6750000007</v>
      </c>
    </row>
    <row r="86" spans="1:25" ht="15">
      <c r="A86" s="402"/>
      <c r="B86" s="749" t="s">
        <v>467</v>
      </c>
      <c r="C86" s="749"/>
      <c r="D86" s="749">
        <f>'PreDev Flow of Funds'!D53</f>
        <v>10553025.4</v>
      </c>
      <c r="E86" s="749">
        <f>'PreDev Flow of Funds'!Y53</f>
        <v>10553025.4</v>
      </c>
      <c r="F86" s="748"/>
      <c r="G86" s="748"/>
      <c r="H86" s="748"/>
      <c r="I86" s="748"/>
      <c r="J86" s="748"/>
      <c r="K86" s="748"/>
      <c r="L86" s="748"/>
      <c r="M86" s="748"/>
      <c r="N86" s="748"/>
      <c r="O86" s="748"/>
      <c r="P86" s="748"/>
      <c r="Q86" s="748"/>
      <c r="R86" s="748"/>
      <c r="S86" s="748"/>
      <c r="T86" s="748"/>
      <c r="U86" s="748"/>
      <c r="V86" s="748"/>
      <c r="W86" s="748"/>
      <c r="X86" s="748"/>
      <c r="Y86" s="748">
        <f t="shared" si="24"/>
        <v>10553025.4</v>
      </c>
    </row>
    <row r="87" spans="1:25" ht="15">
      <c r="A87" s="402"/>
      <c r="B87" s="749" t="s">
        <v>482</v>
      </c>
      <c r="C87" s="749"/>
      <c r="D87" s="749">
        <f>GapCalc!D29-'Construction Flow of Funds'!D86-'Construction Flow of Funds'!D85</f>
        <v>-8715516.717794979</v>
      </c>
      <c r="E87" s="749">
        <f>E80-E84-E85-E86-E88-E89-E90-E91</f>
        <v>600732.17656249553</v>
      </c>
      <c r="F87" s="748" t="e">
        <f>F80</f>
        <v>#REF!</v>
      </c>
      <c r="G87" s="748" t="e">
        <f>G80</f>
        <v>#REF!</v>
      </c>
      <c r="H87" s="748" t="e">
        <f>H80</f>
        <v>#REF!</v>
      </c>
      <c r="I87" s="748" t="e">
        <f>D87-SUM(E87:H87)</f>
        <v>#REF!</v>
      </c>
      <c r="J87" s="748"/>
      <c r="K87" s="748"/>
      <c r="L87" s="748"/>
      <c r="M87" s="748"/>
      <c r="N87" s="748"/>
      <c r="O87" s="748"/>
      <c r="P87" s="748"/>
      <c r="Q87" s="748"/>
      <c r="R87" s="748"/>
      <c r="S87" s="748"/>
      <c r="T87" s="748"/>
      <c r="U87" s="748"/>
      <c r="V87" s="748"/>
      <c r="W87" s="748"/>
      <c r="X87" s="748"/>
      <c r="Y87" s="748" t="e">
        <f t="shared" si="24"/>
        <v>#REF!</v>
      </c>
    </row>
    <row r="88" spans="1:25" ht="15">
      <c r="A88" s="402"/>
      <c r="B88" s="749" t="s">
        <v>30</v>
      </c>
      <c r="C88" s="749"/>
      <c r="D88" s="749">
        <f>GapCalc!D27</f>
        <v>0</v>
      </c>
      <c r="E88" s="749">
        <f>'PreDev Flow of Funds'!Y51</f>
        <v>500000</v>
      </c>
      <c r="F88" s="748"/>
      <c r="G88" s="748"/>
      <c r="H88" s="748"/>
      <c r="I88" s="748" t="e">
        <f>I80-I87</f>
        <v>#REF!</v>
      </c>
      <c r="J88" s="748" t="e">
        <f>J80</f>
        <v>#REF!</v>
      </c>
      <c r="K88" s="748" t="e">
        <f>D88-(SUM(E88:J88))</f>
        <v>#REF!</v>
      </c>
      <c r="L88" s="748"/>
      <c r="M88" s="748"/>
      <c r="N88" s="748"/>
      <c r="O88" s="748"/>
      <c r="P88" s="748"/>
      <c r="Q88" s="748"/>
      <c r="R88" s="748"/>
      <c r="S88" s="748"/>
      <c r="T88" s="748"/>
      <c r="U88" s="748"/>
      <c r="V88" s="748"/>
      <c r="W88" s="748"/>
      <c r="X88" s="748"/>
      <c r="Y88" s="748" t="e">
        <f t="shared" si="24"/>
        <v>#REF!</v>
      </c>
    </row>
    <row r="89" spans="1:25" ht="15">
      <c r="A89" s="70"/>
      <c r="B89" s="749" t="s">
        <v>31</v>
      </c>
      <c r="C89" s="749"/>
      <c r="D89" s="749" t="e">
        <f>GapCalc!#REF!</f>
        <v>#REF!</v>
      </c>
      <c r="E89" s="749">
        <v>0</v>
      </c>
      <c r="F89" s="748"/>
      <c r="G89" s="748"/>
      <c r="H89" s="748"/>
      <c r="I89" s="748"/>
      <c r="J89" s="748"/>
      <c r="K89" s="748" t="e">
        <f>K80-K88</f>
        <v>#REF!</v>
      </c>
      <c r="L89" s="748" t="e">
        <f>D89-K89</f>
        <v>#REF!</v>
      </c>
      <c r="M89" s="748"/>
      <c r="N89" s="748"/>
      <c r="O89" s="748"/>
      <c r="P89" s="748"/>
      <c r="Q89" s="748"/>
      <c r="R89" s="748"/>
      <c r="S89" s="748"/>
      <c r="T89" s="748"/>
      <c r="U89" s="748"/>
      <c r="V89" s="748"/>
      <c r="W89" s="748"/>
      <c r="X89" s="748"/>
      <c r="Y89" s="748" t="e">
        <f t="shared" si="24"/>
        <v>#REF!</v>
      </c>
    </row>
    <row r="90" spans="1:25" ht="15">
      <c r="A90" s="402"/>
      <c r="B90" s="749" t="s">
        <v>25</v>
      </c>
      <c r="C90" s="749"/>
      <c r="D90" s="749" t="e">
        <f>GapCalc!#REF!</f>
        <v>#REF!</v>
      </c>
      <c r="E90" s="749">
        <v>0</v>
      </c>
      <c r="F90" s="748"/>
      <c r="G90" s="748"/>
      <c r="H90" s="748"/>
      <c r="I90" s="748"/>
      <c r="J90" s="748"/>
      <c r="K90" s="748"/>
      <c r="L90" s="748" t="e">
        <f>L80-L89</f>
        <v>#REF!</v>
      </c>
      <c r="M90" s="748" t="e">
        <f>D90-L90</f>
        <v>#REF!</v>
      </c>
      <c r="N90" s="748"/>
      <c r="O90" s="748"/>
      <c r="P90" s="748"/>
      <c r="Q90" s="748"/>
      <c r="R90" s="748"/>
      <c r="S90" s="748"/>
      <c r="T90" s="748"/>
      <c r="U90" s="748"/>
      <c r="V90" s="748"/>
      <c r="W90" s="748"/>
      <c r="X90" s="748"/>
      <c r="Y90" s="748" t="e">
        <f>SUM(E90:W90)</f>
        <v>#REF!</v>
      </c>
    </row>
    <row r="91" spans="1:25" thickBot="1">
      <c r="A91" s="402"/>
      <c r="B91" s="749" t="s">
        <v>27</v>
      </c>
      <c r="C91" s="749"/>
      <c r="D91" s="749">
        <f>GapCalc!D31</f>
        <v>0</v>
      </c>
      <c r="E91" s="749">
        <v>0</v>
      </c>
      <c r="F91" s="748"/>
      <c r="G91" s="748"/>
      <c r="H91" s="748"/>
      <c r="I91" s="748"/>
      <c r="J91" s="748"/>
      <c r="K91" s="748"/>
      <c r="L91" s="748"/>
      <c r="M91" s="748"/>
      <c r="N91" s="748"/>
      <c r="O91" s="748"/>
      <c r="P91" s="748"/>
      <c r="Q91" s="748"/>
      <c r="R91" s="748"/>
      <c r="S91" s="748"/>
      <c r="T91" s="748"/>
      <c r="U91" s="748"/>
      <c r="V91" s="748"/>
      <c r="W91" s="748"/>
      <c r="X91" s="748"/>
      <c r="Y91" s="748">
        <f>SUM(E91:W91)</f>
        <v>0</v>
      </c>
    </row>
    <row r="92" spans="1:25" ht="16.5" hidden="1" thickBot="1">
      <c r="A92" s="192"/>
      <c r="B92" s="174" t="s">
        <v>9</v>
      </c>
    </row>
    <row r="93" spans="1:25" ht="16.5" hidden="1" thickBot="1">
      <c r="A93" s="192"/>
      <c r="B93" s="175" t="s">
        <v>421</v>
      </c>
    </row>
    <row r="94" spans="1:25" ht="16.5" hidden="1" thickBot="1">
      <c r="A94" s="192"/>
      <c r="B94" s="173"/>
    </row>
    <row r="95" spans="1:25" s="417" customFormat="1" ht="17.25" thickTop="1" thickBot="1">
      <c r="A95" s="418" t="s">
        <v>28</v>
      </c>
      <c r="B95" s="419"/>
      <c r="C95" s="419"/>
      <c r="D95" s="420" t="e">
        <f t="shared" ref="D95:Y95" si="25">SUM(D84:D94)</f>
        <v>#REF!</v>
      </c>
      <c r="E95" s="420">
        <f t="shared" si="25"/>
        <v>15441885.251562497</v>
      </c>
      <c r="F95" s="420" t="e">
        <f t="shared" si="25"/>
        <v>#REF!</v>
      </c>
      <c r="G95" s="420" t="e">
        <f t="shared" si="25"/>
        <v>#REF!</v>
      </c>
      <c r="H95" s="420" t="e">
        <f t="shared" si="25"/>
        <v>#REF!</v>
      </c>
      <c r="I95" s="420" t="e">
        <f t="shared" si="25"/>
        <v>#REF!</v>
      </c>
      <c r="J95" s="420" t="e">
        <f t="shared" si="25"/>
        <v>#REF!</v>
      </c>
      <c r="K95" s="420" t="e">
        <f t="shared" si="25"/>
        <v>#REF!</v>
      </c>
      <c r="L95" s="420" t="e">
        <f t="shared" si="25"/>
        <v>#REF!</v>
      </c>
      <c r="M95" s="420" t="e">
        <f t="shared" si="25"/>
        <v>#REF!</v>
      </c>
      <c r="N95" s="420" t="e">
        <f t="shared" si="25"/>
        <v>#REF!</v>
      </c>
      <c r="O95" s="420" t="e">
        <f t="shared" si="25"/>
        <v>#REF!</v>
      </c>
      <c r="P95" s="420" t="e">
        <f t="shared" si="25"/>
        <v>#REF!</v>
      </c>
      <c r="Q95" s="420" t="e">
        <f t="shared" si="25"/>
        <v>#REF!</v>
      </c>
      <c r="R95" s="420" t="e">
        <f t="shared" si="25"/>
        <v>#REF!</v>
      </c>
      <c r="S95" s="420" t="e">
        <f t="shared" si="25"/>
        <v>#REF!</v>
      </c>
      <c r="T95" s="420" t="e">
        <f t="shared" si="25"/>
        <v>#REF!</v>
      </c>
      <c r="U95" s="420" t="e">
        <f t="shared" si="25"/>
        <v>#REF!</v>
      </c>
      <c r="V95" s="420" t="e">
        <f t="shared" si="25"/>
        <v>#REF!</v>
      </c>
      <c r="W95" s="420" t="e">
        <f t="shared" si="25"/>
        <v>#REF!</v>
      </c>
      <c r="X95" s="420">
        <f t="shared" si="25"/>
        <v>0</v>
      </c>
      <c r="Y95" s="420" t="e">
        <f t="shared" si="25"/>
        <v>#REF!</v>
      </c>
    </row>
    <row r="96" spans="1:25" s="31" customFormat="1" thickTop="1">
      <c r="A96" s="167"/>
      <c r="B96" s="424"/>
      <c r="C96" s="424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</row>
    <row r="97" spans="1:25" s="31" customFormat="1" ht="15">
      <c r="A97" s="167"/>
      <c r="B97" s="425" t="str">
        <f>B91</f>
        <v>Deferred Costs</v>
      </c>
      <c r="C97" s="424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</row>
    <row r="98" spans="1:25">
      <c r="C98" s="162" t="str">
        <f>B78</f>
        <v>Developer Fee</v>
      </c>
      <c r="D98" s="162">
        <f>D78-Y78</f>
        <v>0</v>
      </c>
    </row>
    <row r="99" spans="1:25">
      <c r="C99" s="162" t="str">
        <f>B54</f>
        <v>Capitalized Operating Reserves</v>
      </c>
      <c r="D99" s="162">
        <f>D54</f>
        <v>0</v>
      </c>
    </row>
    <row r="100" spans="1:25">
      <c r="C100" s="162" t="str">
        <f>C47</f>
        <v>Title and Recording</v>
      </c>
      <c r="D100" s="162">
        <f>D47</f>
        <v>0</v>
      </c>
    </row>
    <row r="101" spans="1:25">
      <c r="C101" s="162" t="str">
        <f>B74</f>
        <v>Taxes during Lease Up</v>
      </c>
      <c r="D101" s="162">
        <f>D74</f>
        <v>0</v>
      </c>
    </row>
    <row r="103" spans="1:25">
      <c r="D103" s="162">
        <f>SUM(D98:D102)</f>
        <v>0</v>
      </c>
    </row>
    <row r="107" spans="1:25">
      <c r="F107" s="438"/>
    </row>
  </sheetData>
  <mergeCells count="1">
    <mergeCell ref="A5:C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7:F22"/>
  <sheetViews>
    <sheetView workbookViewId="0"/>
  </sheetViews>
  <sheetFormatPr defaultRowHeight="15.75"/>
  <cols>
    <col min="2" max="2" width="12.25" customWidth="1"/>
    <col min="3" max="3" width="10.5" customWidth="1"/>
    <col min="4" max="4" width="11.5" bestFit="1" customWidth="1"/>
    <col min="5" max="5" width="10.75" customWidth="1"/>
    <col min="6" max="6" width="10.125" customWidth="1"/>
  </cols>
  <sheetData>
    <row r="7" spans="2:5">
      <c r="B7" s="759" t="s">
        <v>483</v>
      </c>
      <c r="C7" s="759" t="s">
        <v>484</v>
      </c>
      <c r="D7" s="759" t="s">
        <v>37</v>
      </c>
      <c r="E7" s="690"/>
    </row>
    <row r="8" spans="2:5">
      <c r="B8" s="760">
        <f>150000</f>
        <v>150000</v>
      </c>
      <c r="C8" s="760">
        <f>5000+9000+6000+4000+21272+38000</f>
        <v>83272</v>
      </c>
      <c r="D8" s="760">
        <f>C8+B8</f>
        <v>233272</v>
      </c>
      <c r="E8" s="705" t="s">
        <v>386</v>
      </c>
    </row>
    <row r="9" spans="2:5">
      <c r="B9" s="760">
        <v>295000</v>
      </c>
      <c r="C9" s="760">
        <f>3000+50000+32000+26000+4000+37980+15000</f>
        <v>167980</v>
      </c>
      <c r="D9" s="760">
        <f>C9+B9</f>
        <v>462980</v>
      </c>
      <c r="E9" s="705" t="s">
        <v>388</v>
      </c>
    </row>
    <row r="10" spans="2:5">
      <c r="B10" s="760">
        <v>275000</v>
      </c>
      <c r="C10" s="760">
        <f>20400+80000+32000+26000+4000+66406+93500</f>
        <v>322306</v>
      </c>
      <c r="D10" s="760">
        <f>C10+B10</f>
        <v>597306</v>
      </c>
      <c r="E10" s="690" t="s">
        <v>390</v>
      </c>
    </row>
    <row r="11" spans="2:5" ht="16.5" thickBot="1">
      <c r="B11" s="761">
        <v>95000</v>
      </c>
      <c r="C11" s="761">
        <f>2200+1500+3708</f>
        <v>7408</v>
      </c>
      <c r="D11" s="761">
        <f>C11+B11</f>
        <v>102408</v>
      </c>
      <c r="E11" s="690" t="s">
        <v>392</v>
      </c>
    </row>
    <row r="12" spans="2:5" ht="16.5" thickTop="1">
      <c r="B12" s="760">
        <f>SUM(B8:B11)</f>
        <v>815000</v>
      </c>
      <c r="C12" s="760">
        <f>SUM(C8:C11)</f>
        <v>580966</v>
      </c>
      <c r="D12" s="760">
        <f>C12+B12</f>
        <v>1395966</v>
      </c>
      <c r="E12" s="742" t="s">
        <v>485</v>
      </c>
    </row>
    <row r="13" spans="2:5">
      <c r="B13" s="742"/>
      <c r="C13" s="690"/>
      <c r="D13" s="690"/>
      <c r="E13" s="742"/>
    </row>
    <row r="14" spans="2:5">
      <c r="B14" s="760">
        <f>16000*14</f>
        <v>224000</v>
      </c>
      <c r="C14" s="760">
        <f>2000+28500+9000+8000+12000+21978+14500</f>
        <v>95978</v>
      </c>
      <c r="D14" s="760">
        <f>C14+B14</f>
        <v>319978</v>
      </c>
      <c r="E14" s="742" t="s">
        <v>394</v>
      </c>
    </row>
    <row r="15" spans="2:5">
      <c r="B15" s="760"/>
      <c r="C15" s="760"/>
      <c r="D15" s="760"/>
      <c r="E15" s="742"/>
    </row>
    <row r="16" spans="2:5">
      <c r="B16" s="742">
        <f>B14+B12</f>
        <v>1039000</v>
      </c>
      <c r="C16" s="707">
        <f>C14+C12</f>
        <v>676944</v>
      </c>
      <c r="D16" s="707">
        <f>C16+B16</f>
        <v>1715944</v>
      </c>
      <c r="E16" s="742" t="s">
        <v>37</v>
      </c>
    </row>
    <row r="17" spans="2:6">
      <c r="B17" s="742"/>
      <c r="C17" s="690"/>
      <c r="D17" s="690"/>
      <c r="E17" s="742"/>
    </row>
    <row r="18" spans="2:6">
      <c r="C18" t="s">
        <v>486</v>
      </c>
      <c r="D18" s="421" t="s">
        <v>483</v>
      </c>
      <c r="E18" t="s">
        <v>487</v>
      </c>
    </row>
    <row r="19" spans="2:6">
      <c r="B19" t="s">
        <v>386</v>
      </c>
      <c r="C19" s="421">
        <v>3</v>
      </c>
      <c r="D19" s="147">
        <f>B8/C19</f>
        <v>50000</v>
      </c>
      <c r="E19" s="147">
        <f>C8/C19</f>
        <v>27757.333333333332</v>
      </c>
      <c r="F19" t="s">
        <v>488</v>
      </c>
    </row>
    <row r="20" spans="2:6">
      <c r="B20" t="s">
        <v>388</v>
      </c>
      <c r="C20" s="421">
        <v>6</v>
      </c>
      <c r="D20" s="147">
        <f>B9/C20</f>
        <v>49166.666666666664</v>
      </c>
      <c r="E20" s="147">
        <f>C9/C20</f>
        <v>27996.666666666668</v>
      </c>
      <c r="F20" t="s">
        <v>489</v>
      </c>
    </row>
    <row r="21" spans="2:6">
      <c r="B21" t="s">
        <v>390</v>
      </c>
      <c r="C21" s="421">
        <v>6</v>
      </c>
      <c r="D21" s="147">
        <f>B10/C21</f>
        <v>45833.333333333336</v>
      </c>
      <c r="E21" s="147">
        <f>C10/C21</f>
        <v>53717.666666666664</v>
      </c>
      <c r="F21" t="s">
        <v>490</v>
      </c>
    </row>
    <row r="22" spans="2:6">
      <c r="B22" t="s">
        <v>491</v>
      </c>
      <c r="C22" s="421">
        <v>2</v>
      </c>
      <c r="D22" s="147">
        <f>B11/C22</f>
        <v>47500</v>
      </c>
      <c r="E22" s="147">
        <f>C11/C22</f>
        <v>3704</v>
      </c>
      <c r="F22" s="42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R79"/>
  <sheetViews>
    <sheetView zoomScaleNormal="100" workbookViewId="0"/>
  </sheetViews>
  <sheetFormatPr defaultRowHeight="15.75"/>
  <cols>
    <col min="4" max="4" width="11.25" style="48" bestFit="1" customWidth="1"/>
    <col min="5" max="11" width="11.125" bestFit="1" customWidth="1"/>
    <col min="12" max="12" width="10.375" customWidth="1"/>
  </cols>
  <sheetData>
    <row r="2" spans="1:2">
      <c r="A2" s="40" t="s">
        <v>492</v>
      </c>
      <c r="B2" s="40" t="s">
        <v>493</v>
      </c>
    </row>
    <row r="24" spans="1:18">
      <c r="A24" t="s">
        <v>494</v>
      </c>
    </row>
    <row r="25" spans="1:18">
      <c r="D25" s="48" t="s">
        <v>495</v>
      </c>
      <c r="E25" s="48" t="s">
        <v>496</v>
      </c>
      <c r="F25" t="s">
        <v>497</v>
      </c>
      <c r="G25" t="s">
        <v>498</v>
      </c>
      <c r="H25" t="s">
        <v>499</v>
      </c>
      <c r="M25">
        <v>357</v>
      </c>
      <c r="O25">
        <v>523</v>
      </c>
      <c r="Q25">
        <v>811</v>
      </c>
    </row>
    <row r="26" spans="1:18">
      <c r="B26" t="s">
        <v>500</v>
      </c>
      <c r="D26" s="48">
        <v>69600</v>
      </c>
      <c r="E26" s="48">
        <v>79560</v>
      </c>
      <c r="F26" s="48">
        <v>89520</v>
      </c>
      <c r="G26" s="48">
        <v>99420</v>
      </c>
      <c r="H26" s="426">
        <v>107400</v>
      </c>
      <c r="I26" s="48"/>
      <c r="J26" s="48"/>
      <c r="K26" s="48"/>
      <c r="M26" s="421" t="s">
        <v>51</v>
      </c>
      <c r="N26" t="s">
        <v>501</v>
      </c>
      <c r="O26" s="421" t="s">
        <v>502</v>
      </c>
      <c r="Q26" s="421" t="s">
        <v>503</v>
      </c>
    </row>
    <row r="27" spans="1:18">
      <c r="B27" t="s">
        <v>504</v>
      </c>
      <c r="D27" s="48">
        <v>92800</v>
      </c>
      <c r="E27" s="48">
        <v>106080</v>
      </c>
      <c r="F27" s="48">
        <v>119360</v>
      </c>
      <c r="G27" s="48">
        <v>132560</v>
      </c>
      <c r="H27" s="426">
        <v>143200</v>
      </c>
      <c r="I27" s="48"/>
      <c r="J27" s="48"/>
      <c r="K27" s="48"/>
      <c r="L27" s="54">
        <v>1</v>
      </c>
      <c r="M27" s="48">
        <v>2900</v>
      </c>
      <c r="N27" s="147">
        <f t="shared" ref="N27:N34" si="0">M27/$M$25</f>
        <v>8.1232492997198875</v>
      </c>
      <c r="O27" s="48">
        <v>3106</v>
      </c>
      <c r="P27" s="147">
        <f t="shared" ref="P27:P34" si="1">O27/$O$25</f>
        <v>5.9388145315487568</v>
      </c>
      <c r="Q27" s="48">
        <v>3730</v>
      </c>
      <c r="R27" s="147">
        <f t="shared" ref="R27:R34" si="2">Q27/$Q$25</f>
        <v>4.5992601726263871</v>
      </c>
    </row>
    <row r="28" spans="1:18">
      <c r="B28" t="s">
        <v>505</v>
      </c>
      <c r="D28" s="48">
        <f>D29*0.9</f>
        <v>104400</v>
      </c>
      <c r="E28" s="48">
        <f>E29*0.9</f>
        <v>119340</v>
      </c>
      <c r="F28" s="48">
        <f>F29*0.9</f>
        <v>134280</v>
      </c>
      <c r="G28" s="48">
        <f>G29*0.9</f>
        <v>149130</v>
      </c>
      <c r="H28" s="426">
        <f>H29*0.9</f>
        <v>161100</v>
      </c>
      <c r="I28" s="48"/>
      <c r="J28" s="48"/>
      <c r="K28" s="48"/>
      <c r="L28" s="54">
        <v>0.9</v>
      </c>
      <c r="M28" s="56">
        <f>M27*0.9</f>
        <v>2610</v>
      </c>
      <c r="N28" s="147">
        <f t="shared" si="0"/>
        <v>7.3109243697478989</v>
      </c>
      <c r="O28" s="56">
        <f>O27*0.9</f>
        <v>2795.4</v>
      </c>
      <c r="P28" s="147">
        <f t="shared" si="1"/>
        <v>5.3449330783938818</v>
      </c>
      <c r="Q28" s="56">
        <f>Q27*0.9</f>
        <v>3357</v>
      </c>
      <c r="R28" s="147">
        <f t="shared" si="2"/>
        <v>4.1393341553637484</v>
      </c>
    </row>
    <row r="29" spans="1:18">
      <c r="B29" t="s">
        <v>506</v>
      </c>
      <c r="D29" s="48">
        <v>116000</v>
      </c>
      <c r="E29" s="48">
        <v>132600</v>
      </c>
      <c r="F29" s="48">
        <v>149200</v>
      </c>
      <c r="G29" s="48">
        <v>165700</v>
      </c>
      <c r="H29" s="426">
        <v>179000</v>
      </c>
      <c r="I29" s="48"/>
      <c r="J29" s="48"/>
      <c r="K29" s="48"/>
      <c r="L29" s="54">
        <v>0.85</v>
      </c>
      <c r="M29" s="48">
        <f>M27*0.85</f>
        <v>2465</v>
      </c>
      <c r="N29" s="147">
        <f t="shared" si="0"/>
        <v>6.9047619047619051</v>
      </c>
      <c r="O29" s="48">
        <f>O27*0.85</f>
        <v>2640.1</v>
      </c>
      <c r="P29" s="147">
        <f t="shared" si="1"/>
        <v>5.0479923518164433</v>
      </c>
      <c r="Q29" s="48">
        <f>Q27*0.85</f>
        <v>3170.5</v>
      </c>
      <c r="R29" s="147">
        <f t="shared" si="2"/>
        <v>3.909371146732429</v>
      </c>
    </row>
    <row r="30" spans="1:18">
      <c r="B30" t="s">
        <v>507</v>
      </c>
      <c r="D30" s="48">
        <f>D29*1.1</f>
        <v>127600.00000000001</v>
      </c>
      <c r="E30" s="48">
        <f>E29*1.1</f>
        <v>145860</v>
      </c>
      <c r="F30" s="48">
        <f>F29*1.1</f>
        <v>164120</v>
      </c>
      <c r="G30" s="48">
        <f>G29*1.1</f>
        <v>182270.00000000003</v>
      </c>
      <c r="H30" s="426">
        <f>H29*1.1</f>
        <v>196900.00000000003</v>
      </c>
      <c r="I30" s="48"/>
      <c r="J30" s="48"/>
      <c r="K30" s="48"/>
      <c r="L30" s="54">
        <v>0.8</v>
      </c>
      <c r="M30" s="48">
        <v>2320</v>
      </c>
      <c r="N30" s="147">
        <f t="shared" si="0"/>
        <v>6.4985994397759104</v>
      </c>
      <c r="O30" s="48">
        <v>2486</v>
      </c>
      <c r="P30" s="147">
        <f t="shared" si="1"/>
        <v>4.7533460803059278</v>
      </c>
      <c r="Q30" s="48">
        <v>2984</v>
      </c>
      <c r="R30" s="147">
        <f t="shared" si="2"/>
        <v>3.6794081381011097</v>
      </c>
    </row>
    <row r="31" spans="1:18">
      <c r="B31" t="s">
        <v>508</v>
      </c>
      <c r="D31" s="48">
        <f>D29*1.2</f>
        <v>139200</v>
      </c>
      <c r="E31" s="48">
        <f>E29*1.2</f>
        <v>159120</v>
      </c>
      <c r="F31" s="48">
        <f>F29*1.2</f>
        <v>179040</v>
      </c>
      <c r="G31" s="48">
        <f>G29*1.2</f>
        <v>198840</v>
      </c>
      <c r="H31" s="426">
        <f>H29*1.2</f>
        <v>214800</v>
      </c>
      <c r="I31" s="48"/>
      <c r="J31" s="48"/>
      <c r="K31" s="48"/>
      <c r="L31" s="54">
        <v>0.75</v>
      </c>
      <c r="M31" s="56">
        <f>M27*0.75</f>
        <v>2175</v>
      </c>
      <c r="N31" s="147">
        <f t="shared" si="0"/>
        <v>6.0924369747899156</v>
      </c>
      <c r="O31" s="443">
        <f>O27*0.75</f>
        <v>2329.5</v>
      </c>
      <c r="P31" s="442">
        <f t="shared" si="1"/>
        <v>4.4541108986615683</v>
      </c>
      <c r="Q31" s="443">
        <f>Q27*0.75</f>
        <v>2797.5</v>
      </c>
      <c r="R31" s="442">
        <f t="shared" si="2"/>
        <v>3.4494451294697903</v>
      </c>
    </row>
    <row r="32" spans="1:18">
      <c r="B32" t="s">
        <v>509</v>
      </c>
      <c r="D32" s="48">
        <f>D29*1.3</f>
        <v>150800</v>
      </c>
      <c r="E32" s="48">
        <f>E29*1.3</f>
        <v>172380</v>
      </c>
      <c r="F32" s="48">
        <f>F29*1.3</f>
        <v>193960</v>
      </c>
      <c r="G32" s="48">
        <f>G29*1.3</f>
        <v>215410</v>
      </c>
      <c r="H32" s="426">
        <f>H29*1.3</f>
        <v>232700</v>
      </c>
      <c r="I32" s="48"/>
      <c r="J32" s="48"/>
      <c r="K32" s="48"/>
      <c r="L32" s="440">
        <v>0.7</v>
      </c>
      <c r="M32" s="441">
        <v>2030</v>
      </c>
      <c r="N32" s="442">
        <f t="shared" si="0"/>
        <v>5.6862745098039218</v>
      </c>
      <c r="O32" s="48">
        <v>2175</v>
      </c>
      <c r="P32" s="147">
        <f t="shared" si="1"/>
        <v>4.1586998087954115</v>
      </c>
      <c r="Q32" s="48">
        <v>2611</v>
      </c>
      <c r="R32" s="147">
        <f t="shared" si="2"/>
        <v>3.219482120838471</v>
      </c>
    </row>
    <row r="33" spans="1:18">
      <c r="B33" t="s">
        <v>510</v>
      </c>
      <c r="D33" s="48">
        <f>D29*1.4</f>
        <v>162400</v>
      </c>
      <c r="E33" s="48">
        <f>E29*1.4</f>
        <v>185640</v>
      </c>
      <c r="F33" s="48">
        <f>F29*1.4</f>
        <v>208880</v>
      </c>
      <c r="G33" s="48">
        <f>G29*1.4</f>
        <v>231979.99999999997</v>
      </c>
      <c r="H33" s="426">
        <f>H29*1.4</f>
        <v>250599.99999999997</v>
      </c>
      <c r="I33" s="48"/>
      <c r="J33" s="48"/>
      <c r="K33" s="48"/>
      <c r="L33" s="54">
        <v>0.65</v>
      </c>
      <c r="M33" s="48">
        <f>M27*0.65</f>
        <v>1885</v>
      </c>
      <c r="N33" s="147">
        <f t="shared" si="0"/>
        <v>5.2801120448179271</v>
      </c>
      <c r="O33" s="48">
        <f>O27*0.65</f>
        <v>2018.9</v>
      </c>
      <c r="P33" s="147">
        <f t="shared" si="1"/>
        <v>3.8602294455066923</v>
      </c>
      <c r="Q33" s="48">
        <f>Q27*0.65</f>
        <v>2424.5</v>
      </c>
      <c r="R33" s="147">
        <f t="shared" si="2"/>
        <v>2.9895191122071516</v>
      </c>
    </row>
    <row r="34" spans="1:18">
      <c r="E34" s="48"/>
      <c r="F34" s="48"/>
      <c r="G34" s="48"/>
      <c r="H34" s="48"/>
      <c r="I34" s="48"/>
      <c r="J34" s="48"/>
      <c r="K34" s="48"/>
      <c r="L34" s="54">
        <v>0.6</v>
      </c>
      <c r="M34">
        <v>1740</v>
      </c>
      <c r="N34" s="147">
        <f t="shared" si="0"/>
        <v>4.8739495798319323</v>
      </c>
      <c r="O34" s="48">
        <v>1864</v>
      </c>
      <c r="P34" s="147">
        <f t="shared" si="1"/>
        <v>3.5640535372848947</v>
      </c>
      <c r="Q34" s="48">
        <v>2238</v>
      </c>
      <c r="R34" s="147">
        <f t="shared" si="2"/>
        <v>2.7595561035758323</v>
      </c>
    </row>
    <row r="35" spans="1:18">
      <c r="A35" s="40" t="s">
        <v>511</v>
      </c>
      <c r="B35" s="40" t="s">
        <v>493</v>
      </c>
    </row>
    <row r="37" spans="1:18">
      <c r="L37" t="s">
        <v>512</v>
      </c>
      <c r="M37" s="48">
        <v>2444</v>
      </c>
      <c r="N37">
        <v>4.74</v>
      </c>
      <c r="O37" s="48">
        <v>2882</v>
      </c>
      <c r="P37">
        <v>3.85</v>
      </c>
      <c r="Q37" s="48">
        <v>3465</v>
      </c>
      <c r="R37">
        <v>3.38</v>
      </c>
    </row>
    <row r="38" spans="1:18">
      <c r="L38" t="s">
        <v>513</v>
      </c>
      <c r="M38" s="55">
        <f>(M37-M32)/M32</f>
        <v>0.20394088669950738</v>
      </c>
      <c r="O38" s="55">
        <f>(O37-O31)/O31</f>
        <v>0.23717535951921012</v>
      </c>
      <c r="Q38" s="55">
        <f>(Q37-Q31)/Q31</f>
        <v>0.23860589812332439</v>
      </c>
    </row>
    <row r="42" spans="1:18">
      <c r="L42" s="444" t="s">
        <v>514</v>
      </c>
      <c r="M42" s="55">
        <v>0.15</v>
      </c>
      <c r="N42" t="s">
        <v>515</v>
      </c>
    </row>
    <row r="44" spans="1:18">
      <c r="L44" t="s">
        <v>512</v>
      </c>
      <c r="M44" s="53">
        <f>M37*(1+$M$42)</f>
        <v>2810.6</v>
      </c>
      <c r="O44" s="53">
        <f>O37*(1+$M$42)</f>
        <v>3314.2999999999997</v>
      </c>
      <c r="Q44" s="53">
        <f>Q37*(1+$M$42)</f>
        <v>3984.7499999999995</v>
      </c>
    </row>
    <row r="45" spans="1:18">
      <c r="L45" t="s">
        <v>513</v>
      </c>
      <c r="M45" s="55">
        <f>(M44-M30)/M30</f>
        <v>0.21146551724137927</v>
      </c>
      <c r="N45" t="s">
        <v>516</v>
      </c>
      <c r="O45" s="55">
        <f>(O44-O28)/O28</f>
        <v>0.18562638620590957</v>
      </c>
      <c r="P45" t="s">
        <v>517</v>
      </c>
      <c r="Q45" s="55">
        <f>(Q44-Q28)/Q28</f>
        <v>0.18699731903485242</v>
      </c>
      <c r="R45" t="s">
        <v>517</v>
      </c>
    </row>
    <row r="52" spans="1:11">
      <c r="A52" t="s">
        <v>159</v>
      </c>
    </row>
    <row r="53" spans="1:11">
      <c r="D53" s="48" t="s">
        <v>518</v>
      </c>
      <c r="E53" s="48" t="s">
        <v>519</v>
      </c>
      <c r="F53" t="s">
        <v>520</v>
      </c>
    </row>
    <row r="54" spans="1:11">
      <c r="B54" t="s">
        <v>500</v>
      </c>
      <c r="D54" s="48">
        <v>1659</v>
      </c>
      <c r="E54" s="48">
        <v>1777</v>
      </c>
      <c r="F54" s="48">
        <v>2133</v>
      </c>
      <c r="G54" s="426"/>
      <c r="H54" s="426"/>
      <c r="I54" s="426"/>
      <c r="J54" s="426"/>
      <c r="K54" s="426"/>
    </row>
    <row r="55" spans="1:11">
      <c r="B55" t="s">
        <v>504</v>
      </c>
      <c r="D55" s="48">
        <v>2212</v>
      </c>
      <c r="E55" s="48">
        <v>2370</v>
      </c>
      <c r="F55" s="48">
        <v>2844</v>
      </c>
      <c r="G55" s="426"/>
      <c r="H55" s="426"/>
      <c r="I55" s="426"/>
      <c r="J55" s="426"/>
      <c r="K55" s="426"/>
    </row>
    <row r="56" spans="1:11">
      <c r="B56" t="s">
        <v>505</v>
      </c>
      <c r="D56" s="48">
        <f>D57*0.9</f>
        <v>2487.6</v>
      </c>
      <c r="E56" s="48">
        <f>E57*0.9</f>
        <v>2665.8</v>
      </c>
      <c r="F56" s="48">
        <f>F57*0.9</f>
        <v>3198.6</v>
      </c>
      <c r="G56" s="426"/>
      <c r="H56" s="426"/>
      <c r="I56" s="426"/>
      <c r="J56" s="426"/>
      <c r="K56" s="426"/>
    </row>
    <row r="57" spans="1:11">
      <c r="B57" t="s">
        <v>506</v>
      </c>
      <c r="D57" s="48">
        <v>2764</v>
      </c>
      <c r="E57" s="48">
        <v>2962</v>
      </c>
      <c r="F57" s="48">
        <v>3554</v>
      </c>
      <c r="G57" s="426"/>
      <c r="H57" s="426"/>
      <c r="I57" s="426"/>
      <c r="J57" s="426"/>
      <c r="K57" s="426"/>
    </row>
    <row r="58" spans="1:11">
      <c r="B58" t="s">
        <v>507</v>
      </c>
      <c r="D58" s="48">
        <f>D57*1.1</f>
        <v>3040.4</v>
      </c>
      <c r="E58" s="48">
        <f>E57*1.1</f>
        <v>3258.2000000000003</v>
      </c>
      <c r="F58" s="48">
        <f>F57*1.1</f>
        <v>3909.4</v>
      </c>
      <c r="G58" s="426"/>
      <c r="H58" s="426"/>
      <c r="I58" s="426"/>
      <c r="J58" s="426"/>
      <c r="K58" s="426"/>
    </row>
    <row r="59" spans="1:11">
      <c r="B59" t="s">
        <v>508</v>
      </c>
      <c r="D59" s="48">
        <f>D57*1.2</f>
        <v>3316.7999999999997</v>
      </c>
      <c r="E59" s="48">
        <f>E57*1.2</f>
        <v>3554.4</v>
      </c>
      <c r="F59" s="48">
        <f>F57*1.2</f>
        <v>4264.8</v>
      </c>
      <c r="G59" s="426"/>
      <c r="H59" s="426"/>
      <c r="I59" s="426"/>
      <c r="J59" s="426"/>
      <c r="K59" s="426"/>
    </row>
    <row r="60" spans="1:11">
      <c r="B60" t="s">
        <v>509</v>
      </c>
      <c r="D60" s="48">
        <f>D57*1.3</f>
        <v>3593.2000000000003</v>
      </c>
      <c r="E60" s="48">
        <f>E57*1.3</f>
        <v>3850.6</v>
      </c>
      <c r="F60" s="48">
        <f>F57*1.3</f>
        <v>4620.2</v>
      </c>
      <c r="G60" s="426"/>
      <c r="H60" s="426"/>
      <c r="I60" s="426"/>
      <c r="J60" s="426"/>
      <c r="K60" s="426"/>
    </row>
    <row r="61" spans="1:11">
      <c r="B61" t="s">
        <v>510</v>
      </c>
      <c r="D61" s="48">
        <f>D57*1.4</f>
        <v>3869.6</v>
      </c>
      <c r="E61" s="48">
        <f>E57*1.4</f>
        <v>4146.8</v>
      </c>
      <c r="F61" s="48">
        <f>F57*1.4</f>
        <v>4975.5999999999995</v>
      </c>
      <c r="G61" s="426"/>
      <c r="H61" s="426"/>
      <c r="I61" s="426"/>
      <c r="J61" s="426"/>
      <c r="K61" s="426"/>
    </row>
    <row r="65" spans="1:7">
      <c r="A65" t="s">
        <v>521</v>
      </c>
      <c r="C65" s="48"/>
      <c r="D65"/>
    </row>
    <row r="66" spans="1:7">
      <c r="A66" t="s">
        <v>522</v>
      </c>
      <c r="C66" s="48"/>
      <c r="D66"/>
    </row>
    <row r="67" spans="1:7">
      <c r="C67" s="48"/>
      <c r="D67"/>
    </row>
    <row r="68" spans="1:7">
      <c r="C68" s="423"/>
      <c r="D68"/>
      <c r="E68" t="s">
        <v>523</v>
      </c>
    </row>
    <row r="69" spans="1:7">
      <c r="B69" t="s">
        <v>524</v>
      </c>
      <c r="C69" s="423" t="s">
        <v>525</v>
      </c>
      <c r="D69" t="s">
        <v>37</v>
      </c>
      <c r="E69" t="s">
        <v>524</v>
      </c>
      <c r="F69" t="s">
        <v>525</v>
      </c>
      <c r="G69" t="s">
        <v>37</v>
      </c>
    </row>
    <row r="70" spans="1:7">
      <c r="A70" t="s">
        <v>526</v>
      </c>
      <c r="B70" s="53">
        <v>96</v>
      </c>
      <c r="C70" s="48">
        <v>147</v>
      </c>
      <c r="D70" s="53">
        <v>243</v>
      </c>
      <c r="E70" s="54">
        <v>0.16216216216216217</v>
      </c>
      <c r="F70" s="54">
        <v>0.47115384615384615</v>
      </c>
      <c r="G70" s="54">
        <v>0.26880530973451328</v>
      </c>
    </row>
    <row r="71" spans="1:7">
      <c r="A71" t="s">
        <v>527</v>
      </c>
      <c r="B71" s="53">
        <v>98</v>
      </c>
      <c r="C71" s="48">
        <v>73</v>
      </c>
      <c r="D71" s="53">
        <v>171</v>
      </c>
      <c r="E71" s="54">
        <v>0.16554054054054054</v>
      </c>
      <c r="F71" s="54">
        <v>0.23397435897435898</v>
      </c>
      <c r="G71" s="54">
        <v>0.18915929203539822</v>
      </c>
    </row>
    <row r="72" spans="1:7">
      <c r="A72" t="s">
        <v>528</v>
      </c>
      <c r="B72" s="53">
        <v>67</v>
      </c>
      <c r="C72" s="48">
        <v>29</v>
      </c>
      <c r="D72" s="53">
        <v>96</v>
      </c>
      <c r="E72" s="54">
        <v>0.11317567567567567</v>
      </c>
      <c r="F72" s="54">
        <v>9.2948717948717952E-2</v>
      </c>
      <c r="G72" s="54">
        <v>0.10619469026548672</v>
      </c>
    </row>
    <row r="73" spans="1:7">
      <c r="A73" t="s">
        <v>529</v>
      </c>
      <c r="B73" s="53">
        <v>73</v>
      </c>
      <c r="C73" s="48">
        <v>21</v>
      </c>
      <c r="D73" s="53">
        <v>94</v>
      </c>
      <c r="E73" s="54">
        <v>0.12331081081081081</v>
      </c>
      <c r="F73" s="54">
        <v>6.7307692307692304E-2</v>
      </c>
      <c r="G73" s="54">
        <v>0.10398230088495575</v>
      </c>
    </row>
    <row r="74" spans="1:7">
      <c r="A74" t="s">
        <v>530</v>
      </c>
      <c r="B74" s="53">
        <v>41</v>
      </c>
      <c r="C74" s="48">
        <v>8</v>
      </c>
      <c r="D74" s="53">
        <v>49</v>
      </c>
      <c r="E74" s="54">
        <v>6.9256756756756757E-2</v>
      </c>
      <c r="F74" s="54">
        <v>2.564102564102564E-2</v>
      </c>
      <c r="G74" s="54">
        <v>5.4203539823008851E-2</v>
      </c>
    </row>
    <row r="75" spans="1:7">
      <c r="A75" t="s">
        <v>531</v>
      </c>
      <c r="B75" s="53">
        <v>78</v>
      </c>
      <c r="C75" s="48">
        <v>10</v>
      </c>
      <c r="D75" s="53">
        <v>88</v>
      </c>
      <c r="E75" s="54">
        <v>0.13175675675675674</v>
      </c>
      <c r="F75" s="54">
        <v>3.2051282051282048E-2</v>
      </c>
      <c r="G75" s="54">
        <v>9.7345132743362831E-2</v>
      </c>
    </row>
    <row r="76" spans="1:7">
      <c r="A76" t="s">
        <v>532</v>
      </c>
      <c r="B76" s="53">
        <v>50</v>
      </c>
      <c r="C76" s="48">
        <v>6</v>
      </c>
      <c r="D76" s="53">
        <v>56</v>
      </c>
      <c r="E76" s="54">
        <v>8.4459459459459457E-2</v>
      </c>
      <c r="F76" s="54">
        <v>1.9230769230769232E-2</v>
      </c>
      <c r="G76" s="54">
        <v>6.1946902654867256E-2</v>
      </c>
    </row>
    <row r="77" spans="1:7">
      <c r="A77" t="s">
        <v>533</v>
      </c>
      <c r="B77" s="53">
        <v>45</v>
      </c>
      <c r="C77" s="48">
        <v>9</v>
      </c>
      <c r="D77" s="53">
        <v>54</v>
      </c>
      <c r="E77" s="54">
        <v>7.6013513513513514E-2</v>
      </c>
      <c r="F77" s="54">
        <v>2.8846153846153848E-2</v>
      </c>
      <c r="G77" s="54">
        <v>5.9734513274336286E-2</v>
      </c>
    </row>
    <row r="78" spans="1:7">
      <c r="A78" t="s">
        <v>534</v>
      </c>
      <c r="B78" s="53">
        <v>44</v>
      </c>
      <c r="C78" s="48">
        <v>9</v>
      </c>
      <c r="D78" s="53">
        <v>53</v>
      </c>
      <c r="E78" s="54">
        <v>7.4324324324324328E-2</v>
      </c>
      <c r="F78" s="54">
        <v>2.8846153846153848E-2</v>
      </c>
      <c r="G78" s="54">
        <v>5.8628318584070797E-2</v>
      </c>
    </row>
    <row r="79" spans="1:7">
      <c r="B79" s="53">
        <v>592</v>
      </c>
      <c r="C79" s="48">
        <v>312</v>
      </c>
      <c r="D79" s="53">
        <v>904</v>
      </c>
      <c r="E79" s="54">
        <v>1</v>
      </c>
      <c r="F79" s="54">
        <v>1</v>
      </c>
      <c r="G79" s="54">
        <v>1</v>
      </c>
    </row>
  </sheetData>
  <pageMargins left="0.7" right="0.7" top="0.75" bottom="0.75" header="0.3" footer="0.3"/>
  <pageSetup scale="58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F35"/>
  <sheetViews>
    <sheetView workbookViewId="0">
      <selection activeCell="H35" sqref="H35"/>
    </sheetView>
  </sheetViews>
  <sheetFormatPr defaultRowHeight="15.75"/>
  <cols>
    <col min="2" max="2" width="82.75" customWidth="1"/>
    <col min="5" max="5" width="86.25" customWidth="1"/>
    <col min="6" max="6" width="11.125" bestFit="1" customWidth="1"/>
  </cols>
  <sheetData>
    <row r="2" spans="3:6">
      <c r="C2" s="1157" t="s">
        <v>941</v>
      </c>
    </row>
    <row r="5" spans="3:6">
      <c r="D5" t="s">
        <v>942</v>
      </c>
    </row>
    <row r="6" spans="3:6">
      <c r="E6" t="s">
        <v>943</v>
      </c>
      <c r="F6" s="1310">
        <f>544</f>
        <v>544</v>
      </c>
    </row>
    <row r="7" spans="3:6">
      <c r="D7" t="s">
        <v>944</v>
      </c>
      <c r="F7" s="1310"/>
    </row>
    <row r="8" spans="3:6">
      <c r="F8" s="1310">
        <v>0</v>
      </c>
    </row>
    <row r="9" spans="3:6">
      <c r="D9" t="s">
        <v>945</v>
      </c>
      <c r="F9" s="1310">
        <v>234</v>
      </c>
    </row>
    <row r="10" spans="3:6">
      <c r="F10" s="1310"/>
    </row>
    <row r="11" spans="3:6">
      <c r="D11" t="s">
        <v>946</v>
      </c>
      <c r="F11" s="1310"/>
    </row>
    <row r="12" spans="3:6">
      <c r="E12" t="s">
        <v>947</v>
      </c>
      <c r="F12" s="1310">
        <v>3437</v>
      </c>
    </row>
    <row r="13" spans="3:6">
      <c r="E13" t="s">
        <v>948</v>
      </c>
      <c r="F13" s="1310">
        <v>426</v>
      </c>
    </row>
    <row r="14" spans="3:6">
      <c r="E14" t="s">
        <v>949</v>
      </c>
      <c r="F14" s="1310">
        <f>950+176+167+200</f>
        <v>1493</v>
      </c>
    </row>
    <row r="15" spans="3:6">
      <c r="E15" t="s">
        <v>950</v>
      </c>
      <c r="F15" s="59">
        <v>1357</v>
      </c>
    </row>
    <row r="16" spans="3:6">
      <c r="F16" s="59"/>
    </row>
    <row r="17" spans="3:6">
      <c r="D17" s="1311" t="s">
        <v>59</v>
      </c>
      <c r="F17" s="1312">
        <f>SUM(F6:F16)</f>
        <v>7491</v>
      </c>
    </row>
    <row r="19" spans="3:6">
      <c r="D19" t="s">
        <v>951</v>
      </c>
    </row>
    <row r="20" spans="3:6">
      <c r="D20" t="s">
        <v>952</v>
      </c>
      <c r="F20" s="1313">
        <v>2379</v>
      </c>
    </row>
    <row r="24" spans="3:6">
      <c r="C24" s="1157" t="s">
        <v>953</v>
      </c>
    </row>
    <row r="27" spans="3:6">
      <c r="D27" t="s">
        <v>954</v>
      </c>
    </row>
    <row r="29" spans="3:6">
      <c r="D29" t="s">
        <v>955</v>
      </c>
      <c r="F29" s="1310">
        <v>37.33</v>
      </c>
    </row>
    <row r="31" spans="3:6">
      <c r="D31" t="s">
        <v>956</v>
      </c>
      <c r="E31" s="1314">
        <v>10000000</v>
      </c>
      <c r="F31" s="1310">
        <v>88992.67</v>
      </c>
    </row>
    <row r="33" spans="4:6">
      <c r="D33" t="s">
        <v>957</v>
      </c>
      <c r="F33" t="s">
        <v>958</v>
      </c>
    </row>
    <row r="34" spans="4:6">
      <c r="E34" t="s">
        <v>959</v>
      </c>
      <c r="F34" s="1310">
        <v>1743.09</v>
      </c>
    </row>
    <row r="35" spans="4:6" ht="31.5">
      <c r="E35" s="1315" t="s">
        <v>960</v>
      </c>
    </row>
  </sheetData>
  <hyperlinks>
    <hyperlink ref="C2" r:id="rId1" xr:uid="{92ACE0A6-CE61-40A9-9163-D4DD5DF0DE86}"/>
    <hyperlink ref="C24" r:id="rId2" xr:uid="{23EC008B-F382-4B76-AC12-DECE170422E2}"/>
  </hyperlinks>
  <pageMargins left="0.7" right="0.7" top="0.75" bottom="0.75" header="0.3" footer="0.3"/>
  <pageSetup orientation="portrait" r:id="rId3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18"/>
  <sheetViews>
    <sheetView workbookViewId="0">
      <selection activeCell="I1" sqref="I1"/>
    </sheetView>
  </sheetViews>
  <sheetFormatPr defaultColWidth="8" defaultRowHeight="15.75"/>
  <cols>
    <col min="1" max="1" width="2" style="4" customWidth="1"/>
    <col min="2" max="2" width="30.875" style="162" customWidth="1"/>
    <col min="3" max="4" width="11.125" style="162" customWidth="1"/>
    <col min="5" max="5" width="11.25" style="162" customWidth="1"/>
    <col min="6" max="6" width="10.875" style="162" customWidth="1"/>
    <col min="7" max="7" width="13.125" style="162" customWidth="1"/>
    <col min="8" max="8" width="13" style="162" customWidth="1"/>
    <col min="9" max="9" width="12.125" style="162" customWidth="1"/>
    <col min="10" max="10" width="12.625" style="162" customWidth="1"/>
    <col min="11" max="11" width="12.375" style="162" customWidth="1"/>
    <col min="12" max="12" width="12.625" style="162" customWidth="1"/>
    <col min="13" max="13" width="12.25" style="162" customWidth="1"/>
    <col min="14" max="14" width="12.125" style="162" customWidth="1"/>
    <col min="15" max="16" width="12.25" style="162" customWidth="1"/>
    <col min="17" max="17" width="12" style="70" customWidth="1"/>
    <col min="18" max="18" width="15.875" style="70" customWidth="1"/>
    <col min="19" max="20" width="8" style="70"/>
    <col min="21" max="21" width="10.875" style="70" customWidth="1"/>
    <col min="22" max="16384" width="8" style="70"/>
  </cols>
  <sheetData>
    <row r="1" spans="1:16" ht="21">
      <c r="A1" s="181" t="s">
        <v>373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</row>
    <row r="2" spans="1:16" ht="21">
      <c r="A2" s="181" t="s">
        <v>536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</row>
    <row r="3" spans="1:16" ht="26.25" hidden="1">
      <c r="A3" s="348" t="s">
        <v>537</v>
      </c>
    </row>
    <row r="4" spans="1:16" hidden="1">
      <c r="B4" s="349" t="s">
        <v>538</v>
      </c>
    </row>
    <row r="5" spans="1:16" s="138" customFormat="1" ht="15" hidden="1" customHeight="1">
      <c r="A5" s="1761"/>
      <c r="B5" s="1762"/>
      <c r="C5" s="350" t="s">
        <v>539</v>
      </c>
      <c r="D5" s="350" t="s">
        <v>540</v>
      </c>
      <c r="E5" s="350" t="s">
        <v>541</v>
      </c>
      <c r="F5" s="350" t="s">
        <v>542</v>
      </c>
      <c r="G5" s="350" t="s">
        <v>539</v>
      </c>
      <c r="H5" s="350" t="s">
        <v>540</v>
      </c>
      <c r="I5" s="350" t="s">
        <v>541</v>
      </c>
      <c r="J5" s="350" t="s">
        <v>542</v>
      </c>
      <c r="K5" s="350" t="s">
        <v>539</v>
      </c>
      <c r="L5" s="350" t="s">
        <v>540</v>
      </c>
      <c r="M5" s="350" t="s">
        <v>541</v>
      </c>
      <c r="N5" s="350" t="s">
        <v>542</v>
      </c>
      <c r="O5" s="350" t="s">
        <v>539</v>
      </c>
      <c r="P5" s="350" t="s">
        <v>540</v>
      </c>
    </row>
    <row r="6" spans="1:16" s="138" customFormat="1" ht="15" hidden="1" customHeight="1">
      <c r="A6" s="1763"/>
      <c r="B6" s="1774"/>
      <c r="C6" s="351" t="s">
        <v>543</v>
      </c>
      <c r="D6" s="351" t="s">
        <v>544</v>
      </c>
      <c r="E6" s="351" t="s">
        <v>545</v>
      </c>
      <c r="F6" s="351" t="s">
        <v>546</v>
      </c>
      <c r="G6" s="351" t="s">
        <v>547</v>
      </c>
      <c r="H6" s="351" t="s">
        <v>548</v>
      </c>
      <c r="I6" s="351" t="s">
        <v>549</v>
      </c>
      <c r="J6" s="351" t="s">
        <v>550</v>
      </c>
      <c r="K6" s="351" t="s">
        <v>551</v>
      </c>
      <c r="L6" s="351" t="s">
        <v>552</v>
      </c>
      <c r="M6" s="351" t="s">
        <v>553</v>
      </c>
      <c r="N6" s="351" t="s">
        <v>554</v>
      </c>
      <c r="O6" s="351" t="s">
        <v>555</v>
      </c>
      <c r="P6" s="351" t="s">
        <v>556</v>
      </c>
    </row>
    <row r="7" spans="1:16" ht="15" hidden="1">
      <c r="A7" s="352" t="s">
        <v>557</v>
      </c>
      <c r="B7" s="762"/>
      <c r="C7" s="763"/>
      <c r="D7" s="763"/>
      <c r="E7" s="763"/>
      <c r="F7" s="764"/>
      <c r="G7" s="765"/>
      <c r="H7" s="763"/>
      <c r="I7" s="763"/>
      <c r="J7" s="764"/>
      <c r="K7" s="765"/>
      <c r="L7" s="763"/>
      <c r="M7" s="763"/>
      <c r="N7" s="766"/>
      <c r="O7" s="763"/>
      <c r="P7" s="763"/>
    </row>
    <row r="8" spans="1:16" ht="15" hidden="1">
      <c r="A8" s="353"/>
      <c r="B8" s="751" t="s">
        <v>558</v>
      </c>
      <c r="C8" s="354"/>
      <c r="D8" s="354"/>
      <c r="E8" s="748"/>
      <c r="F8" s="767"/>
      <c r="G8" s="768"/>
      <c r="H8" s="748"/>
      <c r="I8" s="748"/>
      <c r="J8" s="767"/>
      <c r="K8" s="768"/>
      <c r="L8" s="748"/>
      <c r="M8" s="748"/>
      <c r="N8" s="769"/>
      <c r="O8" s="748"/>
      <c r="P8" s="748"/>
    </row>
    <row r="9" spans="1:16" ht="15" hidden="1">
      <c r="A9" s="355"/>
      <c r="B9" s="751" t="s">
        <v>559</v>
      </c>
      <c r="C9" s="748"/>
      <c r="D9" s="748"/>
      <c r="E9" s="354"/>
      <c r="F9" s="767"/>
      <c r="G9" s="768"/>
      <c r="H9" s="748"/>
      <c r="I9" s="748"/>
      <c r="J9" s="767"/>
      <c r="K9" s="768"/>
      <c r="L9" s="748"/>
      <c r="M9" s="748"/>
      <c r="N9" s="769"/>
      <c r="O9" s="748"/>
      <c r="P9" s="748"/>
    </row>
    <row r="10" spans="1:16" ht="15" hidden="1">
      <c r="A10" s="353"/>
      <c r="B10" s="751"/>
      <c r="C10" s="748"/>
      <c r="D10" s="748"/>
      <c r="E10" s="748"/>
      <c r="F10" s="767"/>
      <c r="G10" s="768"/>
      <c r="H10" s="748"/>
      <c r="I10" s="748"/>
      <c r="J10" s="767"/>
      <c r="K10" s="768"/>
      <c r="L10" s="748"/>
      <c r="M10" s="748"/>
      <c r="N10" s="769"/>
      <c r="O10" s="748"/>
      <c r="P10" s="748"/>
    </row>
    <row r="11" spans="1:16" ht="15" hidden="1">
      <c r="A11" s="356" t="s">
        <v>385</v>
      </c>
      <c r="B11" s="770"/>
      <c r="C11" s="770"/>
      <c r="D11" s="770"/>
      <c r="E11" s="770"/>
      <c r="F11" s="771"/>
      <c r="G11" s="772"/>
      <c r="H11" s="770"/>
      <c r="I11" s="770"/>
      <c r="J11" s="771"/>
      <c r="K11" s="772"/>
      <c r="L11" s="770"/>
      <c r="M11" s="770"/>
      <c r="N11" s="773"/>
      <c r="O11" s="770"/>
      <c r="P11" s="770"/>
    </row>
    <row r="12" spans="1:16" ht="15" hidden="1">
      <c r="A12" s="357"/>
      <c r="B12" s="751" t="s">
        <v>560</v>
      </c>
      <c r="C12" s="358"/>
      <c r="D12" s="748"/>
      <c r="E12" s="358"/>
      <c r="F12" s="767"/>
      <c r="G12" s="358"/>
      <c r="H12" s="748"/>
      <c r="I12" s="748"/>
      <c r="J12" s="767"/>
      <c r="K12" s="768"/>
      <c r="L12" s="748"/>
      <c r="M12" s="748"/>
      <c r="N12" s="769"/>
      <c r="O12" s="748"/>
      <c r="P12" s="748"/>
    </row>
    <row r="13" spans="1:16" ht="15" hidden="1">
      <c r="A13" s="353"/>
      <c r="B13" s="751" t="s">
        <v>561</v>
      </c>
      <c r="C13" s="354"/>
      <c r="D13" s="748"/>
      <c r="E13" s="748"/>
      <c r="F13" s="767"/>
      <c r="G13" s="768"/>
      <c r="H13" s="748"/>
      <c r="I13" s="748"/>
      <c r="J13" s="767"/>
      <c r="K13" s="768"/>
      <c r="L13" s="748"/>
      <c r="M13" s="748"/>
      <c r="N13" s="769"/>
      <c r="O13" s="748"/>
      <c r="P13" s="748"/>
    </row>
    <row r="14" spans="1:16" ht="15" hidden="1">
      <c r="A14" s="353"/>
      <c r="B14" s="751" t="s">
        <v>562</v>
      </c>
      <c r="C14" s="748"/>
      <c r="D14" s="354"/>
      <c r="E14" s="354"/>
      <c r="F14" s="748"/>
      <c r="G14" s="748"/>
      <c r="H14" s="748"/>
      <c r="I14" s="748"/>
      <c r="J14" s="767"/>
      <c r="K14" s="768"/>
      <c r="L14" s="748"/>
      <c r="M14" s="748"/>
      <c r="N14" s="769"/>
      <c r="O14" s="748"/>
      <c r="P14" s="748"/>
    </row>
    <row r="15" spans="1:16" ht="15" hidden="1">
      <c r="A15" s="353"/>
      <c r="B15" s="751" t="s">
        <v>563</v>
      </c>
      <c r="C15" s="748"/>
      <c r="D15" s="748"/>
      <c r="E15" s="354"/>
      <c r="F15" s="354"/>
      <c r="G15" s="354"/>
      <c r="H15" s="748"/>
      <c r="I15" s="748"/>
      <c r="J15" s="767"/>
      <c r="K15" s="768"/>
      <c r="L15" s="748"/>
      <c r="M15" s="748"/>
      <c r="N15" s="769"/>
      <c r="O15" s="748"/>
      <c r="P15" s="748"/>
    </row>
    <row r="16" spans="1:16" ht="15" hidden="1">
      <c r="A16" s="355"/>
      <c r="B16" s="751" t="s">
        <v>564</v>
      </c>
      <c r="C16" s="748"/>
      <c r="D16" s="748"/>
      <c r="E16" s="748"/>
      <c r="F16" s="767"/>
      <c r="G16" s="354"/>
      <c r="H16" s="354"/>
      <c r="I16" s="748"/>
      <c r="J16" s="767"/>
      <c r="K16" s="768"/>
      <c r="L16" s="748"/>
      <c r="M16" s="748"/>
      <c r="N16" s="769"/>
      <c r="O16" s="748"/>
      <c r="P16" s="748"/>
    </row>
    <row r="17" spans="1:19" ht="14.25" hidden="1" customHeight="1">
      <c r="A17" s="353"/>
      <c r="B17" s="751" t="s">
        <v>565</v>
      </c>
      <c r="C17" s="748"/>
      <c r="D17" s="748"/>
      <c r="E17" s="748"/>
      <c r="F17" s="767"/>
      <c r="G17" s="768"/>
      <c r="H17" s="358"/>
      <c r="I17" s="358"/>
      <c r="J17" s="767"/>
      <c r="K17" s="768"/>
      <c r="L17" s="748"/>
      <c r="M17" s="748"/>
      <c r="N17" s="769"/>
      <c r="O17" s="748"/>
      <c r="P17" s="748"/>
    </row>
    <row r="18" spans="1:19" ht="15" hidden="1">
      <c r="A18" s="356" t="s">
        <v>566</v>
      </c>
      <c r="B18" s="770"/>
      <c r="C18" s="770"/>
      <c r="D18" s="770"/>
      <c r="E18" s="770"/>
      <c r="F18" s="771"/>
      <c r="G18" s="772"/>
      <c r="H18" s="770"/>
      <c r="I18" s="770"/>
      <c r="J18" s="771"/>
      <c r="K18" s="772"/>
      <c r="L18" s="770"/>
      <c r="M18" s="770"/>
      <c r="N18" s="773"/>
      <c r="O18" s="770"/>
      <c r="P18" s="770"/>
    </row>
    <row r="19" spans="1:19" ht="15" hidden="1">
      <c r="A19" s="355"/>
      <c r="B19" s="751" t="s">
        <v>567</v>
      </c>
      <c r="C19" s="354"/>
      <c r="D19" s="748"/>
      <c r="E19" s="748"/>
      <c r="F19" s="767"/>
      <c r="G19" s="768"/>
      <c r="H19" s="748"/>
      <c r="I19" s="748"/>
      <c r="J19" s="767"/>
      <c r="K19" s="768"/>
      <c r="L19" s="748"/>
      <c r="M19" s="748"/>
      <c r="N19" s="769"/>
      <c r="O19" s="748"/>
      <c r="P19" s="748"/>
    </row>
    <row r="20" spans="1:19" ht="15" hidden="1">
      <c r="A20" s="353"/>
      <c r="B20" s="751" t="s">
        <v>568</v>
      </c>
      <c r="C20" s="748"/>
      <c r="D20" s="748"/>
      <c r="E20" s="748"/>
      <c r="F20" s="354"/>
      <c r="G20" s="768"/>
      <c r="H20" s="748"/>
      <c r="I20" s="748"/>
      <c r="J20" s="767"/>
      <c r="K20" s="768"/>
      <c r="L20" s="748"/>
      <c r="M20" s="748"/>
      <c r="N20" s="769"/>
      <c r="O20" s="748"/>
      <c r="P20" s="748"/>
    </row>
    <row r="21" spans="1:19" ht="15" hidden="1">
      <c r="A21" s="353"/>
      <c r="B21" s="751" t="s">
        <v>569</v>
      </c>
      <c r="C21" s="748"/>
      <c r="D21" s="748"/>
      <c r="E21" s="748"/>
      <c r="F21" s="354"/>
      <c r="G21" s="768"/>
      <c r="H21" s="748"/>
      <c r="I21" s="748"/>
      <c r="J21" s="767"/>
      <c r="K21" s="768"/>
      <c r="L21" s="748"/>
      <c r="M21" s="748"/>
      <c r="N21" s="769"/>
      <c r="O21" s="748"/>
      <c r="P21" s="748"/>
    </row>
    <row r="22" spans="1:19" ht="15" hidden="1">
      <c r="A22" s="353"/>
      <c r="B22" s="751" t="s">
        <v>570</v>
      </c>
      <c r="C22" s="748"/>
      <c r="D22" s="748"/>
      <c r="E22" s="748"/>
      <c r="F22" s="354"/>
      <c r="G22" s="768"/>
      <c r="H22" s="748"/>
      <c r="I22" s="748"/>
      <c r="J22" s="767"/>
      <c r="K22" s="768"/>
      <c r="L22" s="748"/>
      <c r="M22" s="748"/>
      <c r="N22" s="769"/>
      <c r="O22" s="748"/>
      <c r="P22" s="748"/>
    </row>
    <row r="23" spans="1:19" ht="15" hidden="1">
      <c r="A23" s="353"/>
      <c r="B23" s="751" t="s">
        <v>571</v>
      </c>
      <c r="C23" s="748"/>
      <c r="D23" s="748"/>
      <c r="E23" s="748"/>
      <c r="F23" s="748"/>
      <c r="G23" s="768"/>
      <c r="H23" s="767"/>
      <c r="I23" s="751"/>
      <c r="J23" s="767"/>
      <c r="K23" s="768"/>
      <c r="L23" s="748"/>
      <c r="M23" s="748"/>
      <c r="N23" s="769"/>
      <c r="O23" s="354"/>
      <c r="P23" s="748"/>
    </row>
    <row r="24" spans="1:19" ht="15" hidden="1">
      <c r="A24" s="356" t="s">
        <v>572</v>
      </c>
      <c r="B24" s="774"/>
      <c r="C24" s="770"/>
      <c r="D24" s="770"/>
      <c r="E24" s="770"/>
      <c r="F24" s="771"/>
      <c r="G24" s="772"/>
      <c r="H24" s="771"/>
      <c r="I24" s="359" t="s">
        <v>573</v>
      </c>
      <c r="J24" s="775"/>
      <c r="K24" s="772"/>
      <c r="L24" s="770"/>
      <c r="M24" s="770"/>
      <c r="N24" s="773"/>
      <c r="O24" s="770"/>
      <c r="P24" s="770"/>
    </row>
    <row r="25" spans="1:19" ht="15" hidden="1">
      <c r="A25" s="353"/>
      <c r="B25" s="751" t="s">
        <v>401</v>
      </c>
      <c r="C25" s="748"/>
      <c r="D25" s="748"/>
      <c r="E25" s="748"/>
      <c r="F25" s="767"/>
      <c r="G25" s="768"/>
      <c r="H25" s="767"/>
      <c r="I25" s="776"/>
      <c r="J25" s="360"/>
      <c r="K25" s="751"/>
      <c r="L25" s="748"/>
      <c r="M25" s="748"/>
      <c r="N25" s="769"/>
      <c r="O25" s="748"/>
      <c r="P25" s="748"/>
    </row>
    <row r="26" spans="1:19" ht="15" hidden="1">
      <c r="A26" s="353"/>
      <c r="B26" s="751" t="s">
        <v>402</v>
      </c>
      <c r="C26" s="748"/>
      <c r="D26" s="748"/>
      <c r="E26" s="748"/>
      <c r="F26" s="767"/>
      <c r="G26" s="768"/>
      <c r="H26" s="767"/>
      <c r="I26" s="776"/>
      <c r="J26" s="777"/>
      <c r="K26" s="361"/>
      <c r="L26" s="748"/>
      <c r="M26" s="748"/>
      <c r="N26" s="769"/>
      <c r="O26" s="748"/>
      <c r="P26" s="748"/>
    </row>
    <row r="27" spans="1:19" ht="15" hidden="1">
      <c r="A27" s="353"/>
      <c r="B27" s="751" t="s">
        <v>574</v>
      </c>
      <c r="C27" s="748"/>
      <c r="D27" s="748"/>
      <c r="E27" s="748"/>
      <c r="F27" s="767"/>
      <c r="G27" s="768"/>
      <c r="H27" s="767"/>
      <c r="I27" s="776"/>
      <c r="J27" s="777"/>
      <c r="K27" s="362"/>
      <c r="L27" s="354"/>
      <c r="M27" s="748"/>
      <c r="N27" s="769"/>
      <c r="O27" s="748"/>
      <c r="P27" s="748"/>
    </row>
    <row r="28" spans="1:19" s="138" customFormat="1" ht="15.75" hidden="1" customHeight="1">
      <c r="A28" s="353"/>
      <c r="B28" s="751" t="s">
        <v>575</v>
      </c>
      <c r="C28" s="748"/>
      <c r="D28" s="748"/>
      <c r="E28" s="748"/>
      <c r="F28" s="767"/>
      <c r="G28" s="768"/>
      <c r="H28" s="767"/>
      <c r="I28" s="363"/>
      <c r="J28" s="364"/>
      <c r="K28" s="751"/>
      <c r="L28" s="748"/>
      <c r="M28" s="748"/>
      <c r="N28" s="769"/>
      <c r="O28" s="748"/>
      <c r="P28" s="748"/>
    </row>
    <row r="29" spans="1:19" ht="14.25" hidden="1" customHeight="1">
      <c r="A29" s="355"/>
      <c r="B29" s="751" t="s">
        <v>576</v>
      </c>
      <c r="C29" s="748"/>
      <c r="D29" s="748"/>
      <c r="E29" s="748"/>
      <c r="F29" s="767"/>
      <c r="G29" s="768"/>
      <c r="H29" s="767"/>
      <c r="I29" s="776"/>
      <c r="J29" s="365"/>
      <c r="K29" s="362"/>
      <c r="L29" s="748"/>
      <c r="M29" s="748"/>
      <c r="N29" s="769"/>
      <c r="O29" s="748"/>
      <c r="P29" s="748"/>
    </row>
    <row r="30" spans="1:19" ht="14.25" hidden="1" customHeight="1">
      <c r="A30" s="366"/>
      <c r="B30" s="757" t="s">
        <v>577</v>
      </c>
      <c r="C30" s="758"/>
      <c r="D30" s="758"/>
      <c r="E30" s="758"/>
      <c r="F30" s="778"/>
      <c r="G30" s="779"/>
      <c r="H30" s="778"/>
      <c r="I30" s="780"/>
      <c r="J30" s="781"/>
      <c r="K30" s="779"/>
      <c r="L30" s="354"/>
      <c r="M30" s="354"/>
      <c r="N30" s="354"/>
      <c r="O30" s="748"/>
      <c r="P30" s="748"/>
    </row>
    <row r="31" spans="1:19" ht="15" hidden="1">
      <c r="A31" s="367"/>
      <c r="B31" s="782" t="s">
        <v>578</v>
      </c>
      <c r="C31" s="783"/>
      <c r="D31" s="783"/>
      <c r="E31" s="783"/>
      <c r="F31" s="784"/>
      <c r="G31" s="785"/>
      <c r="H31" s="784"/>
      <c r="I31" s="786"/>
      <c r="J31" s="784"/>
      <c r="K31" s="785"/>
      <c r="L31" s="783"/>
      <c r="M31" s="783"/>
      <c r="N31" s="354"/>
      <c r="O31" s="783"/>
      <c r="P31" s="783"/>
      <c r="Q31" s="368" t="s">
        <v>579</v>
      </c>
    </row>
    <row r="32" spans="1:19" hidden="1">
      <c r="B32" s="162" t="s">
        <v>580</v>
      </c>
      <c r="C32" s="162">
        <v>701781.65975000011</v>
      </c>
      <c r="D32" s="162">
        <v>1147600.7861666668</v>
      </c>
      <c r="E32" s="162">
        <v>2545618.8659166666</v>
      </c>
      <c r="F32" s="162">
        <v>5681399.9123333339</v>
      </c>
      <c r="G32" s="162">
        <v>6605646.8720833343</v>
      </c>
      <c r="H32" s="162">
        <v>11169716.391833335</v>
      </c>
      <c r="I32" s="162">
        <v>16104842.945000002</v>
      </c>
      <c r="J32" s="162">
        <f t="shared" ref="J32:O32" si="0">I32</f>
        <v>16104842.945000002</v>
      </c>
      <c r="K32" s="162">
        <f t="shared" si="0"/>
        <v>16104842.945000002</v>
      </c>
      <c r="L32" s="162">
        <f t="shared" si="0"/>
        <v>16104842.945000002</v>
      </c>
      <c r="M32" s="162">
        <f t="shared" si="0"/>
        <v>16104842.945000002</v>
      </c>
      <c r="N32" s="162">
        <f t="shared" si="0"/>
        <v>16104842.945000002</v>
      </c>
      <c r="O32" s="162">
        <f t="shared" si="0"/>
        <v>16104842.945000002</v>
      </c>
      <c r="Q32" s="369">
        <f>O32-R32</f>
        <v>0</v>
      </c>
      <c r="R32" s="370">
        <v>16104842.945</v>
      </c>
      <c r="S32" s="368" t="s">
        <v>581</v>
      </c>
    </row>
    <row r="33" spans="1:19" hidden="1">
      <c r="B33" s="162" t="s">
        <v>16</v>
      </c>
      <c r="I33" s="162">
        <f>(R33*0.25)/2</f>
        <v>6227729</v>
      </c>
      <c r="J33" s="162">
        <f>I33+(R33*0.25)/2</f>
        <v>12455458</v>
      </c>
      <c r="K33" s="162">
        <f>J33+((R33-J33)/4)</f>
        <v>21797051.5</v>
      </c>
      <c r="L33" s="162">
        <f>K33+((R33-J33)/4)</f>
        <v>31138645</v>
      </c>
      <c r="M33" s="162">
        <f>L33+((R33-J33)/4)</f>
        <v>40480238.5</v>
      </c>
      <c r="N33" s="162">
        <f>M33+((R33-J33)/4)</f>
        <v>49821832</v>
      </c>
      <c r="O33" s="162">
        <f>N33</f>
        <v>49821832</v>
      </c>
      <c r="Q33" s="369">
        <f>O33-R33</f>
        <v>0</v>
      </c>
      <c r="R33" s="370">
        <v>49821832</v>
      </c>
      <c r="S33" s="368" t="s">
        <v>582</v>
      </c>
    </row>
    <row r="34" spans="1:19" hidden="1">
      <c r="B34" s="371" t="s">
        <v>583</v>
      </c>
      <c r="C34" s="371"/>
      <c r="D34" s="371"/>
      <c r="E34" s="371"/>
      <c r="F34" s="371"/>
      <c r="G34" s="371"/>
      <c r="H34" s="371"/>
      <c r="I34" s="371">
        <f>($R$34-1033493)/6</f>
        <v>-51095.157500000052</v>
      </c>
      <c r="J34" s="371">
        <f>(($R$34-1033493)/6)+I34</f>
        <v>-102190.3150000001</v>
      </c>
      <c r="K34" s="371">
        <f>(($R$34-1033493)/6)+J34</f>
        <v>-153285.47250000015</v>
      </c>
      <c r="L34" s="371">
        <f>(($R$34-1033493)/6)+K34</f>
        <v>-204380.63000000021</v>
      </c>
      <c r="M34" s="371">
        <f>(($R$34-1033493)/6)+L34</f>
        <v>-255475.78750000027</v>
      </c>
      <c r="N34" s="371">
        <f>(($R$34-1033493)/6)+M34</f>
        <v>-306570.9450000003</v>
      </c>
      <c r="O34" s="371">
        <f>(286645+100000+646848)+N34</f>
        <v>726922.0549999997</v>
      </c>
      <c r="P34" s="371"/>
      <c r="Q34" s="369">
        <f>O34-R34</f>
        <v>0</v>
      </c>
      <c r="R34" s="370">
        <f>R35-R32-R33</f>
        <v>726922.0549999997</v>
      </c>
      <c r="S34" s="368"/>
    </row>
    <row r="35" spans="1:19" hidden="1">
      <c r="B35" s="162" t="s">
        <v>584</v>
      </c>
      <c r="I35" s="372">
        <f>SUM(I32:I34)</f>
        <v>22281476.787500001</v>
      </c>
      <c r="J35" s="372">
        <f t="shared" ref="J35:O35" si="1">SUM(J32:J34)</f>
        <v>28458110.629999999</v>
      </c>
      <c r="K35" s="372">
        <f t="shared" si="1"/>
        <v>37748608.972499996</v>
      </c>
      <c r="L35" s="372">
        <f t="shared" si="1"/>
        <v>47039107.314999998</v>
      </c>
      <c r="M35" s="372">
        <f t="shared" si="1"/>
        <v>56329605.657499999</v>
      </c>
      <c r="N35" s="372">
        <f t="shared" si="1"/>
        <v>65620104</v>
      </c>
      <c r="O35" s="372">
        <f t="shared" si="1"/>
        <v>66653597</v>
      </c>
      <c r="P35" s="372"/>
      <c r="Q35" s="369">
        <f>O35-R35</f>
        <v>0</v>
      </c>
      <c r="R35" s="370">
        <v>66653597</v>
      </c>
      <c r="S35" s="368" t="s">
        <v>585</v>
      </c>
    </row>
    <row r="36" spans="1:19">
      <c r="R36" s="370"/>
      <c r="S36" s="368"/>
    </row>
    <row r="37" spans="1:19" ht="26.25">
      <c r="A37" s="348"/>
    </row>
    <row r="38" spans="1:19" s="368" customFormat="1" ht="15.75" hidden="1" customHeight="1">
      <c r="A38" s="373"/>
      <c r="B38" s="349" t="s">
        <v>586</v>
      </c>
      <c r="C38" s="349"/>
      <c r="D38" s="349"/>
      <c r="E38" s="349"/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</row>
    <row r="39" spans="1:19" s="138" customFormat="1" ht="15" hidden="1" customHeight="1">
      <c r="A39" s="1761"/>
      <c r="B39" s="1762"/>
      <c r="C39" s="374" t="s">
        <v>539</v>
      </c>
      <c r="D39" s="350" t="s">
        <v>540</v>
      </c>
      <c r="E39" s="350" t="s">
        <v>541</v>
      </c>
      <c r="F39" s="375" t="s">
        <v>542</v>
      </c>
      <c r="G39" s="350" t="s">
        <v>539</v>
      </c>
      <c r="H39" s="350" t="s">
        <v>540</v>
      </c>
      <c r="I39" s="350" t="s">
        <v>541</v>
      </c>
      <c r="J39" s="375" t="s">
        <v>542</v>
      </c>
      <c r="K39" s="350" t="s">
        <v>539</v>
      </c>
      <c r="L39" s="350" t="s">
        <v>540</v>
      </c>
      <c r="M39" s="350" t="s">
        <v>541</v>
      </c>
      <c r="N39" s="375" t="s">
        <v>542</v>
      </c>
      <c r="O39" s="350" t="s">
        <v>539</v>
      </c>
      <c r="P39" s="350" t="s">
        <v>540</v>
      </c>
    </row>
    <row r="40" spans="1:19" s="138" customFormat="1" ht="15" hidden="1" customHeight="1">
      <c r="A40" s="1763"/>
      <c r="B40" s="1774"/>
      <c r="C40" s="376" t="s">
        <v>543</v>
      </c>
      <c r="D40" s="351" t="s">
        <v>544</v>
      </c>
      <c r="E40" s="351" t="s">
        <v>545</v>
      </c>
      <c r="F40" s="377" t="s">
        <v>546</v>
      </c>
      <c r="G40" s="351" t="s">
        <v>547</v>
      </c>
      <c r="H40" s="351" t="s">
        <v>548</v>
      </c>
      <c r="I40" s="351" t="s">
        <v>549</v>
      </c>
      <c r="J40" s="377" t="s">
        <v>550</v>
      </c>
      <c r="K40" s="351" t="s">
        <v>551</v>
      </c>
      <c r="L40" s="351" t="s">
        <v>552</v>
      </c>
      <c r="M40" s="351" t="s">
        <v>553</v>
      </c>
      <c r="N40" s="377" t="s">
        <v>554</v>
      </c>
      <c r="O40" s="351" t="s">
        <v>555</v>
      </c>
      <c r="P40" s="351" t="s">
        <v>556</v>
      </c>
    </row>
    <row r="41" spans="1:19" ht="15" hidden="1">
      <c r="A41" s="352" t="s">
        <v>557</v>
      </c>
      <c r="B41" s="762"/>
      <c r="C41" s="763"/>
      <c r="D41" s="763"/>
      <c r="E41" s="763"/>
      <c r="F41" s="764"/>
      <c r="G41" s="765"/>
      <c r="H41" s="763"/>
      <c r="I41" s="763"/>
      <c r="J41" s="764"/>
      <c r="K41" s="765"/>
      <c r="L41" s="763"/>
      <c r="M41" s="763"/>
      <c r="N41" s="766"/>
      <c r="O41" s="763"/>
      <c r="P41" s="763"/>
    </row>
    <row r="42" spans="1:19" ht="15" hidden="1">
      <c r="A42" s="353"/>
      <c r="B42" s="751" t="s">
        <v>558</v>
      </c>
      <c r="C42" s="354"/>
      <c r="D42" s="354"/>
      <c r="E42" s="748"/>
      <c r="F42" s="767"/>
      <c r="G42" s="768"/>
      <c r="H42" s="748"/>
      <c r="I42" s="748"/>
      <c r="J42" s="767"/>
      <c r="K42" s="768"/>
      <c r="L42" s="748"/>
      <c r="M42" s="748"/>
      <c r="N42" s="769"/>
      <c r="O42" s="748"/>
      <c r="P42" s="748"/>
    </row>
    <row r="43" spans="1:19" ht="15" hidden="1">
      <c r="A43" s="355"/>
      <c r="B43" s="751" t="s">
        <v>559</v>
      </c>
      <c r="C43" s="748"/>
      <c r="D43" s="748"/>
      <c r="E43" s="354"/>
      <c r="F43" s="767"/>
      <c r="G43" s="768"/>
      <c r="H43" s="748"/>
      <c r="I43" s="748"/>
      <c r="J43" s="767"/>
      <c r="K43" s="768"/>
      <c r="L43" s="748"/>
      <c r="M43" s="748"/>
      <c r="N43" s="769"/>
      <c r="O43" s="748"/>
      <c r="P43" s="748"/>
    </row>
    <row r="44" spans="1:19" ht="15" hidden="1">
      <c r="A44" s="353"/>
      <c r="B44" s="751"/>
      <c r="C44" s="748"/>
      <c r="D44" s="748"/>
      <c r="E44" s="748"/>
      <c r="F44" s="767"/>
      <c r="G44" s="768"/>
      <c r="H44" s="748"/>
      <c r="I44" s="748"/>
      <c r="J44" s="767"/>
      <c r="K44" s="768"/>
      <c r="L44" s="748"/>
      <c r="M44" s="748"/>
      <c r="N44" s="769"/>
      <c r="O44" s="748"/>
      <c r="P44" s="748"/>
    </row>
    <row r="45" spans="1:19" ht="15" hidden="1">
      <c r="A45" s="356" t="s">
        <v>385</v>
      </c>
      <c r="B45" s="770"/>
      <c r="C45" s="770"/>
      <c r="D45" s="770"/>
      <c r="E45" s="770"/>
      <c r="F45" s="771"/>
      <c r="G45" s="772"/>
      <c r="H45" s="770"/>
      <c r="I45" s="770"/>
      <c r="J45" s="771"/>
      <c r="K45" s="772"/>
      <c r="L45" s="770"/>
      <c r="M45" s="770"/>
      <c r="N45" s="773"/>
      <c r="O45" s="770"/>
      <c r="P45" s="770"/>
    </row>
    <row r="46" spans="1:19" ht="15" hidden="1">
      <c r="A46" s="357"/>
      <c r="B46" s="751" t="s">
        <v>560</v>
      </c>
      <c r="C46" s="358"/>
      <c r="D46" s="358"/>
      <c r="E46" s="358"/>
      <c r="F46" s="358"/>
      <c r="G46" s="748"/>
      <c r="H46" s="748"/>
      <c r="I46" s="748"/>
      <c r="J46" s="767"/>
      <c r="K46" s="768"/>
      <c r="L46" s="748"/>
      <c r="M46" s="748"/>
      <c r="N46" s="769"/>
      <c r="O46" s="748"/>
      <c r="P46" s="748"/>
    </row>
    <row r="47" spans="1:19" ht="15" hidden="1">
      <c r="A47" s="353"/>
      <c r="B47" s="751" t="s">
        <v>561</v>
      </c>
      <c r="C47" s="354"/>
      <c r="D47" s="748"/>
      <c r="E47" s="748"/>
      <c r="F47" s="767"/>
      <c r="G47" s="768"/>
      <c r="H47" s="748"/>
      <c r="I47" s="748"/>
      <c r="J47" s="767"/>
      <c r="K47" s="768"/>
      <c r="L47" s="748"/>
      <c r="M47" s="748"/>
      <c r="N47" s="769"/>
      <c r="O47" s="748"/>
      <c r="P47" s="748"/>
    </row>
    <row r="48" spans="1:19" ht="15" hidden="1">
      <c r="A48" s="353"/>
      <c r="B48" s="751" t="s">
        <v>562</v>
      </c>
      <c r="C48" s="748"/>
      <c r="D48" s="354"/>
      <c r="E48" s="354"/>
      <c r="F48" s="748"/>
      <c r="G48" s="748"/>
      <c r="H48" s="748"/>
      <c r="I48" s="748"/>
      <c r="J48" s="767"/>
      <c r="K48" s="768"/>
      <c r="L48" s="748"/>
      <c r="M48" s="748"/>
      <c r="N48" s="769"/>
      <c r="O48" s="748"/>
      <c r="P48" s="748"/>
    </row>
    <row r="49" spans="1:16" ht="15" hidden="1">
      <c r="A49" s="353"/>
      <c r="B49" s="751" t="s">
        <v>563</v>
      </c>
      <c r="C49" s="748"/>
      <c r="D49" s="748"/>
      <c r="E49" s="354"/>
      <c r="F49" s="354"/>
      <c r="G49" s="354"/>
      <c r="H49" s="748"/>
      <c r="I49" s="748"/>
      <c r="J49" s="767"/>
      <c r="K49" s="768"/>
      <c r="L49" s="748"/>
      <c r="M49" s="748"/>
      <c r="N49" s="769"/>
      <c r="O49" s="748"/>
      <c r="P49" s="748"/>
    </row>
    <row r="50" spans="1:16" ht="15" hidden="1">
      <c r="A50" s="355"/>
      <c r="B50" s="751" t="s">
        <v>564</v>
      </c>
      <c r="C50" s="748"/>
      <c r="D50" s="748"/>
      <c r="E50" s="748"/>
      <c r="F50" s="767"/>
      <c r="G50" s="354"/>
      <c r="H50" s="354"/>
      <c r="I50" s="748"/>
      <c r="J50" s="767"/>
      <c r="K50" s="768"/>
      <c r="L50" s="748"/>
      <c r="M50" s="748"/>
      <c r="N50" s="769"/>
      <c r="O50" s="748"/>
      <c r="P50" s="748"/>
    </row>
    <row r="51" spans="1:16" ht="14.25" hidden="1" customHeight="1">
      <c r="A51" s="353"/>
      <c r="B51" s="751" t="s">
        <v>565</v>
      </c>
      <c r="C51" s="748"/>
      <c r="D51" s="748"/>
      <c r="E51" s="748"/>
      <c r="F51" s="358"/>
      <c r="G51" s="358"/>
      <c r="H51" s="767"/>
      <c r="I51" s="767"/>
      <c r="J51" s="767"/>
      <c r="K51" s="768"/>
      <c r="L51" s="748"/>
      <c r="M51" s="748"/>
      <c r="N51" s="769"/>
      <c r="O51" s="748"/>
      <c r="P51" s="748"/>
    </row>
    <row r="52" spans="1:16" ht="15" hidden="1">
      <c r="A52" s="356" t="s">
        <v>566</v>
      </c>
      <c r="B52" s="770"/>
      <c r="C52" s="770"/>
      <c r="D52" s="770"/>
      <c r="E52" s="770"/>
      <c r="F52" s="771"/>
      <c r="G52" s="772"/>
      <c r="H52" s="770"/>
      <c r="I52" s="770"/>
      <c r="J52" s="771"/>
      <c r="K52" s="772"/>
      <c r="L52" s="770"/>
      <c r="M52" s="770"/>
      <c r="N52" s="773"/>
      <c r="O52" s="770"/>
      <c r="P52" s="770"/>
    </row>
    <row r="53" spans="1:16" ht="15" hidden="1">
      <c r="A53" s="355"/>
      <c r="B53" s="751" t="s">
        <v>567</v>
      </c>
      <c r="C53" s="354"/>
      <c r="D53" s="748"/>
      <c r="E53" s="748"/>
      <c r="F53" s="767"/>
      <c r="G53" s="768"/>
      <c r="H53" s="748"/>
      <c r="I53" s="748"/>
      <c r="J53" s="767"/>
      <c r="K53" s="768"/>
      <c r="L53" s="748"/>
      <c r="M53" s="748"/>
      <c r="N53" s="769"/>
      <c r="O53" s="748"/>
      <c r="P53" s="748"/>
    </row>
    <row r="54" spans="1:16" ht="15" hidden="1">
      <c r="A54" s="353"/>
      <c r="B54" s="751" t="s">
        <v>568</v>
      </c>
      <c r="C54" s="748"/>
      <c r="D54" s="748"/>
      <c r="E54" s="748"/>
      <c r="F54" s="354"/>
      <c r="G54" s="768"/>
      <c r="H54" s="748"/>
      <c r="I54" s="748"/>
      <c r="J54" s="767"/>
      <c r="K54" s="768"/>
      <c r="L54" s="748"/>
      <c r="M54" s="748"/>
      <c r="N54" s="769"/>
      <c r="O54" s="748"/>
      <c r="P54" s="748"/>
    </row>
    <row r="55" spans="1:16" ht="15" hidden="1">
      <c r="A55" s="353"/>
      <c r="B55" s="751" t="s">
        <v>569</v>
      </c>
      <c r="C55" s="748"/>
      <c r="D55" s="748"/>
      <c r="E55" s="748"/>
      <c r="F55" s="354"/>
      <c r="G55" s="768"/>
      <c r="H55" s="748"/>
      <c r="I55" s="748"/>
      <c r="J55" s="767"/>
      <c r="K55" s="768"/>
      <c r="L55" s="748"/>
      <c r="M55" s="748"/>
      <c r="N55" s="769"/>
      <c r="O55" s="748"/>
      <c r="P55" s="748"/>
    </row>
    <row r="56" spans="1:16" ht="15" hidden="1">
      <c r="A56" s="353"/>
      <c r="B56" s="751" t="s">
        <v>570</v>
      </c>
      <c r="C56" s="748"/>
      <c r="D56" s="748"/>
      <c r="E56" s="748"/>
      <c r="F56" s="354"/>
      <c r="G56" s="768"/>
      <c r="H56" s="748"/>
      <c r="I56" s="748"/>
      <c r="J56" s="767"/>
      <c r="K56" s="768"/>
      <c r="L56" s="748"/>
      <c r="M56" s="748"/>
      <c r="N56" s="769"/>
      <c r="O56" s="748"/>
      <c r="P56" s="748"/>
    </row>
    <row r="57" spans="1:16" ht="15" hidden="1">
      <c r="A57" s="353"/>
      <c r="B57" s="751" t="s">
        <v>571</v>
      </c>
      <c r="C57" s="748"/>
      <c r="D57" s="748"/>
      <c r="E57" s="748"/>
      <c r="F57" s="748"/>
      <c r="G57" s="768"/>
      <c r="H57" s="767"/>
      <c r="I57" s="751"/>
      <c r="J57" s="767"/>
      <c r="K57" s="768"/>
      <c r="L57" s="748"/>
      <c r="M57" s="748"/>
      <c r="N57" s="769"/>
      <c r="O57" s="354"/>
      <c r="P57" s="748"/>
    </row>
    <row r="58" spans="1:16" ht="15" hidden="1">
      <c r="A58" s="356" t="s">
        <v>572</v>
      </c>
      <c r="B58" s="774"/>
      <c r="C58" s="770"/>
      <c r="D58" s="770"/>
      <c r="E58" s="770"/>
      <c r="F58" s="771"/>
      <c r="G58" s="772"/>
      <c r="H58" s="771"/>
      <c r="I58" s="359" t="s">
        <v>573</v>
      </c>
      <c r="J58" s="771"/>
      <c r="K58" s="772"/>
      <c r="L58" s="770"/>
      <c r="M58" s="770"/>
      <c r="N58" s="773"/>
      <c r="O58" s="770"/>
      <c r="P58" s="770"/>
    </row>
    <row r="59" spans="1:16" ht="15" hidden="1">
      <c r="A59" s="353"/>
      <c r="B59" s="751" t="s">
        <v>401</v>
      </c>
      <c r="C59" s="748"/>
      <c r="D59" s="748"/>
      <c r="E59" s="748"/>
      <c r="F59" s="767"/>
      <c r="G59" s="768"/>
      <c r="H59" s="378"/>
      <c r="I59" s="780"/>
      <c r="J59" s="768"/>
      <c r="K59" s="768"/>
      <c r="L59" s="748"/>
      <c r="M59" s="748"/>
      <c r="N59" s="769"/>
      <c r="O59" s="748"/>
      <c r="P59" s="748"/>
    </row>
    <row r="60" spans="1:16" ht="15" hidden="1">
      <c r="A60" s="353"/>
      <c r="B60" s="751" t="s">
        <v>402</v>
      </c>
      <c r="C60" s="748"/>
      <c r="D60" s="748"/>
      <c r="E60" s="748"/>
      <c r="F60" s="767"/>
      <c r="G60" s="768"/>
      <c r="H60" s="378"/>
      <c r="I60" s="379"/>
      <c r="J60" s="751"/>
      <c r="K60" s="768"/>
      <c r="L60" s="748"/>
      <c r="M60" s="748"/>
      <c r="N60" s="769"/>
      <c r="O60" s="748"/>
      <c r="P60" s="748"/>
    </row>
    <row r="61" spans="1:16" ht="15" hidden="1">
      <c r="A61" s="353"/>
      <c r="B61" s="751" t="s">
        <v>574</v>
      </c>
      <c r="C61" s="748"/>
      <c r="D61" s="748"/>
      <c r="E61" s="748"/>
      <c r="F61" s="767"/>
      <c r="G61" s="768"/>
      <c r="H61" s="767"/>
      <c r="I61" s="787"/>
      <c r="J61" s="788"/>
      <c r="K61" s="354"/>
      <c r="L61" s="354"/>
      <c r="M61" s="748"/>
      <c r="N61" s="769"/>
      <c r="O61" s="748"/>
      <c r="P61" s="748"/>
    </row>
    <row r="62" spans="1:16" s="138" customFormat="1" ht="15.75" hidden="1" customHeight="1">
      <c r="A62" s="353"/>
      <c r="B62" s="751" t="s">
        <v>575</v>
      </c>
      <c r="C62" s="748"/>
      <c r="D62" s="748"/>
      <c r="E62" s="748"/>
      <c r="F62" s="767"/>
      <c r="G62" s="768"/>
      <c r="H62" s="767"/>
      <c r="I62" s="380"/>
      <c r="J62" s="362"/>
      <c r="K62" s="768"/>
      <c r="L62" s="748"/>
      <c r="M62" s="748"/>
      <c r="N62" s="769"/>
      <c r="O62" s="748"/>
      <c r="P62" s="748"/>
    </row>
    <row r="63" spans="1:16" ht="14.25" hidden="1" customHeight="1">
      <c r="A63" s="355"/>
      <c r="B63" s="751" t="s">
        <v>576</v>
      </c>
      <c r="C63" s="748"/>
      <c r="D63" s="748"/>
      <c r="E63" s="748"/>
      <c r="F63" s="767"/>
      <c r="G63" s="768"/>
      <c r="H63" s="767"/>
      <c r="I63" s="789"/>
      <c r="J63" s="354"/>
      <c r="K63" s="354"/>
      <c r="L63" s="748"/>
      <c r="M63" s="748"/>
      <c r="N63" s="769"/>
      <c r="O63" s="748"/>
      <c r="P63" s="748"/>
    </row>
    <row r="64" spans="1:16" ht="14.25" hidden="1" customHeight="1">
      <c r="A64" s="366"/>
      <c r="B64" s="757" t="s">
        <v>577</v>
      </c>
      <c r="C64" s="758"/>
      <c r="D64" s="758"/>
      <c r="E64" s="758"/>
      <c r="F64" s="778"/>
      <c r="G64" s="779"/>
      <c r="H64" s="778"/>
      <c r="I64" s="780"/>
      <c r="J64" s="778"/>
      <c r="K64" s="779"/>
      <c r="L64" s="354"/>
      <c r="M64" s="354"/>
      <c r="N64" s="354"/>
      <c r="O64" s="748"/>
      <c r="P64" s="748"/>
    </row>
    <row r="65" spans="1:21" ht="15" hidden="1">
      <c r="A65" s="367"/>
      <c r="B65" s="782" t="s">
        <v>578</v>
      </c>
      <c r="C65" s="783"/>
      <c r="D65" s="783"/>
      <c r="E65" s="783"/>
      <c r="F65" s="784"/>
      <c r="G65" s="785"/>
      <c r="H65" s="784"/>
      <c r="I65" s="786"/>
      <c r="J65" s="784"/>
      <c r="K65" s="785"/>
      <c r="L65" s="783"/>
      <c r="M65" s="783"/>
      <c r="N65" s="354"/>
      <c r="O65" s="783"/>
      <c r="P65" s="783"/>
    </row>
    <row r="66" spans="1:21" hidden="1">
      <c r="B66" s="162" t="s">
        <v>580</v>
      </c>
      <c r="C66" s="162">
        <v>701781.65975000011</v>
      </c>
      <c r="D66" s="162">
        <v>1147600.7861666668</v>
      </c>
      <c r="E66" s="162">
        <v>2545618.8659166666</v>
      </c>
      <c r="F66" s="162">
        <v>6181082.3389166668</v>
      </c>
      <c r="G66" s="162">
        <v>11107388.425250001</v>
      </c>
      <c r="H66" s="162">
        <v>16104842.945</v>
      </c>
      <c r="I66" s="162">
        <f t="shared" ref="I66:O66" si="2">H66</f>
        <v>16104842.945</v>
      </c>
      <c r="J66" s="162">
        <f t="shared" si="2"/>
        <v>16104842.945</v>
      </c>
      <c r="K66" s="162">
        <f t="shared" si="2"/>
        <v>16104842.945</v>
      </c>
      <c r="L66" s="162">
        <f t="shared" si="2"/>
        <v>16104842.945</v>
      </c>
      <c r="M66" s="162">
        <f t="shared" si="2"/>
        <v>16104842.945</v>
      </c>
      <c r="N66" s="162">
        <f t="shared" si="2"/>
        <v>16104842.945</v>
      </c>
      <c r="O66" s="162">
        <f t="shared" si="2"/>
        <v>16104842.945</v>
      </c>
      <c r="Q66" s="369">
        <f>O66-R66</f>
        <v>0</v>
      </c>
      <c r="R66" s="370">
        <v>16104842.945</v>
      </c>
      <c r="S66" s="368" t="s">
        <v>581</v>
      </c>
    </row>
    <row r="67" spans="1:21" hidden="1">
      <c r="B67" s="162" t="s">
        <v>16</v>
      </c>
      <c r="I67" s="162">
        <f>(R67*0.25)/2</f>
        <v>6227729</v>
      </c>
      <c r="J67" s="162">
        <f>I67+(R67*0.25)/2</f>
        <v>12455458</v>
      </c>
      <c r="K67" s="162">
        <f>J67+((R67-J67)/4)</f>
        <v>21797051.5</v>
      </c>
      <c r="L67" s="162">
        <f>K67+((R67-J67)/4)</f>
        <v>31138645</v>
      </c>
      <c r="M67" s="162">
        <f>L67+((R67-J67)/4)</f>
        <v>40480238.5</v>
      </c>
      <c r="N67" s="162">
        <f>M67+((R67-J67)/4)</f>
        <v>49821832</v>
      </c>
      <c r="O67" s="162">
        <f>N67</f>
        <v>49821832</v>
      </c>
      <c r="Q67" s="369">
        <f>O67-R67</f>
        <v>0</v>
      </c>
      <c r="R67" s="370">
        <v>49821832</v>
      </c>
      <c r="S67" s="368" t="s">
        <v>582</v>
      </c>
    </row>
    <row r="68" spans="1:21" hidden="1">
      <c r="B68" s="371" t="s">
        <v>583</v>
      </c>
      <c r="C68" s="371"/>
      <c r="D68" s="371"/>
      <c r="E68" s="371"/>
      <c r="F68" s="371"/>
      <c r="G68" s="371"/>
      <c r="H68" s="371"/>
      <c r="I68" s="371">
        <f>(R68-1033493)/6</f>
        <v>-199420.82416666672</v>
      </c>
      <c r="J68" s="371">
        <f>((R68-1033493)/6)+I68</f>
        <v>-398841.64833333343</v>
      </c>
      <c r="K68" s="371">
        <f>((R68-1033493)/6)+J68</f>
        <v>-598262.47250000015</v>
      </c>
      <c r="L68" s="371">
        <f>((R68-1033493)/6)+K68</f>
        <v>-797683.29666666687</v>
      </c>
      <c r="M68" s="371">
        <f>((R68-1033493)/6)+L68</f>
        <v>-997104.12083333358</v>
      </c>
      <c r="N68" s="371">
        <f>((R68-1033493)/6)+M68</f>
        <v>-1196524.9450000003</v>
      </c>
      <c r="O68" s="371">
        <f>(286645+100000+646848)+N68</f>
        <v>-163031.9450000003</v>
      </c>
      <c r="P68" s="371"/>
      <c r="Q68" s="369">
        <f>O68-R68</f>
        <v>0</v>
      </c>
      <c r="R68" s="370">
        <f>R69-R66-R67</f>
        <v>-163031.9450000003</v>
      </c>
      <c r="S68" s="368"/>
    </row>
    <row r="69" spans="1:21" hidden="1">
      <c r="B69" s="162" t="s">
        <v>584</v>
      </c>
      <c r="I69" s="372">
        <f>SUM(I66:I68)</f>
        <v>22133151.120833334</v>
      </c>
      <c r="J69" s="372">
        <f t="shared" ref="J69:O69" si="3">SUM(J66:J68)</f>
        <v>28161459.296666667</v>
      </c>
      <c r="K69" s="372">
        <f t="shared" si="3"/>
        <v>37303631.972499996</v>
      </c>
      <c r="L69" s="372">
        <f t="shared" si="3"/>
        <v>46445804.648333333</v>
      </c>
      <c r="M69" s="372">
        <f t="shared" si="3"/>
        <v>55587977.32416667</v>
      </c>
      <c r="N69" s="372">
        <f t="shared" si="3"/>
        <v>64730150</v>
      </c>
      <c r="O69" s="372">
        <f t="shared" si="3"/>
        <v>65763643</v>
      </c>
      <c r="P69" s="372"/>
      <c r="Q69" s="369">
        <f>O69-R69</f>
        <v>0</v>
      </c>
      <c r="R69" s="370">
        <v>65763643</v>
      </c>
      <c r="S69" s="368" t="s">
        <v>585</v>
      </c>
      <c r="U69" s="162"/>
    </row>
    <row r="70" spans="1:21" hidden="1">
      <c r="R70" s="370">
        <f>C118-R69</f>
        <v>593644</v>
      </c>
      <c r="S70" s="368" t="s">
        <v>587</v>
      </c>
    </row>
    <row r="71" spans="1:21" s="368" customFormat="1" ht="15.75" customHeight="1">
      <c r="A71" s="373"/>
      <c r="B71" s="349" t="s">
        <v>588</v>
      </c>
      <c r="C71" s="349"/>
      <c r="D71" s="349"/>
      <c r="E71" s="349"/>
      <c r="F71" s="349"/>
      <c r="G71" s="349"/>
      <c r="H71" s="349"/>
      <c r="I71" s="349"/>
      <c r="J71" s="349"/>
      <c r="K71" s="349"/>
      <c r="L71" s="349"/>
      <c r="M71" s="349"/>
      <c r="N71" s="349"/>
      <c r="O71" s="349"/>
      <c r="P71" s="349"/>
    </row>
    <row r="72" spans="1:21" ht="15">
      <c r="A72" s="1761"/>
      <c r="B72" s="1762"/>
      <c r="C72" s="374" t="s">
        <v>539</v>
      </c>
      <c r="D72" s="350" t="s">
        <v>540</v>
      </c>
      <c r="E72" s="350" t="s">
        <v>541</v>
      </c>
      <c r="F72" s="375" t="s">
        <v>542</v>
      </c>
      <c r="G72" s="350" t="s">
        <v>539</v>
      </c>
      <c r="H72" s="350" t="s">
        <v>540</v>
      </c>
      <c r="I72" s="350" t="s">
        <v>541</v>
      </c>
      <c r="J72" s="375" t="s">
        <v>542</v>
      </c>
      <c r="K72" s="350" t="s">
        <v>539</v>
      </c>
      <c r="L72" s="350" t="s">
        <v>540</v>
      </c>
      <c r="M72" s="350" t="s">
        <v>541</v>
      </c>
      <c r="N72" s="375" t="s">
        <v>542</v>
      </c>
      <c r="O72" s="350" t="s">
        <v>539</v>
      </c>
      <c r="P72" s="350" t="s">
        <v>540</v>
      </c>
      <c r="Q72" s="138"/>
      <c r="R72" s="138"/>
      <c r="S72" s="138"/>
    </row>
    <row r="73" spans="1:21" ht="15">
      <c r="A73" s="1763"/>
      <c r="B73" s="1764"/>
      <c r="C73" s="381" t="s">
        <v>543</v>
      </c>
      <c r="D73" s="351" t="s">
        <v>544</v>
      </c>
      <c r="E73" s="351" t="s">
        <v>545</v>
      </c>
      <c r="F73" s="382" t="s">
        <v>546</v>
      </c>
      <c r="G73" s="351" t="s">
        <v>547</v>
      </c>
      <c r="H73" s="351" t="s">
        <v>548</v>
      </c>
      <c r="I73" s="351" t="s">
        <v>549</v>
      </c>
      <c r="J73" s="382" t="s">
        <v>550</v>
      </c>
      <c r="K73" s="351" t="s">
        <v>551</v>
      </c>
      <c r="L73" s="351" t="s">
        <v>552</v>
      </c>
      <c r="M73" s="351" t="s">
        <v>553</v>
      </c>
      <c r="N73" s="382" t="s">
        <v>554</v>
      </c>
      <c r="O73" s="351" t="s">
        <v>555</v>
      </c>
      <c r="P73" s="351" t="s">
        <v>556</v>
      </c>
      <c r="Q73" s="138"/>
      <c r="R73" s="138"/>
      <c r="S73" s="138"/>
    </row>
    <row r="74" spans="1:21" ht="15">
      <c r="A74" s="383" t="s">
        <v>557</v>
      </c>
      <c r="B74" s="790"/>
      <c r="C74" s="1765" t="s">
        <v>589</v>
      </c>
      <c r="D74" s="1766"/>
      <c r="E74" s="1766"/>
      <c r="F74" s="1766"/>
      <c r="G74" s="1766"/>
      <c r="H74" s="1766"/>
      <c r="I74" s="1767"/>
      <c r="J74" s="1775" t="s">
        <v>582</v>
      </c>
      <c r="K74" s="1776"/>
      <c r="L74" s="1776"/>
      <c r="M74" s="1776"/>
      <c r="N74" s="1776"/>
      <c r="O74" s="1777"/>
      <c r="P74" s="384" t="s">
        <v>590</v>
      </c>
    </row>
    <row r="75" spans="1:21" ht="15">
      <c r="A75" s="385"/>
      <c r="B75" s="791" t="s">
        <v>558</v>
      </c>
      <c r="C75" s="386"/>
      <c r="D75" s="386"/>
      <c r="E75" s="792"/>
      <c r="F75" s="792"/>
      <c r="G75" s="792"/>
      <c r="H75" s="792"/>
      <c r="I75" s="792"/>
      <c r="J75" s="792"/>
      <c r="K75" s="792"/>
      <c r="L75" s="792"/>
      <c r="M75" s="792"/>
      <c r="N75" s="792"/>
      <c r="O75" s="792"/>
      <c r="P75" s="792"/>
    </row>
    <row r="76" spans="1:21" ht="15">
      <c r="A76" s="387"/>
      <c r="B76" s="791" t="s">
        <v>559</v>
      </c>
      <c r="C76" s="792"/>
      <c r="D76" s="792"/>
      <c r="E76" s="386"/>
      <c r="F76" s="792"/>
      <c r="G76" s="792"/>
      <c r="H76" s="792"/>
      <c r="I76" s="792"/>
      <c r="J76" s="792"/>
      <c r="K76" s="792"/>
      <c r="L76" s="792"/>
      <c r="M76" s="792"/>
      <c r="N76" s="792"/>
      <c r="O76" s="792"/>
      <c r="P76" s="792"/>
    </row>
    <row r="77" spans="1:21" ht="15">
      <c r="A77" s="385"/>
      <c r="B77" s="791"/>
      <c r="C77" s="792"/>
      <c r="D77" s="792"/>
      <c r="E77" s="792"/>
      <c r="F77" s="792"/>
      <c r="G77" s="792"/>
      <c r="H77" s="792"/>
      <c r="I77" s="792"/>
      <c r="J77" s="792"/>
      <c r="K77" s="792"/>
      <c r="L77" s="792"/>
      <c r="M77" s="792"/>
      <c r="N77" s="792"/>
      <c r="O77" s="792"/>
      <c r="P77" s="792"/>
    </row>
    <row r="78" spans="1:21" ht="15">
      <c r="A78" s="388" t="s">
        <v>385</v>
      </c>
      <c r="B78" s="793"/>
      <c r="C78" s="1765"/>
      <c r="D78" s="1766"/>
      <c r="E78" s="1766"/>
      <c r="F78" s="1766"/>
      <c r="G78" s="1766"/>
      <c r="H78" s="1766"/>
      <c r="I78" s="1767"/>
      <c r="J78" s="794"/>
      <c r="K78" s="794"/>
      <c r="L78" s="794"/>
      <c r="M78" s="794"/>
      <c r="N78" s="794"/>
      <c r="O78" s="794"/>
      <c r="P78" s="793"/>
    </row>
    <row r="79" spans="1:21" ht="15">
      <c r="A79" s="389"/>
      <c r="B79" s="791" t="s">
        <v>560</v>
      </c>
      <c r="C79" s="390"/>
      <c r="D79" s="390"/>
      <c r="E79" s="390"/>
      <c r="F79" s="792"/>
      <c r="G79" s="792"/>
      <c r="H79" s="792"/>
      <c r="I79" s="792"/>
      <c r="J79" s="792"/>
      <c r="K79" s="792"/>
      <c r="L79" s="792"/>
      <c r="M79" s="792"/>
      <c r="N79" s="792"/>
      <c r="O79" s="792"/>
      <c r="P79" s="792"/>
    </row>
    <row r="80" spans="1:21" ht="15">
      <c r="A80" s="385"/>
      <c r="B80" s="791" t="s">
        <v>561</v>
      </c>
      <c r="C80" s="386"/>
      <c r="D80" s="386"/>
      <c r="E80" s="792"/>
      <c r="F80" s="792"/>
      <c r="G80" s="792"/>
      <c r="H80" s="792"/>
      <c r="I80" s="792"/>
      <c r="J80" s="792"/>
      <c r="K80" s="792"/>
      <c r="L80" s="792"/>
      <c r="M80" s="792"/>
      <c r="N80" s="792"/>
      <c r="O80" s="792"/>
      <c r="P80" s="792"/>
    </row>
    <row r="81" spans="1:19" ht="15">
      <c r="A81" s="385"/>
      <c r="B81" s="791" t="s">
        <v>562</v>
      </c>
      <c r="C81" s="792"/>
      <c r="D81" s="386"/>
      <c r="E81" s="386"/>
      <c r="F81" s="792"/>
      <c r="G81" s="792"/>
      <c r="H81" s="792"/>
      <c r="I81" s="792"/>
      <c r="J81" s="792"/>
      <c r="K81" s="792"/>
      <c r="L81" s="792"/>
      <c r="M81" s="792"/>
      <c r="N81" s="792"/>
      <c r="O81" s="792"/>
      <c r="P81" s="792"/>
    </row>
    <row r="82" spans="1:19" ht="15">
      <c r="A82" s="385"/>
      <c r="B82" s="791" t="s">
        <v>563</v>
      </c>
      <c r="C82" s="792"/>
      <c r="D82" s="792"/>
      <c r="E82" s="386"/>
      <c r="F82" s="386"/>
      <c r="G82" s="386"/>
      <c r="H82" s="792"/>
      <c r="I82" s="792"/>
      <c r="J82" s="792"/>
      <c r="K82" s="792"/>
      <c r="L82" s="792"/>
      <c r="M82" s="792"/>
      <c r="N82" s="792"/>
      <c r="O82" s="792"/>
      <c r="P82" s="792"/>
    </row>
    <row r="83" spans="1:19" ht="15">
      <c r="A83" s="387"/>
      <c r="B83" s="791" t="s">
        <v>564</v>
      </c>
      <c r="C83" s="792"/>
      <c r="D83" s="792"/>
      <c r="E83" s="792"/>
      <c r="F83" s="792"/>
      <c r="G83" s="386"/>
      <c r="H83" s="386"/>
      <c r="I83" s="792"/>
      <c r="J83" s="792"/>
      <c r="K83" s="792"/>
      <c r="L83" s="792"/>
      <c r="M83" s="792"/>
      <c r="N83" s="792"/>
      <c r="O83" s="792"/>
      <c r="P83" s="792"/>
    </row>
    <row r="84" spans="1:19" ht="15">
      <c r="A84" s="385"/>
      <c r="B84" s="791" t="s">
        <v>565</v>
      </c>
      <c r="C84" s="792"/>
      <c r="D84" s="792"/>
      <c r="E84" s="792"/>
      <c r="F84" s="390"/>
      <c r="G84" s="390"/>
      <c r="H84" s="792"/>
      <c r="I84" s="792"/>
      <c r="J84" s="792"/>
      <c r="K84" s="792"/>
      <c r="L84" s="792"/>
      <c r="M84" s="792"/>
      <c r="N84" s="792"/>
      <c r="O84" s="792"/>
      <c r="P84" s="792"/>
    </row>
    <row r="85" spans="1:19" ht="15">
      <c r="A85" s="388" t="s">
        <v>566</v>
      </c>
      <c r="B85" s="793"/>
      <c r="C85" s="1765"/>
      <c r="D85" s="1766"/>
      <c r="E85" s="1766"/>
      <c r="F85" s="1766"/>
      <c r="G85" s="1766"/>
      <c r="H85" s="1766"/>
      <c r="I85" s="1767"/>
      <c r="J85" s="794"/>
      <c r="K85" s="794"/>
      <c r="L85" s="794"/>
      <c r="M85" s="794"/>
      <c r="N85" s="794"/>
      <c r="O85" s="794"/>
      <c r="P85" s="793"/>
    </row>
    <row r="86" spans="1:19" ht="15">
      <c r="A86" s="387"/>
      <c r="B86" s="791" t="s">
        <v>567</v>
      </c>
      <c r="C86" s="386"/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</row>
    <row r="87" spans="1:19" ht="15">
      <c r="A87" s="385"/>
      <c r="B87" s="791" t="s">
        <v>568</v>
      </c>
      <c r="C87" s="792"/>
      <c r="D87" s="792"/>
      <c r="E87" s="792"/>
      <c r="F87" s="386"/>
      <c r="G87" s="792"/>
      <c r="H87" s="792"/>
      <c r="I87" s="792"/>
      <c r="J87" s="792"/>
      <c r="K87" s="792"/>
      <c r="L87" s="792"/>
      <c r="M87" s="792"/>
      <c r="N87" s="792"/>
      <c r="O87" s="792"/>
      <c r="P87" s="792"/>
    </row>
    <row r="88" spans="1:19" ht="15">
      <c r="A88" s="385"/>
      <c r="B88" s="791" t="s">
        <v>569</v>
      </c>
      <c r="C88" s="792"/>
      <c r="D88" s="792"/>
      <c r="E88" s="792"/>
      <c r="F88" s="386"/>
      <c r="G88" s="792"/>
      <c r="H88" s="792"/>
      <c r="I88" s="792"/>
      <c r="J88" s="792"/>
      <c r="K88" s="792"/>
      <c r="L88" s="792"/>
      <c r="M88" s="792"/>
      <c r="N88" s="792"/>
      <c r="O88" s="792"/>
      <c r="P88" s="792"/>
    </row>
    <row r="89" spans="1:19" ht="15">
      <c r="A89" s="385"/>
      <c r="B89" s="791" t="s">
        <v>570</v>
      </c>
      <c r="C89" s="792"/>
      <c r="D89" s="792"/>
      <c r="E89" s="792"/>
      <c r="F89" s="386"/>
      <c r="G89" s="792"/>
      <c r="H89" s="792"/>
      <c r="I89" s="792"/>
      <c r="J89" s="792"/>
      <c r="K89" s="792"/>
      <c r="L89" s="792"/>
      <c r="M89" s="792"/>
      <c r="N89" s="792"/>
      <c r="O89" s="792"/>
      <c r="P89" s="792"/>
    </row>
    <row r="90" spans="1:19" ht="15">
      <c r="A90" s="385"/>
      <c r="B90" s="791" t="s">
        <v>571</v>
      </c>
      <c r="C90" s="792"/>
      <c r="D90" s="792"/>
      <c r="E90" s="792"/>
      <c r="F90" s="792"/>
      <c r="G90" s="792"/>
      <c r="H90" s="792"/>
      <c r="I90" s="792"/>
      <c r="J90" s="792"/>
      <c r="K90" s="792"/>
      <c r="L90" s="792"/>
      <c r="M90" s="792"/>
      <c r="N90" s="792"/>
      <c r="O90" s="792"/>
      <c r="P90" s="795"/>
    </row>
    <row r="91" spans="1:19" ht="15">
      <c r="A91" s="388" t="s">
        <v>572</v>
      </c>
      <c r="B91" s="793"/>
      <c r="C91" s="1765"/>
      <c r="D91" s="1766"/>
      <c r="E91" s="1766"/>
      <c r="F91" s="1766"/>
      <c r="G91" s="1766"/>
      <c r="H91" s="1766"/>
      <c r="I91" s="1767"/>
      <c r="J91" s="391" t="s">
        <v>573</v>
      </c>
      <c r="K91" s="794"/>
      <c r="L91" s="794"/>
      <c r="M91" s="794"/>
      <c r="N91" s="794"/>
      <c r="O91" s="794"/>
      <c r="P91" s="793"/>
    </row>
    <row r="92" spans="1:19" ht="15">
      <c r="A92" s="385"/>
      <c r="B92" s="791" t="s">
        <v>401</v>
      </c>
      <c r="C92" s="792"/>
      <c r="D92" s="792"/>
      <c r="E92" s="792"/>
      <c r="F92" s="792"/>
      <c r="G92" s="792"/>
      <c r="H92" s="390"/>
      <c r="I92" s="796"/>
      <c r="J92" s="797"/>
      <c r="K92" s="792"/>
      <c r="L92" s="792"/>
      <c r="M92" s="792"/>
      <c r="N92" s="792"/>
      <c r="O92" s="792"/>
      <c r="P92" s="792"/>
    </row>
    <row r="93" spans="1:19" ht="15">
      <c r="A93" s="385"/>
      <c r="B93" s="791" t="s">
        <v>402</v>
      </c>
      <c r="C93" s="792"/>
      <c r="D93" s="792"/>
      <c r="E93" s="792"/>
      <c r="F93" s="792"/>
      <c r="G93" s="792"/>
      <c r="H93" s="390"/>
      <c r="I93" s="392"/>
      <c r="J93" s="797"/>
      <c r="K93" s="792"/>
      <c r="L93" s="792"/>
      <c r="M93" s="792"/>
      <c r="N93" s="792"/>
      <c r="O93" s="792"/>
      <c r="P93" s="792"/>
    </row>
    <row r="94" spans="1:19" ht="15">
      <c r="A94" s="385"/>
      <c r="B94" s="791" t="s">
        <v>574</v>
      </c>
      <c r="C94" s="792"/>
      <c r="D94" s="792"/>
      <c r="E94" s="792"/>
      <c r="F94" s="792"/>
      <c r="G94" s="792"/>
      <c r="H94" s="792"/>
      <c r="I94" s="796"/>
      <c r="J94" s="797"/>
      <c r="K94" s="792"/>
      <c r="L94" s="386"/>
      <c r="M94" s="386"/>
      <c r="N94" s="792"/>
      <c r="O94" s="792"/>
      <c r="P94" s="792"/>
    </row>
    <row r="95" spans="1:19" ht="15">
      <c r="A95" s="385"/>
      <c r="B95" s="791" t="s">
        <v>575</v>
      </c>
      <c r="C95" s="792"/>
      <c r="D95" s="792"/>
      <c r="E95" s="792"/>
      <c r="F95" s="792"/>
      <c r="G95" s="792"/>
      <c r="H95" s="792"/>
      <c r="I95" s="796"/>
      <c r="J95" s="393"/>
      <c r="K95" s="386"/>
      <c r="L95" s="792"/>
      <c r="M95" s="792"/>
      <c r="N95" s="792"/>
      <c r="O95" s="792"/>
      <c r="P95" s="792"/>
      <c r="Q95" s="138"/>
      <c r="R95" s="138"/>
      <c r="S95" s="138"/>
    </row>
    <row r="96" spans="1:19" ht="15">
      <c r="A96" s="387"/>
      <c r="B96" s="791" t="s">
        <v>576</v>
      </c>
      <c r="C96" s="792"/>
      <c r="D96" s="792"/>
      <c r="E96" s="792"/>
      <c r="F96" s="792"/>
      <c r="G96" s="792"/>
      <c r="H96" s="792"/>
      <c r="I96" s="798"/>
      <c r="J96" s="797"/>
      <c r="K96" s="386"/>
      <c r="L96" s="386"/>
      <c r="M96" s="792"/>
      <c r="N96" s="792"/>
      <c r="O96" s="792"/>
      <c r="P96" s="792"/>
    </row>
    <row r="97" spans="1:17" ht="15">
      <c r="A97" s="387"/>
      <c r="B97" s="791" t="s">
        <v>577</v>
      </c>
      <c r="C97" s="792"/>
      <c r="D97" s="792"/>
      <c r="E97" s="792"/>
      <c r="F97" s="792"/>
      <c r="G97" s="792"/>
      <c r="H97" s="792"/>
      <c r="I97" s="796"/>
      <c r="J97" s="797"/>
      <c r="K97" s="792"/>
      <c r="L97" s="792"/>
      <c r="M97" s="386"/>
      <c r="N97" s="386"/>
      <c r="O97" s="386"/>
      <c r="P97" s="792"/>
    </row>
    <row r="98" spans="1:17" ht="15">
      <c r="A98" s="385"/>
      <c r="B98" s="791" t="s">
        <v>578</v>
      </c>
      <c r="C98" s="792"/>
      <c r="D98" s="792"/>
      <c r="E98" s="792"/>
      <c r="F98" s="792"/>
      <c r="G98" s="792"/>
      <c r="H98" s="792"/>
      <c r="I98" s="796"/>
      <c r="J98" s="797"/>
      <c r="K98" s="792"/>
      <c r="L98" s="792"/>
      <c r="M98" s="792"/>
      <c r="N98" s="792"/>
      <c r="O98" s="386"/>
      <c r="P98" s="792"/>
    </row>
    <row r="99" spans="1:17" ht="15">
      <c r="A99" s="167"/>
      <c r="B99" s="740"/>
      <c r="C99" s="740"/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</row>
    <row r="100" spans="1:17" ht="15">
      <c r="A100" s="167"/>
      <c r="B100" s="394" t="s">
        <v>591</v>
      </c>
      <c r="C100" s="740"/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</row>
    <row r="101" spans="1:17" ht="16.5" customHeight="1">
      <c r="B101" s="395" t="s">
        <v>592</v>
      </c>
      <c r="C101" s="395">
        <f>SUM('PreDev Flow of Funds'!E47:H47)</f>
        <v>1137385.3675833335</v>
      </c>
      <c r="D101" s="395">
        <f>SUM('PreDev Flow of Funds'!I47:K47)+C101</f>
        <v>2521647.3318333337</v>
      </c>
      <c r="E101" s="395">
        <f>SUM('PreDev Flow of Funds'!L47:N47)+D101</f>
        <v>5787499.122750001</v>
      </c>
      <c r="F101" s="395">
        <f>SUM('PreDev Flow of Funds'!O47:Q47)+E101</f>
        <v>10458716.465</v>
      </c>
      <c r="G101" s="395">
        <f>SUM('PreDev Flow of Funds'!R47:T47)+F101</f>
        <v>14841153.074999999</v>
      </c>
      <c r="H101" s="395">
        <f>SUM('PreDev Flow of Funds'!U47:W47)+G101</f>
        <v>14841153.074999999</v>
      </c>
      <c r="I101" s="395" t="e">
        <f>SUM('PreDev Flow of Funds'!#REF!)+H101</f>
        <v>#REF!</v>
      </c>
      <c r="J101" s="395" t="e">
        <f t="shared" ref="J101:P101" si="4">I101</f>
        <v>#REF!</v>
      </c>
      <c r="K101" s="395" t="e">
        <f t="shared" si="4"/>
        <v>#REF!</v>
      </c>
      <c r="L101" s="395" t="e">
        <f t="shared" si="4"/>
        <v>#REF!</v>
      </c>
      <c r="M101" s="395" t="e">
        <f t="shared" si="4"/>
        <v>#REF!</v>
      </c>
      <c r="N101" s="395" t="e">
        <f t="shared" si="4"/>
        <v>#REF!</v>
      </c>
      <c r="O101" s="395" t="e">
        <f t="shared" si="4"/>
        <v>#REF!</v>
      </c>
      <c r="P101" s="395" t="e">
        <f t="shared" si="4"/>
        <v>#REF!</v>
      </c>
      <c r="Q101" s="369"/>
    </row>
    <row r="102" spans="1:17">
      <c r="B102" s="395" t="s">
        <v>593</v>
      </c>
      <c r="C102" s="395"/>
      <c r="D102" s="395"/>
      <c r="E102" s="395"/>
      <c r="F102" s="395"/>
      <c r="G102" s="395"/>
      <c r="H102" s="395"/>
      <c r="I102" s="395"/>
      <c r="J102" s="395">
        <v>0</v>
      </c>
      <c r="K102" s="395">
        <v>0</v>
      </c>
      <c r="L102" s="395">
        <f>422121.02+293139.6+315000</f>
        <v>1030260.62</v>
      </c>
      <c r="M102" s="395">
        <f>293139.6+L102</f>
        <v>1323400.22</v>
      </c>
      <c r="N102" s="395">
        <f>M102</f>
        <v>1323400.22</v>
      </c>
      <c r="O102" s="395">
        <f>N102</f>
        <v>1323400.22</v>
      </c>
      <c r="P102" s="395">
        <f>O102</f>
        <v>1323400.22</v>
      </c>
      <c r="Q102" s="369"/>
    </row>
    <row r="103" spans="1:17">
      <c r="B103" s="162" t="s">
        <v>16</v>
      </c>
      <c r="J103" s="162">
        <f>(C116*0.25)/2</f>
        <v>-1020177.0303124998</v>
      </c>
      <c r="K103" s="162">
        <f>J103+(C116*0.25)/2</f>
        <v>-2040354.0606249997</v>
      </c>
      <c r="L103" s="162">
        <f>K103+((C116-K103)/4)</f>
        <v>-3570619.6060937494</v>
      </c>
      <c r="M103" s="162">
        <f>L103+((C116-K103)/4)</f>
        <v>-5100885.1515624989</v>
      </c>
      <c r="N103" s="162">
        <f>M103+((C116-K103)/4)</f>
        <v>-6631150.6970312484</v>
      </c>
      <c r="O103" s="162">
        <f>N103+((C116-K103)/4)</f>
        <v>-8161416.2424999978</v>
      </c>
      <c r="P103" s="162">
        <f>O103</f>
        <v>-8161416.2424999978</v>
      </c>
      <c r="Q103" s="369"/>
    </row>
    <row r="104" spans="1:17">
      <c r="B104" s="371" t="s">
        <v>583</v>
      </c>
      <c r="C104" s="371"/>
      <c r="D104" s="371"/>
      <c r="E104" s="371"/>
      <c r="F104" s="371"/>
      <c r="G104" s="371"/>
      <c r="H104" s="371"/>
      <c r="I104" s="371"/>
      <c r="J104" s="371">
        <f>(C117-1033493)/6</f>
        <v>9556260.0112500004</v>
      </c>
      <c r="K104" s="371">
        <f>((C117-1033493)/6)+J104</f>
        <v>19112520.022500001</v>
      </c>
      <c r="L104" s="371">
        <f>((C117-1033493)/6)+K104</f>
        <v>28668780.033750001</v>
      </c>
      <c r="M104" s="371">
        <f>((C117-1033493)/6)+L104</f>
        <v>38225040.045000002</v>
      </c>
      <c r="N104" s="371">
        <f>((C117-1033493)/6)+M104</f>
        <v>47781300.056250006</v>
      </c>
      <c r="O104" s="371">
        <f>((C117-1033493)/6)+N104</f>
        <v>57337560.06750001</v>
      </c>
      <c r="P104" s="371">
        <f>(286645+100000+646848)+O104</f>
        <v>58371053.06750001</v>
      </c>
      <c r="Q104" s="369"/>
    </row>
    <row r="105" spans="1:17">
      <c r="B105" s="162" t="s">
        <v>584</v>
      </c>
      <c r="C105" s="162">
        <f>SUM(C101:C104)</f>
        <v>1137385.3675833335</v>
      </c>
      <c r="D105" s="162">
        <f t="shared" ref="D105:I105" si="5">SUM(D101:D104)</f>
        <v>2521647.3318333337</v>
      </c>
      <c r="E105" s="162">
        <f t="shared" si="5"/>
        <v>5787499.122750001</v>
      </c>
      <c r="F105" s="162">
        <f t="shared" si="5"/>
        <v>10458716.465</v>
      </c>
      <c r="G105" s="162">
        <f t="shared" si="5"/>
        <v>14841153.074999999</v>
      </c>
      <c r="H105" s="162">
        <f t="shared" si="5"/>
        <v>14841153.074999999</v>
      </c>
      <c r="I105" s="162" t="e">
        <f t="shared" si="5"/>
        <v>#REF!</v>
      </c>
      <c r="J105" s="372" t="e">
        <f>SUM(J101:J104)</f>
        <v>#REF!</v>
      </c>
      <c r="K105" s="372" t="e">
        <f t="shared" ref="K105:P105" si="6">SUM(K101:K104)</f>
        <v>#REF!</v>
      </c>
      <c r="L105" s="372" t="e">
        <f t="shared" si="6"/>
        <v>#REF!</v>
      </c>
      <c r="M105" s="372" t="e">
        <f t="shared" si="6"/>
        <v>#REF!</v>
      </c>
      <c r="N105" s="372" t="e">
        <f t="shared" si="6"/>
        <v>#REF!</v>
      </c>
      <c r="O105" s="372" t="e">
        <f t="shared" si="6"/>
        <v>#REF!</v>
      </c>
      <c r="P105" s="69" t="e">
        <f t="shared" si="6"/>
        <v>#REF!</v>
      </c>
      <c r="Q105" s="369"/>
    </row>
    <row r="106" spans="1:17" ht="18" customHeight="1">
      <c r="I106" s="372"/>
      <c r="J106" s="372"/>
      <c r="K106" s="372"/>
      <c r="L106" s="372"/>
      <c r="M106" s="372"/>
      <c r="N106" s="372"/>
      <c r="O106" s="372"/>
      <c r="P106" s="372"/>
      <c r="Q106" s="369"/>
    </row>
    <row r="107" spans="1:17" ht="18" customHeight="1">
      <c r="B107" s="349" t="s">
        <v>594</v>
      </c>
      <c r="I107" s="372"/>
      <c r="J107" s="372"/>
      <c r="K107" s="372"/>
      <c r="L107" s="372"/>
      <c r="M107" s="372"/>
      <c r="N107" s="372"/>
      <c r="O107" s="372"/>
      <c r="P107" s="372"/>
      <c r="Q107" s="369"/>
    </row>
    <row r="108" spans="1:17">
      <c r="B108" s="162" t="s">
        <v>595</v>
      </c>
      <c r="C108" s="162">
        <f>SUM('PreDev Flow of Funds'!E51:G51)</f>
        <v>500000</v>
      </c>
      <c r="D108" s="162">
        <f>C108</f>
        <v>500000</v>
      </c>
      <c r="E108" s="162">
        <f t="shared" ref="E108:K109" si="7">D108</f>
        <v>500000</v>
      </c>
      <c r="F108" s="162">
        <f t="shared" si="7"/>
        <v>500000</v>
      </c>
      <c r="G108" s="162">
        <f t="shared" si="7"/>
        <v>500000</v>
      </c>
      <c r="H108" s="162">
        <f t="shared" si="7"/>
        <v>500000</v>
      </c>
      <c r="I108" s="162">
        <f t="shared" si="7"/>
        <v>500000</v>
      </c>
      <c r="J108" s="162">
        <f t="shared" si="7"/>
        <v>500000</v>
      </c>
      <c r="K108" s="162">
        <f t="shared" ref="K108:P108" si="8">J108</f>
        <v>500000</v>
      </c>
      <c r="L108" s="162">
        <f t="shared" si="8"/>
        <v>500000</v>
      </c>
      <c r="M108" s="162">
        <f t="shared" si="8"/>
        <v>500000</v>
      </c>
      <c r="N108" s="162">
        <f t="shared" si="8"/>
        <v>500000</v>
      </c>
      <c r="O108" s="162">
        <f t="shared" si="8"/>
        <v>500000</v>
      </c>
      <c r="P108" s="162">
        <f t="shared" si="8"/>
        <v>500000</v>
      </c>
      <c r="Q108" s="369"/>
    </row>
    <row r="109" spans="1:17">
      <c r="B109" s="395" t="s">
        <v>596</v>
      </c>
      <c r="C109" s="395" t="e">
        <f>SUM('PreDev Flow of Funds'!#REF!)</f>
        <v>#REF!</v>
      </c>
      <c r="D109" s="395" t="e">
        <f>SUM('PreDev Flow of Funds'!#REF!)+C109</f>
        <v>#REF!</v>
      </c>
      <c r="E109" s="395" t="e">
        <f>SUM('PreDev Flow of Funds'!#REF!)+D109</f>
        <v>#REF!</v>
      </c>
      <c r="F109" s="395" t="e">
        <f>SUM('PreDev Flow of Funds'!#REF!)+E109</f>
        <v>#REF!</v>
      </c>
      <c r="G109" s="395" t="e">
        <f>SUM('PreDev Flow of Funds'!#REF!)+F109</f>
        <v>#REF!</v>
      </c>
      <c r="H109" s="395" t="e">
        <f>SUM('PreDev Flow of Funds'!#REF!)+G109</f>
        <v>#REF!</v>
      </c>
      <c r="I109" s="395" t="e">
        <f>SUM('PreDev Flow of Funds'!#REF!)+H109</f>
        <v>#REF!</v>
      </c>
      <c r="J109" s="395" t="e">
        <f t="shared" si="7"/>
        <v>#REF!</v>
      </c>
      <c r="K109" s="395" t="e">
        <f t="shared" si="7"/>
        <v>#REF!</v>
      </c>
      <c r="L109" s="395" t="e">
        <f>K109+L102</f>
        <v>#REF!</v>
      </c>
      <c r="M109" s="395" t="e">
        <f>K109+M102</f>
        <v>#REF!</v>
      </c>
      <c r="N109" s="395" t="e">
        <f>M109</f>
        <v>#REF!</v>
      </c>
      <c r="O109" s="395" t="e">
        <f>N109</f>
        <v>#REF!</v>
      </c>
      <c r="P109" s="395" t="e">
        <f>O109</f>
        <v>#REF!</v>
      </c>
      <c r="Q109" s="369"/>
    </row>
    <row r="110" spans="1:17" ht="18" customHeight="1">
      <c r="B110" s="371" t="s">
        <v>597</v>
      </c>
      <c r="C110" s="371"/>
      <c r="D110" s="371"/>
      <c r="E110" s="371"/>
      <c r="F110" s="371"/>
      <c r="G110" s="371"/>
      <c r="H110" s="371"/>
      <c r="I110" s="396"/>
      <c r="J110" s="371">
        <f>SUM(J103:J104)</f>
        <v>8536082.9809375014</v>
      </c>
      <c r="K110" s="371">
        <f t="shared" ref="K110:P110" si="9">SUM(K103:K104)</f>
        <v>17072165.961875003</v>
      </c>
      <c r="L110" s="371">
        <f t="shared" si="9"/>
        <v>25098160.427656252</v>
      </c>
      <c r="M110" s="371">
        <f t="shared" si="9"/>
        <v>33124154.893437505</v>
      </c>
      <c r="N110" s="371">
        <f t="shared" si="9"/>
        <v>41150149.359218761</v>
      </c>
      <c r="O110" s="371">
        <f t="shared" si="9"/>
        <v>49176143.82500001</v>
      </c>
      <c r="P110" s="371">
        <f t="shared" si="9"/>
        <v>50209636.82500001</v>
      </c>
      <c r="Q110" s="369"/>
    </row>
    <row r="111" spans="1:17" ht="18" customHeight="1">
      <c r="B111" s="162" t="s">
        <v>598</v>
      </c>
      <c r="C111" s="162" t="e">
        <f>SUM(C108:C110)</f>
        <v>#REF!</v>
      </c>
      <c r="D111" s="162" t="e">
        <f t="shared" ref="D111:P111" si="10">SUM(D108:D110)</f>
        <v>#REF!</v>
      </c>
      <c r="E111" s="162" t="e">
        <f t="shared" si="10"/>
        <v>#REF!</v>
      </c>
      <c r="F111" s="162" t="e">
        <f t="shared" si="10"/>
        <v>#REF!</v>
      </c>
      <c r="G111" s="162" t="e">
        <f t="shared" si="10"/>
        <v>#REF!</v>
      </c>
      <c r="H111" s="162" t="e">
        <f t="shared" si="10"/>
        <v>#REF!</v>
      </c>
      <c r="I111" s="162" t="e">
        <f t="shared" si="10"/>
        <v>#REF!</v>
      </c>
      <c r="J111" s="162" t="e">
        <f t="shared" si="10"/>
        <v>#REF!</v>
      </c>
      <c r="K111" s="162" t="e">
        <f t="shared" si="10"/>
        <v>#REF!</v>
      </c>
      <c r="L111" s="162" t="e">
        <f t="shared" si="10"/>
        <v>#REF!</v>
      </c>
      <c r="M111" s="162" t="e">
        <f t="shared" si="10"/>
        <v>#REF!</v>
      </c>
      <c r="N111" s="162" t="e">
        <f t="shared" si="10"/>
        <v>#REF!</v>
      </c>
      <c r="O111" s="162" t="e">
        <f t="shared" si="10"/>
        <v>#REF!</v>
      </c>
      <c r="P111" s="61" t="e">
        <f t="shared" si="10"/>
        <v>#REF!</v>
      </c>
      <c r="Q111" s="369"/>
    </row>
    <row r="112" spans="1:17" ht="18" customHeight="1">
      <c r="B112" s="349" t="s">
        <v>599</v>
      </c>
      <c r="C112" s="162" t="e">
        <f>C105-C111</f>
        <v>#REF!</v>
      </c>
      <c r="D112" s="162" t="e">
        <f t="shared" ref="D112:P112" si="11">D105-D111</f>
        <v>#REF!</v>
      </c>
      <c r="E112" s="162" t="e">
        <f t="shared" si="11"/>
        <v>#REF!</v>
      </c>
      <c r="F112" s="162" t="e">
        <f t="shared" si="11"/>
        <v>#REF!</v>
      </c>
      <c r="G112" s="162" t="e">
        <f t="shared" si="11"/>
        <v>#REF!</v>
      </c>
      <c r="H112" s="162" t="e">
        <f t="shared" si="11"/>
        <v>#REF!</v>
      </c>
      <c r="I112" s="162" t="e">
        <f t="shared" si="11"/>
        <v>#REF!</v>
      </c>
      <c r="J112" s="162" t="e">
        <f t="shared" si="11"/>
        <v>#REF!</v>
      </c>
      <c r="K112" s="162" t="e">
        <f t="shared" si="11"/>
        <v>#REF!</v>
      </c>
      <c r="L112" s="162" t="e">
        <f t="shared" si="11"/>
        <v>#REF!</v>
      </c>
      <c r="M112" s="162" t="e">
        <f t="shared" si="11"/>
        <v>#REF!</v>
      </c>
      <c r="N112" s="162" t="e">
        <f t="shared" si="11"/>
        <v>#REF!</v>
      </c>
      <c r="O112" s="162" t="e">
        <f t="shared" si="11"/>
        <v>#REF!</v>
      </c>
      <c r="P112" s="162" t="e">
        <f t="shared" si="11"/>
        <v>#REF!</v>
      </c>
      <c r="Q112" s="369"/>
    </row>
    <row r="113" spans="2:19" ht="15" customHeight="1">
      <c r="R113" s="370"/>
      <c r="S113" s="368"/>
    </row>
    <row r="114" spans="2:19">
      <c r="B114" s="368" t="s">
        <v>581</v>
      </c>
      <c r="C114" s="1770">
        <f>'PreDev Flow of Funds'!D47</f>
        <v>14824249.954999998</v>
      </c>
      <c r="D114" s="1769"/>
    </row>
    <row r="115" spans="2:19">
      <c r="B115" s="397" t="s">
        <v>600</v>
      </c>
      <c r="C115" s="1771">
        <f>M102</f>
        <v>1323400.22</v>
      </c>
      <c r="D115" s="1769"/>
    </row>
    <row r="116" spans="2:19">
      <c r="B116" s="397" t="s">
        <v>582</v>
      </c>
      <c r="C116" s="1771">
        <f>'Development Budget'!G37-Predevelopment!D27-Predevelopment!D28-Predevelopment!D29-Timeline!M102-Predevelopment!D17</f>
        <v>-8161416.2424999988</v>
      </c>
      <c r="D116" s="1769"/>
    </row>
    <row r="117" spans="2:19" ht="16.5" thickBot="1">
      <c r="B117" s="398" t="s">
        <v>601</v>
      </c>
      <c r="C117" s="1772">
        <f>C118-C114-C116-C115</f>
        <v>58371053.067500003</v>
      </c>
      <c r="D117" s="1773"/>
    </row>
    <row r="118" spans="2:19" ht="16.5" thickTop="1">
      <c r="B118" s="368" t="s">
        <v>585</v>
      </c>
      <c r="C118" s="1768">
        <v>66357287</v>
      </c>
      <c r="D118" s="1769"/>
    </row>
  </sheetData>
  <mergeCells count="13">
    <mergeCell ref="A5:B6"/>
    <mergeCell ref="A39:B40"/>
    <mergeCell ref="A72:B73"/>
    <mergeCell ref="C74:I74"/>
    <mergeCell ref="J74:O74"/>
    <mergeCell ref="C78:I78"/>
    <mergeCell ref="C118:D118"/>
    <mergeCell ref="C85:I85"/>
    <mergeCell ref="C91:I91"/>
    <mergeCell ref="C114:D114"/>
    <mergeCell ref="C115:D115"/>
    <mergeCell ref="C116:D116"/>
    <mergeCell ref="C117:D1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70C0"/>
  </sheetPr>
  <dimension ref="B1:N79"/>
  <sheetViews>
    <sheetView view="pageBreakPreview" topLeftCell="H6" zoomScale="145" zoomScaleNormal="100" zoomScaleSheetLayoutView="145" workbookViewId="0">
      <selection activeCell="K12" sqref="K12"/>
    </sheetView>
  </sheetViews>
  <sheetFormatPr defaultColWidth="8.375" defaultRowHeight="12.75" outlineLevelRow="1"/>
  <cols>
    <col min="1" max="1" width="1.375" style="535" customWidth="1"/>
    <col min="2" max="2" width="1.625" style="535" customWidth="1"/>
    <col min="3" max="3" width="3.125" style="535" customWidth="1"/>
    <col min="4" max="4" width="28.375" style="535" customWidth="1"/>
    <col min="5" max="5" width="20.125" style="535" customWidth="1"/>
    <col min="6" max="6" width="9.875" style="535" customWidth="1"/>
    <col min="7" max="7" width="12.375" style="535" customWidth="1"/>
    <col min="8" max="8" width="8.25" style="535" customWidth="1"/>
    <col min="9" max="9" width="9.375" style="535" bestFit="1" customWidth="1"/>
    <col min="10" max="10" width="1.625" style="535" customWidth="1"/>
    <col min="11" max="11" width="9" style="535" bestFit="1" customWidth="1"/>
    <col min="12" max="12" width="8.625" style="535" bestFit="1" customWidth="1"/>
    <col min="13" max="13" width="73.375" style="535" bestFit="1" customWidth="1"/>
    <col min="14" max="14" width="11.125" style="535" bestFit="1" customWidth="1"/>
    <col min="15" max="16384" width="8.375" style="535"/>
  </cols>
  <sheetData>
    <row r="1" spans="2:13">
      <c r="E1" s="573" t="s">
        <v>44</v>
      </c>
      <c r="F1" s="574"/>
    </row>
    <row r="2" spans="2:13">
      <c r="B2" s="575"/>
      <c r="C2" s="576"/>
      <c r="D2" s="577"/>
      <c r="E2" s="578" t="s">
        <v>51</v>
      </c>
      <c r="F2" s="579">
        <v>0</v>
      </c>
      <c r="K2" s="580"/>
      <c r="L2" s="581"/>
    </row>
    <row r="3" spans="2:13" ht="15.75">
      <c r="B3" s="582"/>
      <c r="C3" s="532" t="s">
        <v>1084</v>
      </c>
      <c r="D3" s="529"/>
      <c r="E3" s="578" t="s">
        <v>52</v>
      </c>
      <c r="F3" s="579">
        <v>53</v>
      </c>
      <c r="K3" s="580"/>
      <c r="L3" s="581"/>
    </row>
    <row r="4" spans="2:13">
      <c r="B4" s="582"/>
      <c r="C4" s="534" t="s">
        <v>602</v>
      </c>
      <c r="D4" s="529"/>
      <c r="E4" s="578" t="s">
        <v>54</v>
      </c>
      <c r="F4" s="579">
        <v>28</v>
      </c>
      <c r="K4" s="580"/>
      <c r="L4" s="581"/>
    </row>
    <row r="5" spans="2:13">
      <c r="B5" s="583"/>
      <c r="C5" s="584"/>
      <c r="D5" s="584"/>
      <c r="E5" s="578" t="s">
        <v>55</v>
      </c>
      <c r="F5" s="579">
        <v>19</v>
      </c>
      <c r="K5" s="580"/>
      <c r="L5" s="581"/>
    </row>
    <row r="6" spans="2:13">
      <c r="B6" s="542"/>
      <c r="C6" s="585"/>
      <c r="D6" s="542"/>
      <c r="E6" s="578" t="s">
        <v>603</v>
      </c>
      <c r="F6" s="579">
        <v>0</v>
      </c>
      <c r="K6" s="580"/>
      <c r="L6" s="581"/>
    </row>
    <row r="7" spans="2:13">
      <c r="B7" s="542"/>
      <c r="C7" s="585"/>
      <c r="D7" s="542"/>
      <c r="E7" s="586" t="s">
        <v>59</v>
      </c>
      <c r="F7" s="587">
        <f>SUM(F2:F6)</f>
        <v>100</v>
      </c>
      <c r="G7" s="542"/>
      <c r="H7" s="542"/>
      <c r="I7" s="542"/>
      <c r="K7" s="580"/>
      <c r="L7" s="581"/>
      <c r="M7" s="581"/>
    </row>
    <row r="8" spans="2:13">
      <c r="B8" s="588"/>
      <c r="C8" s="589"/>
      <c r="D8" s="590"/>
      <c r="E8" s="591"/>
      <c r="F8" s="591"/>
      <c r="G8" s="591"/>
      <c r="H8" s="591"/>
      <c r="I8" s="591"/>
      <c r="J8" s="592"/>
      <c r="K8" s="593"/>
      <c r="L8" s="594"/>
      <c r="M8" s="594"/>
    </row>
    <row r="9" spans="2:13" ht="25.5">
      <c r="B9" s="595"/>
      <c r="C9" s="596"/>
      <c r="D9" s="597"/>
      <c r="E9" s="598" t="s">
        <v>604</v>
      </c>
      <c r="F9" s="599" t="s">
        <v>382</v>
      </c>
      <c r="G9" s="599" t="s">
        <v>605</v>
      </c>
      <c r="H9" s="599" t="s">
        <v>606</v>
      </c>
      <c r="I9" s="599" t="s">
        <v>37</v>
      </c>
      <c r="J9" s="600"/>
      <c r="K9" s="601" t="s">
        <v>607</v>
      </c>
      <c r="L9" s="594" t="s">
        <v>608</v>
      </c>
      <c r="M9" s="594" t="s">
        <v>609</v>
      </c>
    </row>
    <row r="10" spans="2:13">
      <c r="B10" s="602"/>
      <c r="C10" s="603"/>
      <c r="D10" s="604"/>
      <c r="E10" s="605"/>
      <c r="F10" s="605"/>
      <c r="G10" s="605"/>
      <c r="H10" s="605"/>
      <c r="I10" s="605"/>
      <c r="J10" s="824"/>
      <c r="K10" s="825"/>
      <c r="L10" s="594" t="s">
        <v>610</v>
      </c>
      <c r="M10" s="594"/>
    </row>
    <row r="11" spans="2:13">
      <c r="B11" s="606"/>
      <c r="C11" s="607" t="s">
        <v>165</v>
      </c>
      <c r="D11" s="608"/>
      <c r="E11" s="609"/>
      <c r="F11" s="610"/>
      <c r="G11" s="611"/>
      <c r="H11" s="612"/>
      <c r="I11" s="613">
        <f t="shared" ref="I11:I56" si="0">E11+G11</f>
        <v>0</v>
      </c>
      <c r="J11" s="614"/>
    </row>
    <row r="12" spans="2:13">
      <c r="B12" s="615"/>
      <c r="C12" s="616"/>
      <c r="D12" s="617" t="s">
        <v>167</v>
      </c>
      <c r="E12" s="618">
        <v>3000</v>
      </c>
      <c r="F12" s="619">
        <f>+E12/$F$7</f>
        <v>30</v>
      </c>
      <c r="G12" s="618"/>
      <c r="H12" s="619"/>
      <c r="I12" s="620">
        <f t="shared" si="0"/>
        <v>3000</v>
      </c>
      <c r="J12" s="614"/>
      <c r="K12" s="621"/>
      <c r="L12" s="622">
        <f>+K12/$F$7</f>
        <v>0</v>
      </c>
    </row>
    <row r="13" spans="2:13" hidden="1" outlineLevel="1">
      <c r="B13" s="615"/>
      <c r="C13" s="568"/>
      <c r="D13" s="623" t="s">
        <v>169</v>
      </c>
      <c r="E13" s="618"/>
      <c r="F13" s="619">
        <f>+E13/$F$7</f>
        <v>0</v>
      </c>
      <c r="G13" s="618"/>
      <c r="H13" s="619" t="s">
        <v>1085</v>
      </c>
      <c r="I13" s="620">
        <f t="shared" si="0"/>
        <v>0</v>
      </c>
      <c r="J13" s="614"/>
      <c r="K13" s="621"/>
      <c r="L13" s="622">
        <f>+K13/$F$7</f>
        <v>0</v>
      </c>
    </row>
    <row r="14" spans="2:13" collapsed="1">
      <c r="B14" s="615"/>
      <c r="C14" s="568"/>
      <c r="D14" s="623" t="s">
        <v>172</v>
      </c>
      <c r="E14" s="618">
        <f>65*12*99</f>
        <v>77220</v>
      </c>
      <c r="F14" s="619">
        <f>+E14/$F$7</f>
        <v>772.2</v>
      </c>
      <c r="G14" s="618"/>
      <c r="H14" s="619" t="s">
        <v>1085</v>
      </c>
      <c r="I14" s="620">
        <f t="shared" si="0"/>
        <v>77220</v>
      </c>
      <c r="J14" s="614"/>
      <c r="K14" s="621"/>
      <c r="L14" s="622">
        <f>+K14/$F$7</f>
        <v>0</v>
      </c>
      <c r="M14" s="624"/>
    </row>
    <row r="15" spans="2:13">
      <c r="B15" s="615"/>
      <c r="C15" s="568"/>
      <c r="D15" s="623" t="s">
        <v>175</v>
      </c>
      <c r="E15" s="618">
        <v>118000</v>
      </c>
      <c r="F15" s="619">
        <f t="shared" ref="F15:F22" si="1">+E15/$F$7</f>
        <v>1180</v>
      </c>
      <c r="G15" s="618"/>
      <c r="H15" s="619" t="s">
        <v>1085</v>
      </c>
      <c r="I15" s="620">
        <f t="shared" si="0"/>
        <v>118000</v>
      </c>
      <c r="J15" s="614"/>
      <c r="K15" s="625"/>
      <c r="L15" s="622">
        <f t="shared" ref="L15:L22" si="2">+K15/$F$7</f>
        <v>0</v>
      </c>
      <c r="M15" s="535" t="s">
        <v>611</v>
      </c>
    </row>
    <row r="16" spans="2:13" hidden="1" outlineLevel="1">
      <c r="B16" s="615"/>
      <c r="C16" s="568"/>
      <c r="D16" s="623" t="s">
        <v>178</v>
      </c>
      <c r="E16" s="618"/>
      <c r="F16" s="619">
        <f t="shared" si="1"/>
        <v>0</v>
      </c>
      <c r="G16" s="618"/>
      <c r="H16" s="619"/>
      <c r="I16" s="620">
        <f t="shared" si="0"/>
        <v>0</v>
      </c>
      <c r="J16" s="614"/>
      <c r="K16" s="621"/>
      <c r="L16" s="622">
        <f t="shared" si="2"/>
        <v>0</v>
      </c>
    </row>
    <row r="17" spans="2:14" collapsed="1">
      <c r="B17" s="615"/>
      <c r="C17" s="568"/>
      <c r="D17" s="623" t="s">
        <v>181</v>
      </c>
      <c r="E17" s="618">
        <v>3000</v>
      </c>
      <c r="F17" s="619">
        <f t="shared" si="1"/>
        <v>30</v>
      </c>
      <c r="G17" s="618"/>
      <c r="H17" s="619" t="s">
        <v>1085</v>
      </c>
      <c r="I17" s="620">
        <f t="shared" si="0"/>
        <v>3000</v>
      </c>
      <c r="J17" s="614"/>
      <c r="K17" s="621"/>
      <c r="L17" s="622">
        <f t="shared" si="2"/>
        <v>0</v>
      </c>
    </row>
    <row r="18" spans="2:14">
      <c r="B18" s="615"/>
      <c r="C18" s="568"/>
      <c r="D18" s="623" t="s">
        <v>183</v>
      </c>
      <c r="E18" s="618">
        <v>12500</v>
      </c>
      <c r="F18" s="619">
        <f t="shared" si="1"/>
        <v>125</v>
      </c>
      <c r="G18" s="618"/>
      <c r="H18" s="619" t="s">
        <v>1085</v>
      </c>
      <c r="I18" s="620">
        <f t="shared" si="0"/>
        <v>12500</v>
      </c>
      <c r="J18" s="614"/>
      <c r="K18" s="621"/>
      <c r="L18" s="622">
        <f t="shared" si="2"/>
        <v>0</v>
      </c>
    </row>
    <row r="19" spans="2:14">
      <c r="B19" s="615"/>
      <c r="C19" s="568"/>
      <c r="D19" s="623" t="s">
        <v>184</v>
      </c>
      <c r="E19" s="618">
        <v>4000</v>
      </c>
      <c r="F19" s="619">
        <f t="shared" si="1"/>
        <v>40</v>
      </c>
      <c r="G19" s="618"/>
      <c r="H19" s="619"/>
      <c r="I19" s="620">
        <f t="shared" si="0"/>
        <v>4000</v>
      </c>
      <c r="J19" s="614"/>
      <c r="K19" s="621"/>
      <c r="L19" s="622">
        <f t="shared" si="2"/>
        <v>0</v>
      </c>
    </row>
    <row r="20" spans="2:14" hidden="1" outlineLevel="1">
      <c r="B20" s="615"/>
      <c r="C20" s="568"/>
      <c r="D20" s="623" t="s">
        <v>186</v>
      </c>
      <c r="E20" s="618"/>
      <c r="F20" s="619">
        <f t="shared" si="1"/>
        <v>0</v>
      </c>
      <c r="G20" s="618"/>
      <c r="H20" s="619" t="s">
        <v>1085</v>
      </c>
      <c r="I20" s="620">
        <f t="shared" si="0"/>
        <v>0</v>
      </c>
      <c r="J20" s="614"/>
      <c r="K20" s="621"/>
      <c r="L20" s="622">
        <f t="shared" si="2"/>
        <v>0</v>
      </c>
    </row>
    <row r="21" spans="2:14" collapsed="1">
      <c r="B21" s="615"/>
      <c r="C21" s="568"/>
      <c r="D21" s="623" t="s">
        <v>188</v>
      </c>
      <c r="E21" s="618">
        <f>25.47%*($E$15+$E$33+$E$35)</f>
        <v>55779.299999999996</v>
      </c>
      <c r="F21" s="619">
        <f t="shared" si="1"/>
        <v>557.79300000000001</v>
      </c>
      <c r="G21" s="618"/>
      <c r="H21" s="619"/>
      <c r="I21" s="620">
        <f t="shared" si="0"/>
        <v>55779.299999999996</v>
      </c>
      <c r="J21" s="614"/>
      <c r="K21" s="621"/>
      <c r="L21" s="622">
        <f t="shared" si="2"/>
        <v>0</v>
      </c>
      <c r="M21" s="626" t="s">
        <v>612</v>
      </c>
    </row>
    <row r="22" spans="2:14">
      <c r="B22" s="627"/>
      <c r="C22" s="628"/>
      <c r="D22" s="629" t="s">
        <v>190</v>
      </c>
      <c r="E22" s="630">
        <v>50000</v>
      </c>
      <c r="F22" s="631">
        <f t="shared" si="1"/>
        <v>500</v>
      </c>
      <c r="G22" s="630"/>
      <c r="H22" s="631" t="s">
        <v>1085</v>
      </c>
      <c r="I22" s="632">
        <f t="shared" si="0"/>
        <v>50000</v>
      </c>
      <c r="J22" s="614"/>
      <c r="K22" s="621"/>
      <c r="L22" s="622">
        <f t="shared" si="2"/>
        <v>0</v>
      </c>
      <c r="M22" s="535" t="s">
        <v>613</v>
      </c>
    </row>
    <row r="23" spans="2:14">
      <c r="B23" s="633"/>
      <c r="C23" s="634"/>
      <c r="D23" s="635" t="s">
        <v>192</v>
      </c>
      <c r="E23" s="636">
        <f>SUM(E11:E22)</f>
        <v>323499.3</v>
      </c>
      <c r="F23" s="637">
        <f>SUM(F12:F22)</f>
        <v>3234.9929999999999</v>
      </c>
      <c r="G23" s="636">
        <f>SUM(G11:G22)</f>
        <v>0</v>
      </c>
      <c r="H23" s="637">
        <f>SUM(H11:H22)</f>
        <v>0</v>
      </c>
      <c r="I23" s="638">
        <f t="shared" si="0"/>
        <v>323499.3</v>
      </c>
      <c r="J23" s="639"/>
      <c r="K23" s="640">
        <f>SUM(K11:K22)</f>
        <v>0</v>
      </c>
      <c r="L23" s="641">
        <f>SUM(L6:L22)</f>
        <v>0</v>
      </c>
    </row>
    <row r="24" spans="2:14">
      <c r="B24" s="606"/>
      <c r="C24" s="607" t="s">
        <v>194</v>
      </c>
      <c r="D24" s="608"/>
      <c r="E24" s="642"/>
      <c r="F24" s="612"/>
      <c r="G24" s="642"/>
      <c r="H24" s="612"/>
      <c r="I24" s="613">
        <f t="shared" si="0"/>
        <v>0</v>
      </c>
      <c r="J24" s="614"/>
      <c r="K24" s="621"/>
      <c r="L24" s="622"/>
      <c r="M24" s="643"/>
    </row>
    <row r="25" spans="2:14">
      <c r="B25" s="615"/>
      <c r="C25" s="568"/>
      <c r="D25" s="623" t="s">
        <v>196</v>
      </c>
      <c r="E25" s="618">
        <v>27000</v>
      </c>
      <c r="F25" s="619">
        <f t="shared" ref="F25:F30" si="3">+E25/$F$7</f>
        <v>270</v>
      </c>
      <c r="G25" s="618"/>
      <c r="H25" s="619" t="s">
        <v>1085</v>
      </c>
      <c r="I25" s="620">
        <f t="shared" si="0"/>
        <v>27000</v>
      </c>
      <c r="J25" s="614"/>
      <c r="K25" s="621">
        <f>E25*1.03</f>
        <v>27810</v>
      </c>
      <c r="L25" s="622">
        <f t="shared" ref="L25:L30" si="4">+K25/$F$7</f>
        <v>278.10000000000002</v>
      </c>
    </row>
    <row r="26" spans="2:14">
      <c r="B26" s="615"/>
      <c r="C26" s="568"/>
      <c r="D26" s="623" t="s">
        <v>197</v>
      </c>
      <c r="E26" s="618">
        <v>70000</v>
      </c>
      <c r="F26" s="619">
        <f t="shared" si="3"/>
        <v>700</v>
      </c>
      <c r="G26" s="618"/>
      <c r="H26" s="619" t="s">
        <v>1085</v>
      </c>
      <c r="I26" s="620">
        <f t="shared" si="0"/>
        <v>70000</v>
      </c>
      <c r="J26" s="614"/>
      <c r="K26" s="621">
        <f>E26*1.03</f>
        <v>72100</v>
      </c>
      <c r="L26" s="622">
        <f t="shared" si="4"/>
        <v>721</v>
      </c>
      <c r="N26" s="644"/>
    </row>
    <row r="27" spans="2:14">
      <c r="B27" s="615"/>
      <c r="C27" s="568"/>
      <c r="D27" s="623" t="s">
        <v>199</v>
      </c>
      <c r="E27" s="618">
        <v>0</v>
      </c>
      <c r="F27" s="619">
        <f t="shared" si="3"/>
        <v>0</v>
      </c>
      <c r="G27" s="618"/>
      <c r="H27" s="619" t="s">
        <v>1085</v>
      </c>
      <c r="I27" s="620">
        <f t="shared" si="0"/>
        <v>0</v>
      </c>
      <c r="J27" s="614"/>
      <c r="K27" s="621">
        <f>E27*1.03</f>
        <v>0</v>
      </c>
      <c r="L27" s="622">
        <f t="shared" si="4"/>
        <v>0</v>
      </c>
    </row>
    <row r="28" spans="2:14">
      <c r="B28" s="615"/>
      <c r="C28" s="568"/>
      <c r="D28" s="623" t="s">
        <v>200</v>
      </c>
      <c r="E28" s="618">
        <v>27000</v>
      </c>
      <c r="F28" s="619">
        <f>+E28/$F$7</f>
        <v>270</v>
      </c>
      <c r="G28" s="618"/>
      <c r="H28" s="619" t="s">
        <v>1085</v>
      </c>
      <c r="I28" s="620">
        <f t="shared" si="0"/>
        <v>27000</v>
      </c>
      <c r="J28" s="614"/>
      <c r="K28" s="621">
        <f>E28*1.03</f>
        <v>27810</v>
      </c>
      <c r="L28" s="622">
        <f t="shared" si="4"/>
        <v>278.10000000000002</v>
      </c>
    </row>
    <row r="29" spans="2:14">
      <c r="B29" s="615"/>
      <c r="C29" s="568"/>
      <c r="D29" s="623" t="s">
        <v>201</v>
      </c>
      <c r="E29" s="618">
        <v>75000</v>
      </c>
      <c r="F29" s="619">
        <f t="shared" si="3"/>
        <v>750</v>
      </c>
      <c r="G29" s="618"/>
      <c r="H29" s="619"/>
      <c r="I29" s="620">
        <f t="shared" si="0"/>
        <v>75000</v>
      </c>
      <c r="J29" s="614"/>
      <c r="K29" s="621">
        <f>E29*1.03</f>
        <v>77250</v>
      </c>
      <c r="L29" s="622">
        <f t="shared" si="4"/>
        <v>772.5</v>
      </c>
    </row>
    <row r="30" spans="2:14">
      <c r="B30" s="645"/>
      <c r="C30" s="646"/>
      <c r="D30" s="647" t="s">
        <v>203</v>
      </c>
      <c r="E30" s="648"/>
      <c r="F30" s="631">
        <f t="shared" si="3"/>
        <v>0</v>
      </c>
      <c r="G30" s="648"/>
      <c r="H30" s="631" t="s">
        <v>1085</v>
      </c>
      <c r="I30" s="632">
        <f t="shared" si="0"/>
        <v>0</v>
      </c>
      <c r="J30" s="649"/>
      <c r="K30" s="621">
        <f>E30</f>
        <v>0</v>
      </c>
      <c r="L30" s="622">
        <f t="shared" si="4"/>
        <v>0</v>
      </c>
    </row>
    <row r="31" spans="2:14">
      <c r="B31" s="633"/>
      <c r="C31" s="634"/>
      <c r="D31" s="635" t="s">
        <v>192</v>
      </c>
      <c r="E31" s="650">
        <f>SUM(E25:E30)</f>
        <v>199000</v>
      </c>
      <c r="F31" s="651">
        <f>SUM(F24:F30)</f>
        <v>1990</v>
      </c>
      <c r="G31" s="652">
        <f>SUM(G24:G30)</f>
        <v>0</v>
      </c>
      <c r="H31" s="651">
        <f>SUM(H24:H30)</f>
        <v>0</v>
      </c>
      <c r="I31" s="638">
        <f t="shared" si="0"/>
        <v>199000</v>
      </c>
      <c r="J31" s="639"/>
      <c r="K31" s="653">
        <f>SUM(K25:K30)</f>
        <v>204970</v>
      </c>
      <c r="L31" s="641">
        <f>SUM(L24:L30)</f>
        <v>2049.6999999999998</v>
      </c>
    </row>
    <row r="32" spans="2:14">
      <c r="B32" s="606"/>
      <c r="C32" s="607" t="s">
        <v>205</v>
      </c>
      <c r="D32" s="608"/>
      <c r="E32" s="611"/>
      <c r="F32" s="612"/>
      <c r="G32" s="611"/>
      <c r="H32" s="612"/>
      <c r="I32" s="613">
        <f t="shared" si="0"/>
        <v>0</v>
      </c>
      <c r="J32" s="614"/>
      <c r="K32" s="621"/>
      <c r="L32" s="622"/>
    </row>
    <row r="33" spans="2:13">
      <c r="B33" s="615"/>
      <c r="C33" s="568"/>
      <c r="D33" s="623" t="s">
        <v>207</v>
      </c>
      <c r="E33" s="618">
        <f>ROUNDUP(25*2080*1.03*1.03,-3)</f>
        <v>56000</v>
      </c>
      <c r="F33" s="619">
        <f t="shared" ref="F33:F45" si="5">+E33/$F$7</f>
        <v>560</v>
      </c>
      <c r="G33" s="618"/>
      <c r="H33" s="619" t="s">
        <v>1085</v>
      </c>
      <c r="I33" s="620">
        <f t="shared" si="0"/>
        <v>56000</v>
      </c>
      <c r="J33" s="614"/>
      <c r="K33" s="621"/>
      <c r="L33" s="622">
        <f t="shared" ref="L33:L45" si="6">+K33/$F$7</f>
        <v>0</v>
      </c>
      <c r="M33" s="535" t="s">
        <v>614</v>
      </c>
    </row>
    <row r="34" spans="2:13" hidden="1" outlineLevel="1">
      <c r="B34" s="615"/>
      <c r="C34" s="568"/>
      <c r="D34" s="623" t="s">
        <v>208</v>
      </c>
      <c r="E34" s="618"/>
      <c r="F34" s="619">
        <f t="shared" si="5"/>
        <v>0</v>
      </c>
      <c r="G34" s="618"/>
      <c r="H34" s="619"/>
      <c r="I34" s="620"/>
      <c r="J34" s="614"/>
      <c r="K34" s="621"/>
      <c r="L34" s="622">
        <f t="shared" si="6"/>
        <v>0</v>
      </c>
    </row>
    <row r="35" spans="2:13" collapsed="1">
      <c r="B35" s="615"/>
      <c r="C35" s="568"/>
      <c r="D35" s="623" t="s">
        <v>211</v>
      </c>
      <c r="E35" s="618">
        <f>ROUNDUP(20*2080*1.03*1.03,-3)</f>
        <v>45000</v>
      </c>
      <c r="F35" s="619">
        <f t="shared" si="5"/>
        <v>450</v>
      </c>
      <c r="G35" s="618"/>
      <c r="H35" s="619"/>
      <c r="I35" s="620"/>
      <c r="J35" s="614"/>
      <c r="K35" s="621"/>
      <c r="L35" s="622">
        <f t="shared" si="6"/>
        <v>0</v>
      </c>
      <c r="M35" s="535" t="s">
        <v>615</v>
      </c>
    </row>
    <row r="36" spans="2:13" hidden="1" outlineLevel="1">
      <c r="B36" s="615"/>
      <c r="C36" s="568"/>
      <c r="D36" s="623" t="s">
        <v>212</v>
      </c>
      <c r="E36" s="618"/>
      <c r="F36" s="619">
        <f t="shared" si="5"/>
        <v>0</v>
      </c>
      <c r="G36" s="618"/>
      <c r="H36" s="619"/>
      <c r="I36" s="620"/>
      <c r="J36" s="614"/>
      <c r="K36" s="621"/>
      <c r="L36" s="622">
        <f t="shared" si="6"/>
        <v>0</v>
      </c>
    </row>
    <row r="37" spans="2:13" collapsed="1">
      <c r="B37" s="615"/>
      <c r="C37" s="568"/>
      <c r="D37" s="623" t="s">
        <v>214</v>
      </c>
      <c r="E37" s="618">
        <v>5500</v>
      </c>
      <c r="F37" s="619">
        <f t="shared" si="5"/>
        <v>55</v>
      </c>
      <c r="G37" s="618"/>
      <c r="H37" s="619"/>
      <c r="I37" s="620"/>
      <c r="J37" s="614"/>
      <c r="K37" s="621"/>
      <c r="L37" s="622">
        <f t="shared" si="6"/>
        <v>0</v>
      </c>
      <c r="M37" s="535" t="s">
        <v>616</v>
      </c>
    </row>
    <row r="38" spans="2:13">
      <c r="B38" s="615"/>
      <c r="C38" s="568"/>
      <c r="D38" s="623" t="s">
        <v>215</v>
      </c>
      <c r="E38" s="618">
        <v>27419</v>
      </c>
      <c r="F38" s="619">
        <f t="shared" si="5"/>
        <v>274.19</v>
      </c>
      <c r="G38" s="618"/>
      <c r="H38" s="619" t="s">
        <v>1085</v>
      </c>
      <c r="I38" s="620">
        <f t="shared" si="0"/>
        <v>27419</v>
      </c>
      <c r="J38" s="614"/>
      <c r="K38" s="621"/>
      <c r="L38" s="622">
        <f t="shared" si="6"/>
        <v>0</v>
      </c>
      <c r="M38" s="535" t="s">
        <v>616</v>
      </c>
    </row>
    <row r="39" spans="2:13">
      <c r="B39" s="615"/>
      <c r="C39" s="568"/>
      <c r="D39" s="623" t="s">
        <v>217</v>
      </c>
      <c r="E39" s="618">
        <v>10827</v>
      </c>
      <c r="F39" s="619">
        <f t="shared" si="5"/>
        <v>108.27</v>
      </c>
      <c r="G39" s="618"/>
      <c r="H39" s="619"/>
      <c r="I39" s="620"/>
      <c r="J39" s="614"/>
      <c r="K39" s="621"/>
      <c r="L39" s="622">
        <f t="shared" si="6"/>
        <v>0</v>
      </c>
      <c r="M39" s="535" t="s">
        <v>616</v>
      </c>
    </row>
    <row r="40" spans="2:13" hidden="1" outlineLevel="1">
      <c r="B40" s="615"/>
      <c r="C40" s="568"/>
      <c r="D40" s="623" t="s">
        <v>219</v>
      </c>
      <c r="E40" s="618"/>
      <c r="F40" s="619">
        <f t="shared" si="5"/>
        <v>0</v>
      </c>
      <c r="G40" s="618"/>
      <c r="H40" s="619" t="s">
        <v>1085</v>
      </c>
      <c r="I40" s="620">
        <f t="shared" si="0"/>
        <v>0</v>
      </c>
      <c r="J40" s="614"/>
      <c r="K40" s="621"/>
      <c r="L40" s="622">
        <f t="shared" si="6"/>
        <v>0</v>
      </c>
    </row>
    <row r="41" spans="2:13" collapsed="1">
      <c r="B41" s="615"/>
      <c r="C41" s="568"/>
      <c r="D41" s="623" t="s">
        <v>221</v>
      </c>
      <c r="E41" s="618">
        <v>19200</v>
      </c>
      <c r="F41" s="619">
        <f t="shared" si="5"/>
        <v>192</v>
      </c>
      <c r="G41" s="618"/>
      <c r="H41" s="619" t="s">
        <v>1085</v>
      </c>
      <c r="I41" s="620">
        <f t="shared" si="0"/>
        <v>19200</v>
      </c>
      <c r="J41" s="614"/>
      <c r="K41" s="621"/>
      <c r="L41" s="622">
        <f t="shared" si="6"/>
        <v>0</v>
      </c>
      <c r="M41" s="535" t="s">
        <v>616</v>
      </c>
    </row>
    <row r="42" spans="2:13">
      <c r="B42" s="615"/>
      <c r="C42" s="568"/>
      <c r="D42" s="623" t="s">
        <v>223</v>
      </c>
      <c r="E42" s="618">
        <v>6500</v>
      </c>
      <c r="F42" s="619">
        <f t="shared" si="5"/>
        <v>65</v>
      </c>
      <c r="G42" s="618"/>
      <c r="H42" s="619" t="s">
        <v>1085</v>
      </c>
      <c r="I42" s="620">
        <f t="shared" si="0"/>
        <v>6500</v>
      </c>
      <c r="J42" s="614"/>
      <c r="K42" s="621"/>
      <c r="L42" s="622">
        <f t="shared" si="6"/>
        <v>0</v>
      </c>
      <c r="M42" s="535" t="s">
        <v>616</v>
      </c>
    </row>
    <row r="43" spans="2:13" hidden="1" outlineLevel="1">
      <c r="B43" s="615"/>
      <c r="C43" s="568"/>
      <c r="D43" s="623" t="s">
        <v>225</v>
      </c>
      <c r="E43" s="618"/>
      <c r="F43" s="619">
        <f t="shared" si="5"/>
        <v>0</v>
      </c>
      <c r="G43" s="618"/>
      <c r="H43" s="619" t="s">
        <v>1085</v>
      </c>
      <c r="I43" s="620">
        <f t="shared" si="0"/>
        <v>0</v>
      </c>
      <c r="J43" s="614"/>
      <c r="K43" s="621"/>
      <c r="L43" s="622">
        <f t="shared" si="6"/>
        <v>0</v>
      </c>
    </row>
    <row r="44" spans="2:13" collapsed="1">
      <c r="B44" s="615"/>
      <c r="C44" s="568"/>
      <c r="D44" s="623" t="s">
        <v>228</v>
      </c>
      <c r="E44" s="618">
        <v>90000</v>
      </c>
      <c r="F44" s="619">
        <f t="shared" si="5"/>
        <v>900</v>
      </c>
      <c r="G44" s="618"/>
      <c r="H44" s="619" t="s">
        <v>1085</v>
      </c>
      <c r="I44" s="620">
        <f t="shared" si="0"/>
        <v>90000</v>
      </c>
      <c r="J44" s="614"/>
      <c r="K44" s="621"/>
      <c r="L44" s="622">
        <f t="shared" si="6"/>
        <v>0</v>
      </c>
    </row>
    <row r="45" spans="2:13">
      <c r="B45" s="627"/>
      <c r="C45" s="628"/>
      <c r="D45" s="629" t="s">
        <v>229</v>
      </c>
      <c r="E45" s="630">
        <v>17000</v>
      </c>
      <c r="F45" s="631">
        <f t="shared" si="5"/>
        <v>170</v>
      </c>
      <c r="G45" s="630"/>
      <c r="H45" s="631" t="s">
        <v>1085</v>
      </c>
      <c r="I45" s="632">
        <f t="shared" si="0"/>
        <v>17000</v>
      </c>
      <c r="J45" s="614"/>
      <c r="K45" s="621"/>
      <c r="L45" s="622">
        <f t="shared" si="6"/>
        <v>0</v>
      </c>
      <c r="M45" s="535" t="s">
        <v>617</v>
      </c>
    </row>
    <row r="46" spans="2:13">
      <c r="B46" s="654"/>
      <c r="C46" s="568"/>
      <c r="D46" s="655" t="s">
        <v>192</v>
      </c>
      <c r="E46" s="656">
        <f>SUM(E33:E45)</f>
        <v>277446</v>
      </c>
      <c r="F46" s="637">
        <f>SUM(F32:F45)</f>
        <v>2774.46</v>
      </c>
      <c r="G46" s="657">
        <f>SUM(G32:G45)</f>
        <v>0</v>
      </c>
      <c r="H46" s="637">
        <f>SUM(H32:H45)</f>
        <v>0</v>
      </c>
      <c r="I46" s="638">
        <f t="shared" si="0"/>
        <v>277446</v>
      </c>
      <c r="J46" s="639"/>
      <c r="K46" s="658">
        <f>SUM(K33:K45)</f>
        <v>0</v>
      </c>
      <c r="L46" s="641">
        <f>SUM(L32:L45)</f>
        <v>0</v>
      </c>
    </row>
    <row r="47" spans="2:13">
      <c r="B47" s="606"/>
      <c r="C47" s="607" t="s">
        <v>231</v>
      </c>
      <c r="D47" s="608"/>
      <c r="E47" s="611"/>
      <c r="F47" s="612"/>
      <c r="G47" s="659"/>
      <c r="H47" s="612"/>
      <c r="I47" s="613">
        <f t="shared" si="0"/>
        <v>0</v>
      </c>
      <c r="J47" s="614"/>
      <c r="K47" s="621"/>
      <c r="L47" s="622"/>
    </row>
    <row r="48" spans="2:13">
      <c r="B48" s="615"/>
      <c r="C48" s="568"/>
      <c r="D48" s="623" t="s">
        <v>232</v>
      </c>
      <c r="E48" s="618">
        <v>10000</v>
      </c>
      <c r="F48" s="619">
        <f t="shared" ref="F48:F56" si="7">+E48/$F$7</f>
        <v>100</v>
      </c>
      <c r="G48" s="659"/>
      <c r="H48" s="619" t="s">
        <v>1085</v>
      </c>
      <c r="I48" s="620">
        <f t="shared" si="0"/>
        <v>10000</v>
      </c>
      <c r="J48" s="614"/>
      <c r="K48" s="621"/>
      <c r="L48" s="622">
        <f t="shared" ref="L48:L55" si="8">+K48/$F$7</f>
        <v>0</v>
      </c>
    </row>
    <row r="49" spans="2:13">
      <c r="B49" s="615"/>
      <c r="C49" s="568"/>
      <c r="D49" s="623" t="s">
        <v>235</v>
      </c>
      <c r="E49" s="618">
        <f>8.65%*($E$15+$E$33+$E$35)</f>
        <v>18943.5</v>
      </c>
      <c r="F49" s="619">
        <f t="shared" si="7"/>
        <v>189.435</v>
      </c>
      <c r="G49" s="659"/>
      <c r="H49" s="619"/>
      <c r="I49" s="620"/>
      <c r="J49" s="614"/>
      <c r="K49" s="621"/>
      <c r="L49" s="622">
        <f t="shared" si="8"/>
        <v>0</v>
      </c>
      <c r="M49" s="535" t="s">
        <v>618</v>
      </c>
    </row>
    <row r="50" spans="2:13">
      <c r="B50" s="615"/>
      <c r="C50" s="568"/>
      <c r="D50" s="623" t="s">
        <v>238</v>
      </c>
      <c r="E50" s="618">
        <f>(17%+4%+0.51%)*($E$15+$E$33+$E$35)</f>
        <v>47106.9</v>
      </c>
      <c r="F50" s="619">
        <f t="shared" si="7"/>
        <v>471.06900000000002</v>
      </c>
      <c r="G50" s="659"/>
      <c r="H50" s="619"/>
      <c r="I50" s="620"/>
      <c r="J50" s="614"/>
      <c r="K50" s="660"/>
      <c r="L50" s="622">
        <f t="shared" si="8"/>
        <v>0</v>
      </c>
      <c r="M50" s="535" t="s">
        <v>619</v>
      </c>
    </row>
    <row r="51" spans="2:13" hidden="1" outlineLevel="1">
      <c r="B51" s="615"/>
      <c r="C51" s="568"/>
      <c r="D51" s="623" t="s">
        <v>240</v>
      </c>
      <c r="E51" s="618">
        <v>0</v>
      </c>
      <c r="F51" s="619">
        <f t="shared" si="7"/>
        <v>0</v>
      </c>
      <c r="G51" s="659"/>
      <c r="H51" s="619"/>
      <c r="I51" s="620"/>
      <c r="J51" s="614"/>
      <c r="K51" s="661"/>
      <c r="L51" s="622">
        <f t="shared" si="8"/>
        <v>0</v>
      </c>
    </row>
    <row r="52" spans="2:13" hidden="1" outlineLevel="1">
      <c r="B52" s="615"/>
      <c r="C52" s="568"/>
      <c r="D52" s="623" t="s">
        <v>241</v>
      </c>
      <c r="E52" s="618"/>
      <c r="F52" s="619"/>
      <c r="G52" s="659"/>
      <c r="H52" s="619"/>
      <c r="I52" s="620"/>
      <c r="J52" s="614"/>
      <c r="K52" s="661"/>
      <c r="L52" s="622"/>
    </row>
    <row r="53" spans="2:13" hidden="1" outlineLevel="1">
      <c r="B53" s="615"/>
      <c r="C53" s="568"/>
      <c r="D53" s="623" t="s">
        <v>243</v>
      </c>
      <c r="E53" s="618"/>
      <c r="F53" s="619"/>
      <c r="G53" s="659"/>
      <c r="H53" s="619"/>
      <c r="I53" s="620"/>
      <c r="J53" s="614"/>
      <c r="K53" s="661"/>
      <c r="L53" s="622"/>
    </row>
    <row r="54" spans="2:13" hidden="1" outlineLevel="1">
      <c r="B54" s="615"/>
      <c r="C54" s="568"/>
      <c r="D54" s="623" t="s">
        <v>245</v>
      </c>
      <c r="E54" s="618"/>
      <c r="F54" s="619"/>
      <c r="G54" s="659"/>
      <c r="H54" s="619"/>
      <c r="I54" s="620"/>
      <c r="J54" s="614"/>
      <c r="K54" s="661"/>
      <c r="L54" s="622"/>
    </row>
    <row r="55" spans="2:13" collapsed="1">
      <c r="B55" s="615"/>
      <c r="C55" s="568"/>
      <c r="D55" s="623" t="s">
        <v>247</v>
      </c>
      <c r="E55" s="618">
        <v>180000</v>
      </c>
      <c r="F55" s="619">
        <f t="shared" si="7"/>
        <v>1800</v>
      </c>
      <c r="G55" s="659"/>
      <c r="H55" s="619" t="s">
        <v>1085</v>
      </c>
      <c r="I55" s="620">
        <f t="shared" si="0"/>
        <v>180000</v>
      </c>
      <c r="J55" s="614"/>
      <c r="K55" s="621"/>
      <c r="L55" s="622">
        <f t="shared" si="8"/>
        <v>0</v>
      </c>
      <c r="M55" s="535" t="s">
        <v>620</v>
      </c>
    </row>
    <row r="56" spans="2:13">
      <c r="B56" s="633"/>
      <c r="C56" s="634"/>
      <c r="D56" s="635" t="s">
        <v>192</v>
      </c>
      <c r="E56" s="636">
        <f>SUM(E48:E55)</f>
        <v>256050.4</v>
      </c>
      <c r="F56" s="637">
        <f t="shared" si="7"/>
        <v>2560.5039999999999</v>
      </c>
      <c r="G56" s="662">
        <f>SUM(G47:G55)</f>
        <v>0</v>
      </c>
      <c r="H56" s="637">
        <f>SUM(H47:H55)</f>
        <v>0</v>
      </c>
      <c r="I56" s="663">
        <f t="shared" si="0"/>
        <v>256050.4</v>
      </c>
      <c r="J56" s="639"/>
      <c r="K56" s="640">
        <f>SUM(K48:K55)</f>
        <v>0</v>
      </c>
      <c r="L56" s="641">
        <f>SUM(L47:L55)</f>
        <v>0</v>
      </c>
    </row>
    <row r="57" spans="2:13">
      <c r="B57" s="627"/>
      <c r="C57" s="664" t="s">
        <v>230</v>
      </c>
      <c r="D57" s="665"/>
      <c r="E57" s="666">
        <f>SUM(E56,E46,E31,E23)</f>
        <v>1055995.7</v>
      </c>
      <c r="F57" s="666">
        <f>SUM(F56,F46,F31,F23)</f>
        <v>10559.957</v>
      </c>
      <c r="G57" s="667">
        <f>SUM(G56,G46,G31,G23)</f>
        <v>0</v>
      </c>
      <c r="H57" s="667">
        <f>SUM(H56,H46,H31,H23)</f>
        <v>0</v>
      </c>
      <c r="I57" s="667">
        <f>SUM(I56,I46,I31,I23)</f>
        <v>1055995.7</v>
      </c>
      <c r="J57" s="826"/>
      <c r="K57" s="827">
        <f>SUM(K56,K46,K31,K23)</f>
        <v>204970</v>
      </c>
      <c r="L57" s="827">
        <f>SUM(L56,L46,L31,L23)</f>
        <v>2049.6999999999998</v>
      </c>
    </row>
    <row r="58" spans="2:13">
      <c r="B58" s="668"/>
      <c r="C58" s="669"/>
      <c r="D58" s="670" t="s">
        <v>251</v>
      </c>
      <c r="E58" s="671">
        <v>79562</v>
      </c>
      <c r="F58" s="612">
        <f>+E58/$F$7</f>
        <v>795.62</v>
      </c>
      <c r="G58" s="672"/>
      <c r="H58" s="672"/>
      <c r="I58" s="673">
        <f>E58+G58</f>
        <v>79562</v>
      </c>
      <c r="M58" s="674"/>
    </row>
    <row r="59" spans="2:13">
      <c r="B59" s="645"/>
      <c r="C59" s="646"/>
      <c r="D59" s="675" t="s">
        <v>253</v>
      </c>
      <c r="E59" s="676">
        <f>500*100</f>
        <v>50000</v>
      </c>
      <c r="F59" s="631">
        <f>+E59/$F$7</f>
        <v>500</v>
      </c>
      <c r="G59" s="677"/>
      <c r="H59" s="677"/>
      <c r="I59" s="632">
        <f>E59+G59</f>
        <v>50000</v>
      </c>
    </row>
    <row r="60" spans="2:13">
      <c r="B60" s="542"/>
      <c r="C60" s="678" t="s">
        <v>254</v>
      </c>
      <c r="D60" s="679"/>
      <c r="E60" s="680">
        <f>E57+E58+E59</f>
        <v>1185557.7</v>
      </c>
      <c r="F60" s="681">
        <f>+E60/$F$7</f>
        <v>11855.576999999999</v>
      </c>
      <c r="G60" s="682"/>
      <c r="H60" s="682"/>
      <c r="I60" s="680">
        <f>I57+I58+I59</f>
        <v>1185557.7</v>
      </c>
    </row>
    <row r="61" spans="2:13">
      <c r="B61" s="542"/>
      <c r="C61" s="542"/>
      <c r="D61" s="542"/>
      <c r="E61" s="542"/>
      <c r="F61" s="542"/>
      <c r="G61" s="542"/>
      <c r="H61" s="542"/>
      <c r="I61" s="542"/>
    </row>
    <row r="62" spans="2:13">
      <c r="B62" s="542"/>
      <c r="C62" s="542"/>
      <c r="D62" s="542"/>
      <c r="E62" s="542"/>
      <c r="F62" s="542"/>
      <c r="G62" s="542"/>
      <c r="H62" s="542"/>
      <c r="I62" s="542"/>
    </row>
    <row r="63" spans="2:13">
      <c r="B63" s="542"/>
      <c r="C63" s="542"/>
      <c r="D63" s="678" t="s">
        <v>621</v>
      </c>
      <c r="E63" s="542"/>
      <c r="F63" s="542"/>
      <c r="G63" s="542"/>
      <c r="H63" s="542"/>
      <c r="I63" s="542"/>
    </row>
    <row r="64" spans="2:13">
      <c r="B64" s="542"/>
      <c r="C64" s="542"/>
      <c r="D64" s="542" t="s">
        <v>622</v>
      </c>
      <c r="E64" s="542">
        <v>0</v>
      </c>
      <c r="F64" s="542"/>
      <c r="G64" s="542"/>
      <c r="H64" s="542"/>
      <c r="I64" s="542"/>
    </row>
    <row r="65" spans="2:11">
      <c r="B65" s="542"/>
      <c r="C65" s="542"/>
      <c r="D65" s="542" t="s">
        <v>623</v>
      </c>
      <c r="E65" s="683">
        <v>0</v>
      </c>
      <c r="F65" s="542"/>
      <c r="G65" s="542"/>
      <c r="H65" s="542"/>
      <c r="I65" s="542"/>
      <c r="K65" s="684">
        <v>45068</v>
      </c>
    </row>
    <row r="66" spans="2:11">
      <c r="B66" s="542"/>
      <c r="C66" s="542"/>
      <c r="D66" s="678" t="s">
        <v>624</v>
      </c>
      <c r="E66" s="678">
        <f>SUM(E64:E65)</f>
        <v>0</v>
      </c>
      <c r="F66" s="542"/>
      <c r="G66" s="542"/>
      <c r="H66" s="542"/>
      <c r="I66" s="542"/>
      <c r="K66" s="685">
        <v>45490</v>
      </c>
    </row>
    <row r="67" spans="2:11">
      <c r="B67" s="542"/>
      <c r="C67" s="542"/>
      <c r="D67" s="542"/>
      <c r="E67" s="542"/>
      <c r="F67" s="542"/>
      <c r="G67" s="542"/>
      <c r="H67" s="542"/>
      <c r="I67" s="542"/>
    </row>
    <row r="68" spans="2:11">
      <c r="B68" s="542"/>
      <c r="C68" s="542"/>
      <c r="D68" s="542"/>
      <c r="E68" s="678">
        <v>2022</v>
      </c>
      <c r="F68" s="678">
        <v>2021</v>
      </c>
      <c r="G68" s="542"/>
      <c r="H68" s="542"/>
      <c r="I68" s="542"/>
      <c r="K68" s="535">
        <f>K66-K65</f>
        <v>422</v>
      </c>
    </row>
    <row r="69" spans="2:11">
      <c r="B69" s="542"/>
      <c r="C69" s="542"/>
      <c r="D69" s="542" t="s">
        <v>625</v>
      </c>
      <c r="E69" s="686">
        <f>1375697-594460</f>
        <v>781237</v>
      </c>
      <c r="F69" s="686">
        <f>1234817-474691</f>
        <v>760126</v>
      </c>
      <c r="G69" s="542"/>
      <c r="H69" s="542"/>
      <c r="I69" s="542"/>
    </row>
    <row r="70" spans="2:11">
      <c r="B70" s="542"/>
      <c r="C70" s="542"/>
      <c r="D70" s="687" t="s">
        <v>626</v>
      </c>
      <c r="E70" s="686">
        <f>E69/75</f>
        <v>10416.493333333334</v>
      </c>
      <c r="F70" s="686">
        <f>F69/75</f>
        <v>10135.013333333334</v>
      </c>
      <c r="G70" s="542"/>
      <c r="H70" s="542"/>
      <c r="I70" s="542"/>
    </row>
    <row r="71" spans="2:11">
      <c r="B71" s="542"/>
      <c r="C71" s="542"/>
      <c r="D71" s="542" t="s">
        <v>627</v>
      </c>
      <c r="E71" s="686"/>
      <c r="F71" s="686"/>
      <c r="G71" s="542"/>
      <c r="H71" s="542"/>
      <c r="I71" s="542"/>
    </row>
    <row r="72" spans="2:11">
      <c r="B72" s="542"/>
      <c r="C72" s="542"/>
      <c r="D72" s="687" t="s">
        <v>626</v>
      </c>
      <c r="E72" s="686"/>
      <c r="F72" s="686"/>
      <c r="G72" s="542"/>
      <c r="H72" s="542"/>
      <c r="I72" s="542"/>
    </row>
    <row r="73" spans="2:11">
      <c r="B73" s="542"/>
      <c r="C73" s="542"/>
      <c r="D73" s="542"/>
      <c r="E73" s="542"/>
      <c r="F73" s="542"/>
      <c r="G73" s="542"/>
      <c r="H73" s="542"/>
      <c r="I73" s="542"/>
    </row>
    <row r="74" spans="2:11">
      <c r="B74" s="542"/>
      <c r="C74" s="542"/>
      <c r="D74" s="542"/>
      <c r="E74" s="542"/>
      <c r="F74" s="542"/>
      <c r="G74" s="542"/>
      <c r="H74" s="542"/>
      <c r="I74" s="542"/>
    </row>
    <row r="75" spans="2:11">
      <c r="B75" s="542"/>
      <c r="C75" s="542"/>
      <c r="D75" s="542"/>
      <c r="E75" s="542"/>
      <c r="F75" s="542"/>
      <c r="G75" s="542"/>
      <c r="H75" s="542"/>
      <c r="I75" s="542"/>
    </row>
    <row r="76" spans="2:11">
      <c r="B76" s="542"/>
      <c r="C76" s="542"/>
      <c r="D76" s="542"/>
      <c r="E76" s="542"/>
      <c r="F76" s="542"/>
      <c r="G76" s="542"/>
      <c r="H76" s="542"/>
      <c r="I76" s="542"/>
    </row>
    <row r="77" spans="2:11">
      <c r="B77" s="542"/>
      <c r="C77" s="542"/>
      <c r="D77" s="542"/>
      <c r="E77" s="542"/>
      <c r="F77" s="542">
        <f>25*88</f>
        <v>2200</v>
      </c>
      <c r="G77" s="542"/>
      <c r="H77" s="542"/>
      <c r="I77" s="542"/>
    </row>
    <row r="78" spans="2:11">
      <c r="B78" s="542"/>
      <c r="C78" s="542"/>
      <c r="D78" s="542"/>
      <c r="E78" s="542"/>
      <c r="F78" s="542"/>
      <c r="G78" s="542"/>
      <c r="H78" s="542"/>
      <c r="I78" s="542"/>
    </row>
    <row r="79" spans="2:11">
      <c r="B79" s="542"/>
      <c r="C79" s="542"/>
      <c r="D79" s="542"/>
      <c r="E79" s="542"/>
      <c r="F79" s="542"/>
      <c r="G79" s="542"/>
      <c r="H79" s="542"/>
      <c r="I79" s="542"/>
    </row>
  </sheetData>
  <pageMargins left="0.25" right="0.25" top="0.75" bottom="0.75" header="0.3" footer="0.3"/>
  <pageSetup orientation="portrait" r:id="rId1"/>
  <headerFooter alignWithMargins="0">
    <oddFooter>&amp;L&amp;"Aparajita,Regular"&amp;8&amp;F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65CA5C35BB944A27E197E48D4DEF9" ma:contentTypeVersion="16" ma:contentTypeDescription="Create a new document." ma:contentTypeScope="" ma:versionID="82e4499ed6f5b90b6bb6a9f802e063b7">
  <xsd:schema xmlns:xsd="http://www.w3.org/2001/XMLSchema" xmlns:xs="http://www.w3.org/2001/XMLSchema" xmlns:p="http://schemas.microsoft.com/office/2006/metadata/properties" xmlns:ns2="17fcf1e4-1e12-4d8b-b149-fe303d175e1c" xmlns:ns3="adfa2c10-b3ea-4c34-937f-5aa60ce55639" targetNamespace="http://schemas.microsoft.com/office/2006/metadata/properties" ma:root="true" ma:fieldsID="0342a3fabd2a06d719013940085a60e6" ns2:_="" ns3:_="">
    <xsd:import namespace="17fcf1e4-1e12-4d8b-b149-fe303d175e1c"/>
    <xsd:import namespace="adfa2c10-b3ea-4c34-937f-5aa60ce5563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cf1e4-1e12-4d8b-b149-fe303d175e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b6deba-fcf2-4924-ae9c-cf5bf8020bda}" ma:internalName="TaxCatchAll" ma:showField="CatchAllData" ma:web="17fcf1e4-1e12-4d8b-b149-fe303d175e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a2c10-b3ea-4c34-937f-5aa60ce556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e7ad56e-caea-46ba-8653-7feef473c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fa2c10-b3ea-4c34-937f-5aa60ce55639">
      <Terms xmlns="http://schemas.microsoft.com/office/infopath/2007/PartnerControls"/>
    </lcf76f155ced4ddcb4097134ff3c332f>
    <TaxCatchAll xmlns="17fcf1e4-1e12-4d8b-b149-fe303d175e1c" xsi:nil="true"/>
    <_dlc_DocId xmlns="17fcf1e4-1e12-4d8b-b149-fe303d175e1c">3MMXQM6QZAKD-201018322-2465248</_dlc_DocId>
    <_dlc_DocIdUrl xmlns="17fcf1e4-1e12-4d8b-b149-fe303d175e1c">
      <Url>https://abode.sharepoint.com/sites/File_Share/_layouts/15/DocIdRedir.aspx?ID=3MMXQM6QZAKD-201018322-2465248</Url>
      <Description>3MMXQM6QZAKD-201018322-2465248</Description>
    </_dlc_DocIdUrl>
    <_Flow_SignoffStatus xmlns="adfa2c10-b3ea-4c34-937f-5aa60ce55639" xsi:nil="true"/>
  </documentManagement>
</p:properties>
</file>

<file path=customXml/itemProps1.xml><?xml version="1.0" encoding="utf-8"?>
<ds:datastoreItem xmlns:ds="http://schemas.openxmlformats.org/officeDocument/2006/customXml" ds:itemID="{8E2F03AF-94BF-49C3-B1C1-6F01B2F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73C2C-0F99-4CF4-9643-FEC0B0DFA7F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031CBD3-581B-4A61-AF3D-6F07FFAB7C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cf1e4-1e12-4d8b-b149-fe303d175e1c"/>
    <ds:schemaRef ds:uri="adfa2c10-b3ea-4c34-937f-5aa60ce556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693273-E99D-4F98-99D3-BA27D51A258A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http://purl.org/dc/dcmitype/"/>
    <ds:schemaRef ds:uri="adfa2c10-b3ea-4c34-937f-5aa60ce55639"/>
    <ds:schemaRef ds:uri="17fcf1e4-1e12-4d8b-b149-fe303d175e1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5</vt:i4>
      </vt:variant>
    </vt:vector>
  </HeadingPairs>
  <TitlesOfParts>
    <vt:vector size="29" baseType="lpstr">
      <vt:lpstr>Summary</vt:lpstr>
      <vt:lpstr>GapCalc</vt:lpstr>
      <vt:lpstr>Rental Income</vt:lpstr>
      <vt:lpstr>Development Budget</vt:lpstr>
      <vt:lpstr>Data</vt:lpstr>
      <vt:lpstr>Cash Flow</vt:lpstr>
      <vt:lpstr>Construction Calculation</vt:lpstr>
      <vt:lpstr>Debt Calc</vt:lpstr>
      <vt:lpstr>Tax Calc</vt:lpstr>
      <vt:lpstr>Operating Budget</vt:lpstr>
      <vt:lpstr>Dev Summary</vt:lpstr>
      <vt:lpstr>Insurance Estimator</vt:lpstr>
      <vt:lpstr>EV</vt:lpstr>
      <vt:lpstr>Dev Budget_5-20</vt:lpstr>
      <vt:lpstr>Dev Summary_5-20</vt:lpstr>
      <vt:lpstr>Predev_5-20</vt:lpstr>
      <vt:lpstr>Predevelopment</vt:lpstr>
      <vt:lpstr>PreDev Flow of Funds</vt:lpstr>
      <vt:lpstr>Construction Flow of Funds</vt:lpstr>
      <vt:lpstr>Arch Fees</vt:lpstr>
      <vt:lpstr>Income</vt:lpstr>
      <vt:lpstr>Permit Fee Breakdown</vt:lpstr>
      <vt:lpstr>Timeline</vt:lpstr>
      <vt:lpstr>Operating Budget (2)</vt:lpstr>
      <vt:lpstr>'Debt Calc'!Print_Area</vt:lpstr>
      <vt:lpstr>Income!Print_Area</vt:lpstr>
      <vt:lpstr>'Operating Budget (2)'!Print_Area</vt:lpstr>
      <vt:lpstr>Predevelopment!Print_Area</vt:lpstr>
      <vt:lpstr>'Rental Income'!Print_Area</vt:lpstr>
    </vt:vector>
  </TitlesOfParts>
  <Company>Abode Communities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Maegan Pearson</dc:creator>
  <cp:lastModifiedBy>Chase Engelhard</cp:lastModifiedBy>
  <cp:revision/>
  <dcterms:created xsi:type="dcterms:W3CDTF">2019-10-07T17:16:58Z</dcterms:created>
  <dcterms:modified xsi:type="dcterms:W3CDTF">2024-05-23T19:23:02Z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0x010100AF565CA5C35BB944A27E197E48D4DEF9</vt:lpwstr>
  </property>
  <property fmtid="{D5CDD505-2E9C-101B-9397-08002B2CF9AE}" pid="3" name="Order">
    <vt:r8>10100</vt:r8>
  </property>
  <property fmtid="{D5CDD505-2E9C-101B-9397-08002B2CF9AE}" pid="4" name="_dlc_DocIdItemGuid">
    <vt:lpwstr>e2b4d005-917f-4026-8fbe-f26ca21215e2</vt:lpwstr>
  </property>
  <property fmtid="{D5CDD505-2E9C-101B-9397-08002B2CF9AE}" pid="5" name="MediaServiceImageTags">
    <vt:lpwstr/>
  </property>
</Properties>
</file>