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Recycled Bonds\"/>
    </mc:Choice>
  </mc:AlternateContent>
  <xr:revisionPtr revIDLastSave="0" documentId="13_ncr:1_{F6D5286B-8544-4A0D-9354-C0AA3E505E8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0" i="10" l="1"/>
  <c r="M163" i="1"/>
  <c r="D37" i="2"/>
  <c r="M116" i="1"/>
  <c r="M117" i="1"/>
  <c r="E35" i="1"/>
  <c r="D40" i="28" l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H33" i="2" l="1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K53" i="10" l="1"/>
  <c r="I45" i="10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l="1"/>
  <c r="K55" i="10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D22" i="6"/>
  <c r="I250" i="1"/>
  <c r="K97" i="1" s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<sst xmlns="http://schemas.openxmlformats.org/spreadsheetml/2006/main" count="1995" uniqueCount="1105">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</sst>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9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36" fillId="0" borderId="33" xfId="0" applyFont="1" applyBorder="1" applyAlignment="1">
      <alignment horizontal="left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0" fontId="55" fillId="0" borderId="0" xfId="0" applyFont="1" applyFill="1" applyAlignment="1">
      <alignment horizontal="center"/>
    </xf>
    <xf numFmtId="37" fontId="55" fillId="0" borderId="0" xfId="0" applyNumberFormat="1" applyFont="1" applyFill="1" applyAlignment="1">
      <alignment horizontal="center"/>
    </xf>
    <xf numFmtId="0" fontId="55" fillId="0" borderId="0" xfId="0" applyFont="1" applyFill="1" applyAlignment="1" applyProtection="1">
      <alignment horizontal="center"/>
      <protection locked="0"/>
    </xf>
    <xf numFmtId="0" fontId="54" fillId="0" borderId="0" xfId="0" applyFont="1" applyFill="1" applyAlignment="1">
      <alignment horizontal="center"/>
    </xf>
    <xf numFmtId="0" fontId="54" fillId="0" borderId="8" xfId="0" applyFont="1" applyFill="1" applyBorder="1" applyAlignment="1">
      <alignment horizontal="center"/>
    </xf>
    <xf numFmtId="0" fontId="54" fillId="0" borderId="0" xfId="0" applyFont="1" applyFill="1"/>
    <xf numFmtId="0" fontId="55" fillId="0" borderId="98" xfId="0" applyFont="1" applyFill="1" applyBorder="1" applyAlignment="1" applyProtection="1">
      <alignment horizontal="center"/>
      <protection locked="0"/>
    </xf>
    <xf numFmtId="37" fontId="55" fillId="0" borderId="98" xfId="0" applyNumberFormat="1" applyFont="1" applyFill="1" applyBorder="1" applyAlignment="1" applyProtection="1">
      <alignment horizontal="center"/>
      <protection locked="0"/>
    </xf>
    <xf numFmtId="0" fontId="55" fillId="0" borderId="98" xfId="0" applyFont="1" applyFill="1" applyBorder="1" applyAlignment="1">
      <alignment horizontal="center"/>
    </xf>
    <xf numFmtId="0" fontId="54" fillId="0" borderId="98" xfId="0" applyFont="1" applyFill="1" applyBorder="1" applyAlignment="1">
      <alignment horizontal="center"/>
    </xf>
    <xf numFmtId="0" fontId="54" fillId="0" borderId="97" xfId="0" applyFont="1" applyFill="1" applyBorder="1" applyAlignment="1">
      <alignment horizontal="center"/>
    </xf>
    <xf numFmtId="5" fontId="55" fillId="0" borderId="0" xfId="0" applyNumberFormat="1" applyFont="1" applyFill="1" applyProtection="1">
      <protection locked="0"/>
    </xf>
    <xf numFmtId="37" fontId="54" fillId="0" borderId="0" xfId="0" applyNumberFormat="1" applyFont="1" applyFill="1"/>
    <xf numFmtId="5" fontId="54" fillId="0" borderId="8" xfId="0" applyNumberFormat="1" applyFont="1" applyFill="1" applyBorder="1"/>
    <xf numFmtId="8" fontId="86" fillId="0" borderId="0" xfId="0" applyNumberFormat="1" applyFont="1" applyFill="1" applyAlignment="1">
      <alignment horizontal="right" wrapText="1"/>
    </xf>
    <xf numFmtId="43" fontId="54" fillId="0" borderId="0" xfId="0" applyNumberFormat="1" applyFont="1" applyFill="1"/>
    <xf numFmtId="37" fontId="55" fillId="0" borderId="0" xfId="0" applyNumberFormat="1" applyFont="1" applyFill="1" applyProtection="1">
      <protection locked="0"/>
    </xf>
    <xf numFmtId="9" fontId="86" fillId="0" borderId="0" xfId="3" applyFont="1" applyFill="1" applyAlignment="1">
      <alignment horizontal="right" wrapText="1"/>
    </xf>
    <xf numFmtId="0" fontId="55" fillId="0" borderId="10" xfId="0" applyFont="1" applyFill="1" applyBorder="1"/>
    <xf numFmtId="37" fontId="55" fillId="0" borderId="10" xfId="0" applyNumberFormat="1" applyFont="1" applyFill="1" applyBorder="1"/>
    <xf numFmtId="37" fontId="54" fillId="0" borderId="10" xfId="0" applyNumberFormat="1" applyFont="1" applyFill="1" applyBorder="1"/>
    <xf numFmtId="5" fontId="54" fillId="0" borderId="12" xfId="0" applyNumberFormat="1" applyFont="1" applyFill="1" applyBorder="1"/>
    <xf numFmtId="6" fontId="0" fillId="0" borderId="0" xfId="0" applyNumberFormat="1" applyFill="1"/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5" workbookViewId="0">
      <selection activeCell="D28" sqref="D28:E28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983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6" t="s">
        <v>1090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151</v>
      </c>
      <c r="E10" s="699"/>
    </row>
    <row r="11" spans="1:5">
      <c r="A11" s="690"/>
      <c r="B11" s="698" t="s">
        <v>11</v>
      </c>
      <c r="C11" s="698"/>
      <c r="D11" s="700">
        <f>D12+D13</f>
        <v>147144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147144</v>
      </c>
      <c r="E12" s="700"/>
    </row>
    <row r="13" spans="1:5">
      <c r="A13" s="1686"/>
      <c r="B13" s="1687" t="s">
        <v>13</v>
      </c>
      <c r="C13" s="1687"/>
      <c r="D13" s="1688">
        <f>'Construction Calculation'!C18</f>
        <v>0</v>
      </c>
      <c r="E13" s="700"/>
    </row>
    <row r="14" spans="1:5">
      <c r="A14" s="1689" t="s">
        <v>1094</v>
      </c>
      <c r="B14" s="1690"/>
      <c r="C14" s="1690"/>
      <c r="D14" s="1713" t="s">
        <v>1103</v>
      </c>
      <c r="E14" s="700"/>
    </row>
    <row r="15" spans="1:5">
      <c r="A15" s="1581" t="s">
        <v>1091</v>
      </c>
      <c r="B15" s="1677"/>
      <c r="C15" s="1684"/>
      <c r="D15" s="1678" cm="1">
        <f t="array" aca="1" ref="D15" ca="1">IF(D14="Year 7 Takeout", INDIRECT("GapCalc!K46"), INDIRECT("GapCalc!K58"))</f>
        <v>3.5061240434928545E-2</v>
      </c>
      <c r="E15" s="700"/>
    </row>
    <row r="16" spans="1:5">
      <c r="A16" s="1680" t="s">
        <v>1092</v>
      </c>
      <c r="B16" s="702"/>
      <c r="D16" s="1679" cm="1">
        <f t="array" aca="1" ref="D16" ca="1">IF(D14="Year 7 Takeout", INDIRECT("GapCalc!K51"), INDIRECT("GapCalc!K63"))</f>
        <v>3.5061240434928552E-2</v>
      </c>
      <c r="E16" s="700"/>
    </row>
    <row r="17" spans="1:6">
      <c r="A17" s="1685"/>
      <c r="B17" s="702"/>
      <c r="D17" s="1681"/>
      <c r="E17" s="1751" t="s">
        <v>961</v>
      </c>
    </row>
    <row r="18" spans="1:6">
      <c r="A18" s="1682" t="s">
        <v>1093</v>
      </c>
      <c r="B18" s="47"/>
      <c r="C18" s="47"/>
      <c r="D18" s="1683" cm="1">
        <f t="array" aca="1" ref="D18" ca="1">IF(D14="Year 7 Takeout", INDIRECT("GapCalc!I55"), INDIRECT("GapCalc!I67"))</f>
        <v>-7581795.9099988602</v>
      </c>
      <c r="E18" s="1752">
        <f ca="1">-D18/D28</f>
        <v>8.2576663149954002E-2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382</v>
      </c>
    </row>
    <row r="21" spans="1:6">
      <c r="A21" s="64"/>
      <c r="B21" s="63" t="s">
        <v>15</v>
      </c>
      <c r="C21" s="63"/>
      <c r="D21" s="1531">
        <f>'Development Budget'!G28</f>
        <v>10055000</v>
      </c>
      <c r="E21" s="1531">
        <f>D21/$D$10</f>
        <v>66589.403973509936</v>
      </c>
    </row>
    <row r="22" spans="1:6">
      <c r="A22" s="64"/>
      <c r="B22" s="4" t="s">
        <v>16</v>
      </c>
      <c r="C22" s="4"/>
      <c r="D22" s="1531">
        <f>'Development Budget'!G44</f>
        <v>55329000</v>
      </c>
      <c r="E22" s="1531">
        <f t="shared" ref="E22:E28" si="0">D22/$D$10</f>
        <v>366417.21854304633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1863720</v>
      </c>
      <c r="E23" s="1531">
        <f t="shared" si="0"/>
        <v>12342.51655629139</v>
      </c>
    </row>
    <row r="24" spans="1:6">
      <c r="A24" s="64"/>
      <c r="B24" s="4" t="s">
        <v>18</v>
      </c>
      <c r="C24" s="4"/>
      <c r="D24" s="1531">
        <f>'Development Budget'!G97</f>
        <v>2622699</v>
      </c>
      <c r="E24" s="1531">
        <f t="shared" si="0"/>
        <v>17368.867549668874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8466735.4998815246</v>
      </c>
      <c r="E25" s="1531">
        <f t="shared" si="0"/>
        <v>56071.096025705461</v>
      </c>
    </row>
    <row r="26" spans="1:6">
      <c r="A26" s="64"/>
      <c r="B26" s="4" t="s">
        <v>20</v>
      </c>
      <c r="C26" s="4"/>
      <c r="D26" s="1531">
        <f>'Development Budget'!G181</f>
        <v>3947716.0329985875</v>
      </c>
      <c r="E26" s="1531">
        <f t="shared" si="0"/>
        <v>26143.814788070114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9530366.6150632203</v>
      </c>
      <c r="E27" s="1532">
        <f t="shared" si="0"/>
        <v>63115.010695782912</v>
      </c>
    </row>
    <row r="28" spans="1:6" ht="16.5" thickTop="1">
      <c r="A28" s="4"/>
      <c r="B28" s="4"/>
      <c r="C28" s="150" t="s">
        <v>14</v>
      </c>
      <c r="D28" s="1533">
        <f>SUM(D21:D27)</f>
        <v>91815237.147943333</v>
      </c>
      <c r="E28" s="1531">
        <f t="shared" si="0"/>
        <v>608047.928132075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382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5">
        <f>Data!C20</f>
        <v>59679904.146163166</v>
      </c>
      <c r="E32" s="1585">
        <f t="shared" si="1"/>
        <v>395231.15328584879</v>
      </c>
    </row>
    <row r="33" spans="1:5">
      <c r="A33" s="64"/>
      <c r="B33" s="4" t="s">
        <v>1051</v>
      </c>
      <c r="C33" s="4"/>
      <c r="D33" s="1586">
        <f>GapCalc!D29</f>
        <v>4820299.9502670253</v>
      </c>
      <c r="E33" s="1585">
        <f>D33/$D$10</f>
        <v>31922.516226933942</v>
      </c>
    </row>
    <row r="34" spans="1:5">
      <c r="A34" s="65"/>
      <c r="B34" s="4" t="s">
        <v>26</v>
      </c>
      <c r="C34" s="4"/>
      <c r="D34" s="1586">
        <f>GapCalc!D30</f>
        <v>27315033.051513143</v>
      </c>
      <c r="E34" s="1585">
        <f>D34/$D$10</f>
        <v>180894.25861929235</v>
      </c>
    </row>
    <row r="35" spans="1:5" ht="16.5" thickBot="1">
      <c r="A35" s="66"/>
      <c r="B35" s="67" t="s">
        <v>27</v>
      </c>
      <c r="C35" s="67"/>
      <c r="D35" s="1587">
        <v>0</v>
      </c>
      <c r="E35" s="1587">
        <f>D35/$D$10</f>
        <v>0</v>
      </c>
    </row>
    <row r="36" spans="1:5" ht="16.5" thickTop="1">
      <c r="A36" s="4"/>
      <c r="B36" s="690"/>
      <c r="C36" s="150" t="s">
        <v>28</v>
      </c>
      <c r="D36" s="1588">
        <f>SUM(D31:D35)</f>
        <v>91815237.147943333</v>
      </c>
      <c r="E36" s="1585">
        <f>D36/$D$10</f>
        <v>608047.928132075</v>
      </c>
    </row>
    <row r="37" spans="1:5">
      <c r="A37" s="60"/>
      <c r="B37" s="4"/>
      <c r="C37" s="4"/>
      <c r="D37" s="1585"/>
      <c r="E37" s="1593"/>
    </row>
    <row r="38" spans="1:5" ht="18.75">
      <c r="A38" s="152" t="s">
        <v>29</v>
      </c>
      <c r="B38" s="148"/>
      <c r="C38" s="148"/>
      <c r="D38" s="1589"/>
      <c r="E38" s="1594" t="s">
        <v>382</v>
      </c>
    </row>
    <row r="39" spans="1:5">
      <c r="A39" s="60"/>
      <c r="B39" s="4" t="s">
        <v>1047</v>
      </c>
      <c r="C39" s="4"/>
      <c r="D39" s="1585">
        <f>Data!G30</f>
        <v>0</v>
      </c>
      <c r="E39" s="1585">
        <f>D39/$D$10</f>
        <v>0</v>
      </c>
    </row>
    <row r="40" spans="1:5">
      <c r="A40" s="60"/>
      <c r="B40" s="4" t="s">
        <v>995</v>
      </c>
      <c r="C40" s="4"/>
      <c r="D40" s="1585">
        <f>GapCalc!D37</f>
        <v>61201959.099579386</v>
      </c>
      <c r="E40" s="1585">
        <f t="shared" ref="E40" si="2">D40/$D$10</f>
        <v>405310.98741443304</v>
      </c>
    </row>
    <row r="41" spans="1:5">
      <c r="A41" s="60"/>
      <c r="B41" s="4" t="s">
        <v>1051</v>
      </c>
      <c r="C41" s="4"/>
      <c r="D41" s="1590">
        <f>GapCalc!D29+GapCalc!D38</f>
        <v>4820299.9502670253</v>
      </c>
      <c r="E41" s="1585">
        <f>D41/$D$10</f>
        <v>31922.516226933942</v>
      </c>
    </row>
    <row r="42" spans="1:5">
      <c r="A42" s="60"/>
      <c r="B42" s="1557" t="s">
        <v>26</v>
      </c>
      <c r="C42" s="4"/>
      <c r="D42" s="1591">
        <f>GapCalc!D30+GapCalc!D39</f>
        <v>27315033.051513143</v>
      </c>
      <c r="E42" s="1585">
        <f>D42/$D$10</f>
        <v>180894.25861929235</v>
      </c>
    </row>
    <row r="43" spans="1:5">
      <c r="A43" s="60"/>
      <c r="B43" s="1712" t="s">
        <v>1102</v>
      </c>
      <c r="C43" s="4"/>
      <c r="D43" s="1591">
        <f>IF(D32-D40&gt;0,0,D32-D40)</f>
        <v>-1522054.9534162208</v>
      </c>
      <c r="E43" s="1585">
        <f>D43/$D$10</f>
        <v>-10079.834128584243</v>
      </c>
    </row>
    <row r="44" spans="1:5">
      <c r="A44" s="60"/>
      <c r="B44" s="4" t="s">
        <v>27</v>
      </c>
      <c r="C44" s="4"/>
      <c r="D44" s="1591">
        <v>0</v>
      </c>
      <c r="E44" s="1585">
        <v>0</v>
      </c>
    </row>
    <row r="45" spans="1:5" ht="16.5" thickBot="1">
      <c r="A45" s="66"/>
      <c r="B45" s="731"/>
      <c r="C45" s="1674" t="s">
        <v>33</v>
      </c>
      <c r="D45" s="1675">
        <f>SUM(D39:D44)</f>
        <v>91815237.147943318</v>
      </c>
      <c r="E45" s="1587">
        <f>D45/$D$10</f>
        <v>608047.928132075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18" zoomScaleNormal="100" workbookViewId="0">
      <selection activeCell="D29" sqref="D29:D3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983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151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147144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147144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382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10055000</v>
      </c>
      <c r="E17" s="1531">
        <f>D17/$D$11</f>
        <v>66589.403973509936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55329000</v>
      </c>
      <c r="E18" s="1531">
        <f t="shared" ref="E18:E24" si="0">D18/$D$11</f>
        <v>366417.21854304633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1863720</v>
      </c>
      <c r="E19" s="1531">
        <f t="shared" si="0"/>
        <v>12342.51655629139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2622699</v>
      </c>
      <c r="E20" s="1531">
        <f t="shared" si="0"/>
        <v>17368.867549668874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8466735.4998815246</v>
      </c>
      <c r="E21" s="1531">
        <f t="shared" si="0"/>
        <v>56071.096025705461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3947716.0329985875</v>
      </c>
      <c r="E22" s="1531">
        <f t="shared" si="0"/>
        <v>26143.814788070114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9530366.6150632203</v>
      </c>
      <c r="E23" s="1532">
        <f t="shared" si="0"/>
        <v>63115.010695782912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91815237.147943333</v>
      </c>
      <c r="E24" s="1531">
        <f t="shared" si="0"/>
        <v>608047.928132075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382</v>
      </c>
      <c r="G26" s="1515" t="s">
        <v>1050</v>
      </c>
      <c r="H26" s="1437">
        <f>SUM(D29:D30)/H34</f>
        <v>1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981</v>
      </c>
      <c r="H27" s="1422"/>
      <c r="I27" s="695"/>
    </row>
    <row r="28" spans="1:10" ht="15.75">
      <c r="A28" s="4"/>
      <c r="B28" s="4" t="s">
        <v>24</v>
      </c>
      <c r="C28" s="4"/>
      <c r="D28" s="1585">
        <f>Data!C20</f>
        <v>59679904.146163166</v>
      </c>
      <c r="E28" s="1585">
        <f t="shared" si="1"/>
        <v>395231.15328584879</v>
      </c>
      <c r="F28" s="62"/>
      <c r="G28" s="1419" t="s">
        <v>608</v>
      </c>
      <c r="H28" s="1607">
        <f>H32/D11</f>
        <v>31922.516226933942</v>
      </c>
      <c r="I28" s="703"/>
    </row>
    <row r="29" spans="1:10" ht="15.75">
      <c r="A29" s="64"/>
      <c r="B29" s="4" t="s">
        <v>1051</v>
      </c>
      <c r="C29" s="4"/>
      <c r="D29" s="1586">
        <v>4820299.9502670253</v>
      </c>
      <c r="E29" s="1585">
        <f>D29/$D$11</f>
        <v>31922.516226933942</v>
      </c>
      <c r="F29" s="520"/>
      <c r="G29" s="1420" t="s">
        <v>971</v>
      </c>
      <c r="H29" s="1608">
        <f>H33/D11</f>
        <v>180894.25861929235</v>
      </c>
      <c r="I29" s="703"/>
    </row>
    <row r="30" spans="1:10" ht="16.5" thickBot="1">
      <c r="A30" s="65"/>
      <c r="B30" s="4" t="s">
        <v>26</v>
      </c>
      <c r="C30" s="4"/>
      <c r="D30" s="1586">
        <v>27315033.051513143</v>
      </c>
      <c r="E30" s="1585">
        <f>D30/$D$11</f>
        <v>180894.25861929235</v>
      </c>
      <c r="F30" s="62"/>
      <c r="G30" s="4"/>
      <c r="H30" s="1590"/>
      <c r="I30" s="695"/>
      <c r="J30" s="690"/>
    </row>
    <row r="31" spans="1:10" ht="16.5" thickBot="1">
      <c r="A31" s="60"/>
      <c r="B31" s="4" t="s">
        <v>27</v>
      </c>
      <c r="C31" s="4"/>
      <c r="D31" s="1585">
        <v>0</v>
      </c>
      <c r="E31" s="1585">
        <f>D31/$D$11</f>
        <v>0</v>
      </c>
      <c r="F31" s="62"/>
      <c r="G31" s="1438" t="s">
        <v>1000</v>
      </c>
      <c r="H31" s="1609"/>
      <c r="I31" s="1439"/>
      <c r="J31" s="690"/>
    </row>
    <row r="32" spans="1:10" ht="16.5" thickBot="1">
      <c r="A32" s="1433"/>
      <c r="B32" s="67" t="s">
        <v>997</v>
      </c>
      <c r="C32" s="67"/>
      <c r="D32" s="1587">
        <f>SUM(D28:D31)-D24</f>
        <v>0</v>
      </c>
      <c r="E32" s="1587">
        <f>D32/$D$11</f>
        <v>0</v>
      </c>
      <c r="F32" s="62"/>
      <c r="G32" s="1339" t="s">
        <v>608</v>
      </c>
      <c r="H32" s="1610">
        <f>D29+D38</f>
        <v>4820299.9502670253</v>
      </c>
      <c r="I32" s="1346">
        <f>H32/H34</f>
        <v>0.15</v>
      </c>
      <c r="J32" s="690"/>
    </row>
    <row r="33" spans="1:12" ht="17.25" thickTop="1" thickBot="1">
      <c r="A33" s="4"/>
      <c r="B33" s="690"/>
      <c r="C33" s="150" t="s">
        <v>28</v>
      </c>
      <c r="D33" s="1588">
        <f>SUM(D27:D31)</f>
        <v>91815237.147943333</v>
      </c>
      <c r="E33" s="1585">
        <f>D33/$D$11</f>
        <v>608047.928132075</v>
      </c>
      <c r="F33" s="62"/>
      <c r="G33" s="1441" t="s">
        <v>971</v>
      </c>
      <c r="H33" s="1610">
        <f>D30+D39</f>
        <v>27315033.051513143</v>
      </c>
      <c r="I33" s="1346">
        <f>H33/H34</f>
        <v>0.85</v>
      </c>
      <c r="J33" s="690"/>
    </row>
    <row r="34" spans="1:12" ht="17.25" thickTop="1" thickBot="1">
      <c r="A34" s="60"/>
      <c r="B34" s="4"/>
      <c r="C34" s="4"/>
      <c r="D34" s="1585"/>
      <c r="E34" s="1593"/>
      <c r="F34" s="62"/>
      <c r="G34" s="1440" t="s">
        <v>37</v>
      </c>
      <c r="H34" s="1611">
        <f>SUM(H32:H33)</f>
        <v>32135333.001780167</v>
      </c>
      <c r="I34" s="1346"/>
      <c r="J34" s="690"/>
    </row>
    <row r="35" spans="1:12" ht="18.75">
      <c r="A35" s="152" t="s">
        <v>29</v>
      </c>
      <c r="B35" s="148"/>
      <c r="C35" s="148"/>
      <c r="D35" s="1589"/>
      <c r="E35" s="1594" t="s">
        <v>382</v>
      </c>
      <c r="F35" s="68"/>
      <c r="G35" s="1339"/>
      <c r="H35" s="1602"/>
      <c r="I35" s="1341" t="s">
        <v>961</v>
      </c>
      <c r="J35" s="690"/>
    </row>
    <row r="36" spans="1:12" ht="16.5" thickBot="1">
      <c r="A36" s="60"/>
      <c r="B36" s="4" t="s">
        <v>1047</v>
      </c>
      <c r="C36" s="4"/>
      <c r="D36" s="1585">
        <f>Data!G30</f>
        <v>0</v>
      </c>
      <c r="E36" s="1585">
        <f>D36/$D$11</f>
        <v>0</v>
      </c>
      <c r="F36" s="62"/>
      <c r="G36" s="1340"/>
      <c r="H36" s="1612"/>
      <c r="I36" s="1342">
        <f>H34/D24</f>
        <v>0.35000000000000003</v>
      </c>
      <c r="J36" s="704"/>
    </row>
    <row r="37" spans="1:12" ht="16.5" thickBot="1">
      <c r="A37" s="60"/>
      <c r="B37" s="4" t="s">
        <v>995</v>
      </c>
      <c r="C37" s="4"/>
      <c r="D37" s="1585">
        <f>Data!C38</f>
        <v>61201959.099579386</v>
      </c>
      <c r="E37" s="1585">
        <f t="shared" ref="E37" si="2">D37/$D$11</f>
        <v>405310.98741443304</v>
      </c>
      <c r="F37" s="62"/>
      <c r="G37" s="335"/>
      <c r="H37" s="1613"/>
      <c r="I37" s="703"/>
      <c r="J37" s="704"/>
    </row>
    <row r="38" spans="1:12" ht="16.5" thickBot="1">
      <c r="A38" s="60"/>
      <c r="B38" s="4" t="s">
        <v>1051</v>
      </c>
      <c r="C38" s="4"/>
      <c r="D38" s="1590">
        <v>0</v>
      </c>
      <c r="E38" s="1585">
        <f>D38/$D$11</f>
        <v>0</v>
      </c>
      <c r="F38" s="62"/>
      <c r="G38" s="1434" t="s">
        <v>998</v>
      </c>
      <c r="H38" s="1614" t="s">
        <v>982</v>
      </c>
      <c r="I38" s="1442" t="s">
        <v>1002</v>
      </c>
      <c r="J38" s="690"/>
    </row>
    <row r="39" spans="1:12" ht="15.75">
      <c r="A39" s="60"/>
      <c r="B39" s="1557" t="s">
        <v>26</v>
      </c>
      <c r="C39" s="4"/>
      <c r="D39" s="1591">
        <v>0</v>
      </c>
      <c r="E39" s="1585">
        <f>D39/$D$11</f>
        <v>0</v>
      </c>
      <c r="F39" s="62"/>
      <c r="G39" s="1435" t="s">
        <v>608</v>
      </c>
      <c r="H39" s="1615">
        <f>-D32*0.15</f>
        <v>0</v>
      </c>
      <c r="I39" s="1595">
        <f>D29+H39</f>
        <v>4820299.9502670253</v>
      </c>
      <c r="J39" s="690"/>
    </row>
    <row r="40" spans="1:12" ht="16.5" thickBot="1">
      <c r="A40" s="60"/>
      <c r="B40" s="4" t="s">
        <v>27</v>
      </c>
      <c r="C40" s="4"/>
      <c r="D40" s="1591">
        <v>0</v>
      </c>
      <c r="E40" s="1585">
        <v>0</v>
      </c>
      <c r="F40" s="62"/>
      <c r="G40" s="1436" t="s">
        <v>971</v>
      </c>
      <c r="H40" s="1616">
        <f>-D32*0.85</f>
        <v>0</v>
      </c>
      <c r="I40" s="1596">
        <f>D30+H40</f>
        <v>27315033.051513143</v>
      </c>
      <c r="J40" s="690"/>
    </row>
    <row r="41" spans="1:12" ht="16.5" thickBot="1">
      <c r="A41" s="66"/>
      <c r="B41" s="67" t="s">
        <v>997</v>
      </c>
      <c r="C41" s="67"/>
      <c r="D41" s="1592">
        <f>SUM(D36:D39)-D28</f>
        <v>1522054.9534162208</v>
      </c>
      <c r="E41" s="1587">
        <f>D41/$D$11</f>
        <v>10079.834128584243</v>
      </c>
      <c r="F41" s="62"/>
      <c r="H41" s="1615"/>
      <c r="I41" s="1597"/>
      <c r="J41" s="690"/>
    </row>
    <row r="42" spans="1:12" ht="17.25" thickTop="1" thickBot="1">
      <c r="A42" s="60"/>
      <c r="B42" s="690"/>
      <c r="C42" s="150" t="s">
        <v>33</v>
      </c>
      <c r="D42" s="1588">
        <f>SUM(D36:D39)</f>
        <v>61201959.099579386</v>
      </c>
      <c r="E42" s="1585">
        <f>D42/$D$11</f>
        <v>405310.98741443304</v>
      </c>
      <c r="G42" s="1434" t="s">
        <v>999</v>
      </c>
      <c r="H42" s="1614" t="s">
        <v>982</v>
      </c>
      <c r="I42" s="1598" t="s">
        <v>1002</v>
      </c>
      <c r="J42" s="690"/>
    </row>
    <row r="43" spans="1:12" ht="15.75">
      <c r="A43" s="65"/>
      <c r="B43" s="60"/>
      <c r="C43" s="60"/>
      <c r="D43" s="61"/>
      <c r="E43" s="61"/>
      <c r="G43" s="1435" t="s">
        <v>608</v>
      </c>
      <c r="H43" s="1615">
        <f>-D41*0.15</f>
        <v>-228308.24301243311</v>
      </c>
      <c r="I43" s="1595">
        <f>D38+H43</f>
        <v>-228308.24301243311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971</v>
      </c>
      <c r="H44" s="1615">
        <f>-D41*0.85</f>
        <v>-1293746.7104037877</v>
      </c>
      <c r="I44" s="1595">
        <f>D39+H44</f>
        <v>-1293746.7104037877</v>
      </c>
      <c r="J44" s="690"/>
    </row>
    <row r="45" spans="1:12" ht="15.75">
      <c r="A45" s="60"/>
      <c r="D45" s="159"/>
      <c r="E45" s="159"/>
      <c r="G45" s="4"/>
      <c r="H45" s="1703" t="s">
        <v>1095</v>
      </c>
      <c r="I45" s="1707"/>
      <c r="J45" s="1705"/>
      <c r="K45" s="1704"/>
      <c r="L45" s="1693"/>
    </row>
    <row r="46" spans="1:12" ht="15.75">
      <c r="A46" s="60"/>
      <c r="D46" s="1444"/>
      <c r="E46" s="1444"/>
      <c r="G46" s="690"/>
      <c r="H46" s="1571" t="s">
        <v>1061</v>
      </c>
      <c r="I46" s="1599">
        <f>'Cash Flow'!C66</f>
        <v>20870506.528014112</v>
      </c>
      <c r="J46" s="1581" t="s">
        <v>1083</v>
      </c>
      <c r="K46" s="1582">
        <f>'Cash Flow'!C76</f>
        <v>3.5061240434928545E-2</v>
      </c>
      <c r="L46" s="1694"/>
    </row>
    <row r="47" spans="1:12" ht="16.5" thickBot="1">
      <c r="A47" s="696"/>
      <c r="C47" s="1443"/>
      <c r="D47" s="690"/>
      <c r="E47" s="690"/>
      <c r="G47" s="690"/>
      <c r="H47" s="1572" t="s">
        <v>1062</v>
      </c>
      <c r="I47" s="1600">
        <f>'Cash Flow'!C80</f>
        <v>6723066.3421324734</v>
      </c>
      <c r="J47" s="1583" t="s">
        <v>1098</v>
      </c>
      <c r="K47" s="1606">
        <f>'Cash Flow'!C70</f>
        <v>34018925.640662998</v>
      </c>
      <c r="L47" s="1694"/>
    </row>
    <row r="48" spans="1:12" ht="15.75" thickTop="1">
      <c r="A48" s="6"/>
      <c r="B48" s="696"/>
      <c r="C48" s="696"/>
      <c r="D48" s="690"/>
      <c r="E48" s="690"/>
      <c r="H48" s="1569" t="s">
        <v>1059</v>
      </c>
      <c r="I48" s="1601">
        <f>I46-H33</f>
        <v>-6444526.5234990306</v>
      </c>
      <c r="J48" s="1695"/>
      <c r="K48" s="1696"/>
      <c r="L48" s="1694"/>
    </row>
    <row r="49" spans="1:12" ht="15.75">
      <c r="A49" s="696"/>
      <c r="B49" s="696"/>
      <c r="C49" s="696"/>
      <c r="D49" s="690"/>
      <c r="E49" s="690"/>
      <c r="F49" s="68"/>
      <c r="H49" s="1697"/>
      <c r="I49" s="1602"/>
      <c r="J49" s="707"/>
      <c r="K49" s="1696"/>
      <c r="L49" s="1694"/>
    </row>
    <row r="50" spans="1:12">
      <c r="A50" s="696"/>
      <c r="B50" s="696"/>
      <c r="C50" s="696"/>
      <c r="D50" s="690"/>
      <c r="E50" s="690"/>
      <c r="F50" s="692"/>
      <c r="H50" s="1697"/>
      <c r="I50" s="1696"/>
      <c r="J50" s="707"/>
      <c r="K50" s="1696"/>
      <c r="L50" s="1694"/>
    </row>
    <row r="51" spans="1:12">
      <c r="A51" s="6"/>
      <c r="B51" s="696"/>
      <c r="C51" s="696"/>
      <c r="D51" s="690"/>
      <c r="E51" s="690"/>
      <c r="F51" s="692"/>
      <c r="H51" s="1573" t="s">
        <v>1070</v>
      </c>
      <c r="I51" s="1603">
        <f>'Cash Flow'!H66</f>
        <v>3683030.5637671961</v>
      </c>
      <c r="J51" s="1584" t="s">
        <v>1083</v>
      </c>
      <c r="K51" s="1617">
        <f>'Cash Flow'!H76</f>
        <v>3.5061240434928552E-2</v>
      </c>
      <c r="L51" s="1694"/>
    </row>
    <row r="52" spans="1:12" ht="15.75" thickBot="1">
      <c r="A52" s="696"/>
      <c r="B52" s="696"/>
      <c r="C52" s="696"/>
      <c r="D52" s="690"/>
      <c r="E52" s="690"/>
      <c r="F52" s="708"/>
      <c r="H52" s="1575" t="s">
        <v>1071</v>
      </c>
      <c r="I52" s="1604">
        <f>H32</f>
        <v>4820299.9502670253</v>
      </c>
      <c r="J52" s="1583" t="s">
        <v>1097</v>
      </c>
      <c r="K52" s="1606">
        <f>'Cash Flow'!H70</f>
        <v>6003339.8189405296</v>
      </c>
      <c r="L52" s="1694"/>
    </row>
    <row r="53" spans="1:12" ht="15.75" thickTop="1">
      <c r="A53" s="696"/>
      <c r="B53" s="696"/>
      <c r="C53" s="696"/>
      <c r="D53" s="690"/>
      <c r="E53" s="690"/>
      <c r="F53" s="708"/>
      <c r="H53" s="1574" t="s">
        <v>1059</v>
      </c>
      <c r="I53" s="1605">
        <f>I51-I52</f>
        <v>-1137269.3864998291</v>
      </c>
      <c r="J53" s="690"/>
      <c r="L53" s="1694"/>
    </row>
    <row r="54" spans="1:12">
      <c r="A54" s="696"/>
      <c r="B54" s="696"/>
      <c r="C54" s="696"/>
      <c r="D54" s="690"/>
      <c r="E54" s="690"/>
      <c r="F54" s="692"/>
      <c r="H54" s="1697"/>
      <c r="I54" s="1696"/>
      <c r="J54" s="690"/>
      <c r="L54" s="1694"/>
    </row>
    <row r="55" spans="1:12">
      <c r="A55" s="696"/>
      <c r="B55" s="690"/>
      <c r="C55" s="690"/>
      <c r="D55" s="690"/>
      <c r="E55" s="690"/>
      <c r="F55" s="690"/>
      <c r="H55" s="1708" t="s">
        <v>1075</v>
      </c>
      <c r="I55" s="1709">
        <f>I48+I53</f>
        <v>-7581795.9099988602</v>
      </c>
      <c r="J55" s="1710"/>
      <c r="K55" s="1701"/>
      <c r="L55" s="1702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3" t="s">
        <v>1096</v>
      </c>
      <c r="I57" s="1704"/>
      <c r="J57" s="1705"/>
      <c r="K57" s="1704"/>
      <c r="L57" s="1706"/>
    </row>
    <row r="58" spans="1:12" ht="15.75">
      <c r="A58" s="696"/>
      <c r="B58" s="696"/>
      <c r="C58" s="696"/>
      <c r="D58" s="690"/>
      <c r="E58" s="690"/>
      <c r="F58" s="692"/>
      <c r="H58" s="1571" t="s">
        <v>1061</v>
      </c>
      <c r="I58" s="1599">
        <f>'Cash Flow'!C93</f>
        <v>30385580.626484063</v>
      </c>
      <c r="J58" s="1581" t="s">
        <v>1083</v>
      </c>
      <c r="K58" s="1582">
        <f>'Cash Flow'!C103</f>
        <v>8.1323216149011182E-2</v>
      </c>
      <c r="L58" s="1694"/>
    </row>
    <row r="59" spans="1:12" ht="16.5" thickBot="1">
      <c r="A59" s="696"/>
      <c r="B59" s="696"/>
      <c r="C59" s="696"/>
      <c r="D59" s="690"/>
      <c r="E59" s="690"/>
      <c r="F59" s="692"/>
      <c r="H59" s="1572" t="s">
        <v>1062</v>
      </c>
      <c r="I59" s="1600">
        <f>'Cash Flow'!C92</f>
        <v>0</v>
      </c>
      <c r="J59" s="1583" t="s">
        <v>1097</v>
      </c>
      <c r="K59" s="1606">
        <f>'Cash Flow'!C97</f>
        <v>49528496.42116902</v>
      </c>
      <c r="L59" s="1694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69" t="s">
        <v>1059</v>
      </c>
      <c r="I60" s="1601">
        <f>I58-H33</f>
        <v>3070547.5749709196</v>
      </c>
      <c r="J60" s="1695"/>
      <c r="K60" s="1696"/>
      <c r="L60" s="1694"/>
    </row>
    <row r="61" spans="1:12">
      <c r="A61" s="696"/>
      <c r="B61" s="696"/>
      <c r="C61" s="696"/>
      <c r="D61" s="690"/>
      <c r="E61" s="690"/>
      <c r="F61" s="709"/>
      <c r="G61" s="703"/>
      <c r="H61" s="1697"/>
      <c r="I61" s="1602"/>
      <c r="J61" s="707"/>
      <c r="K61" s="1696"/>
      <c r="L61" s="1694"/>
    </row>
    <row r="62" spans="1:12">
      <c r="A62" s="696"/>
      <c r="B62" s="696"/>
      <c r="C62" s="696"/>
      <c r="D62" s="690"/>
      <c r="E62" s="690"/>
      <c r="F62" s="692"/>
      <c r="G62" s="703"/>
      <c r="H62" s="1697"/>
      <c r="I62" s="1696"/>
      <c r="J62" s="707"/>
      <c r="K62" s="1696"/>
      <c r="L62" s="1694"/>
    </row>
    <row r="63" spans="1:12">
      <c r="A63" s="696"/>
      <c r="B63" s="696"/>
      <c r="C63" s="696"/>
      <c r="D63" s="690"/>
      <c r="E63" s="690"/>
      <c r="F63" s="692"/>
      <c r="G63" s="703"/>
      <c r="H63" s="1573" t="s">
        <v>1070</v>
      </c>
      <c r="I63" s="1603">
        <f>'Cash Flow'!H93</f>
        <v>4152457.290576376</v>
      </c>
      <c r="J63" s="1584" t="s">
        <v>1083</v>
      </c>
      <c r="K63" s="1617">
        <f>'Cash Flow'!H103</f>
        <v>4.0416684718230948E-2</v>
      </c>
      <c r="L63" s="1694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5" t="s">
        <v>1071</v>
      </c>
      <c r="I64" s="1604">
        <f>H32</f>
        <v>4820299.9502670253</v>
      </c>
      <c r="J64" s="1583" t="s">
        <v>1097</v>
      </c>
      <c r="K64" s="1606">
        <f>'Cash Flow'!H97</f>
        <v>6768505.3836394921</v>
      </c>
      <c r="L64" s="1694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4" t="s">
        <v>1059</v>
      </c>
      <c r="I65" s="1605">
        <f>I63-I64</f>
        <v>-667842.65969064925</v>
      </c>
      <c r="J65" s="690"/>
      <c r="L65" s="1694"/>
    </row>
    <row r="66" spans="1:14">
      <c r="A66" s="696"/>
      <c r="B66" s="696"/>
      <c r="C66" s="696"/>
      <c r="D66" s="690"/>
      <c r="E66" s="690"/>
      <c r="F66" s="692"/>
      <c r="G66" s="703"/>
      <c r="H66" s="1697"/>
      <c r="I66" s="1696"/>
      <c r="J66" s="690"/>
      <c r="L66" s="1694"/>
    </row>
    <row r="67" spans="1:14">
      <c r="A67" s="6"/>
      <c r="B67" s="696"/>
      <c r="C67" s="696"/>
      <c r="D67" s="690"/>
      <c r="E67" s="690"/>
      <c r="F67" s="692"/>
      <c r="G67" s="703"/>
      <c r="H67" s="1698" t="s">
        <v>1075</v>
      </c>
      <c r="I67" s="1699">
        <f>I60+I65</f>
        <v>2402704.9152802704</v>
      </c>
      <c r="J67" s="690"/>
      <c r="L67" s="1694"/>
    </row>
    <row r="68" spans="1:14">
      <c r="A68" s="696"/>
      <c r="B68" s="696"/>
      <c r="C68" s="696"/>
      <c r="D68" s="690"/>
      <c r="E68" s="690"/>
      <c r="F68" s="709"/>
      <c r="G68" s="703"/>
      <c r="H68" s="1700"/>
      <c r="I68" s="1701"/>
      <c r="J68" s="1701"/>
      <c r="K68" s="1701"/>
      <c r="L68" s="1702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6" zoomScale="130" zoomScaleNormal="130" workbookViewId="0">
      <selection activeCell="K23" sqref="K23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1001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1082</v>
      </c>
      <c r="N7" s="201">
        <f>E28</f>
        <v>0</v>
      </c>
      <c r="O7" s="521">
        <f t="shared" ref="O7:O18" si="0">N7/$N$18</f>
        <v>0</v>
      </c>
      <c r="Q7" s="283">
        <f>O7+O8+O9</f>
        <v>0.19867549668874171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42</v>
      </c>
      <c r="N8" s="201">
        <f>E37</f>
        <v>30</v>
      </c>
      <c r="O8" s="521">
        <f t="shared" si="0"/>
        <v>0.19867549668874171</v>
      </c>
      <c r="Q8" s="283">
        <f>SUM(O10:O15)</f>
        <v>0.79470198675496684</v>
      </c>
      <c r="R8" s="201" t="s">
        <v>50</v>
      </c>
    </row>
    <row r="9" spans="2:19" ht="12.75" customHeight="1">
      <c r="B9" s="268"/>
      <c r="C9" s="209" t="s">
        <v>51</v>
      </c>
      <c r="D9" s="210">
        <f>SUM(E32,E41,E50,E59,E77,E68,E86,E95,E115,E105+E23)</f>
        <v>33</v>
      </c>
      <c r="E9" s="278">
        <f>IF(D9="","",D9/D$15)</f>
        <v>0.2185430463576159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1104</v>
      </c>
      <c r="N9" s="298">
        <f>E46+E183</f>
        <v>0</v>
      </c>
      <c r="O9" s="332">
        <f t="shared" si="0"/>
        <v>0</v>
      </c>
    </row>
    <row r="10" spans="2:19" ht="12.75" customHeight="1">
      <c r="B10" s="268"/>
      <c r="C10" s="209" t="s">
        <v>52</v>
      </c>
      <c r="D10" s="210">
        <f>SUM(E24,E33,E42,E51,E60,E78,E69,E87,E96,E116,E106)</f>
        <v>26</v>
      </c>
      <c r="E10" s="278">
        <f>IF(D10="","",D10/D$15)</f>
        <v>0.17218543046357615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53</v>
      </c>
      <c r="O10" s="332">
        <f t="shared" si="0"/>
        <v>0</v>
      </c>
    </row>
    <row r="11" spans="2:19" ht="12.75" customHeight="1">
      <c r="B11" s="268"/>
      <c r="C11" s="209" t="s">
        <v>54</v>
      </c>
      <c r="D11" s="210">
        <f>SUM(E25,E34,E43,E52,E61,E79,E70,E88,E97,E117,E107)</f>
        <v>92</v>
      </c>
      <c r="E11" s="278">
        <f>IF(D11="","",D11/D$15)</f>
        <v>0.60927152317880795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55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56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57</v>
      </c>
      <c r="N13" s="201">
        <f>E55</f>
        <v>120</v>
      </c>
      <c r="O13" s="332">
        <f>N13/$N$18</f>
        <v>0.79470198675496684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58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59</v>
      </c>
      <c r="D15" s="281">
        <f>SUM(D9:D13)</f>
        <v>151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60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986</v>
      </c>
      <c r="N16" s="201">
        <f>SUM(N7:N15)</f>
        <v>150</v>
      </c>
      <c r="O16" s="283">
        <f>SUM(O7:O15)</f>
        <v>0.99337748344370858</v>
      </c>
    </row>
    <row r="17" spans="2:21" ht="12.75" customHeight="1">
      <c r="B17" s="268"/>
      <c r="C17" s="201" t="s">
        <v>61</v>
      </c>
      <c r="E17" s="284">
        <f>SUM(J28+J37,J46,J55,J64,J82,J91,J73,J100,J120,J110)</f>
        <v>122620</v>
      </c>
      <c r="F17" s="284"/>
      <c r="G17" s="222"/>
      <c r="H17" s="228"/>
      <c r="K17" s="233"/>
      <c r="M17" s="285" t="s">
        <v>62</v>
      </c>
      <c r="N17" s="284">
        <f>E120</f>
        <v>1</v>
      </c>
      <c r="O17" s="332">
        <f t="shared" si="0"/>
        <v>6.6225165562913907E-3</v>
      </c>
      <c r="U17" s="332"/>
    </row>
    <row r="18" spans="2:21" ht="12.75" customHeight="1">
      <c r="B18" s="268"/>
      <c r="C18" s="201" t="s">
        <v>63</v>
      </c>
      <c r="E18" s="285">
        <f>SUM(K28+K37,K46,K64,K55,K82,K91,K73,K100,K120,K110)</f>
        <v>520235</v>
      </c>
      <c r="F18" s="285"/>
      <c r="H18" s="286"/>
      <c r="I18" s="287"/>
      <c r="K18" s="226"/>
      <c r="M18" s="328" t="s">
        <v>10</v>
      </c>
      <c r="N18" s="1423">
        <f>N17+N16</f>
        <v>151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985</v>
      </c>
      <c r="O19" s="283">
        <f>SUM(O7:O9)</f>
        <v>0.19867549668874171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64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65</v>
      </c>
      <c r="D21" s="236" t="s">
        <v>66</v>
      </c>
      <c r="E21" s="237" t="s">
        <v>67</v>
      </c>
      <c r="F21" s="237"/>
      <c r="G21" s="237" t="s">
        <v>68</v>
      </c>
      <c r="H21" s="237" t="s">
        <v>69</v>
      </c>
      <c r="I21" s="238" t="s">
        <v>70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71</v>
      </c>
      <c r="D22" s="812" t="s">
        <v>72</v>
      </c>
      <c r="E22" s="813" t="s">
        <v>73</v>
      </c>
      <c r="F22" s="814"/>
      <c r="G22" s="814" t="s">
        <v>74</v>
      </c>
      <c r="H22" s="814" t="s">
        <v>49</v>
      </c>
      <c r="I22" s="815" t="s">
        <v>74</v>
      </c>
      <c r="J22" s="816" t="s">
        <v>75</v>
      </c>
      <c r="K22" s="801" t="s">
        <v>76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51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59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64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65</v>
      </c>
      <c r="D30" s="236" t="s">
        <v>66</v>
      </c>
      <c r="E30" s="237" t="s">
        <v>67</v>
      </c>
      <c r="F30" s="237"/>
      <c r="G30" s="237" t="s">
        <v>68</v>
      </c>
      <c r="H30" s="237" t="s">
        <v>69</v>
      </c>
      <c r="I30" s="238" t="s">
        <v>70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71</v>
      </c>
      <c r="D31" s="812" t="s">
        <v>72</v>
      </c>
      <c r="E31" s="813" t="s">
        <v>73</v>
      </c>
      <c r="F31" s="814"/>
      <c r="G31" s="814" t="s">
        <v>74</v>
      </c>
      <c r="H31" s="814" t="s">
        <v>49</v>
      </c>
      <c r="I31" s="815" t="s">
        <v>74</v>
      </c>
      <c r="J31" s="816" t="s">
        <v>75</v>
      </c>
      <c r="K31" s="801" t="s">
        <v>76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15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6000</v>
      </c>
      <c r="K32" s="292">
        <f>E32*I32</f>
        <v>18195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8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5360</v>
      </c>
      <c r="K33" s="292">
        <f>E33*I33</f>
        <v>10400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7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7000</v>
      </c>
      <c r="K34" s="292">
        <f>E34*I34</f>
        <v>10920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59</v>
      </c>
      <c r="D37" s="241"/>
      <c r="E37" s="242">
        <f>SUM(E32:E36)</f>
        <v>30</v>
      </c>
      <c r="F37" s="241"/>
      <c r="G37" s="241"/>
      <c r="H37" s="243"/>
      <c r="I37" s="241"/>
      <c r="J37" s="293">
        <f>SUM(J32:J36)</f>
        <v>18360</v>
      </c>
      <c r="K37" s="294">
        <f>SUM(K32:K36)</f>
        <v>39515</v>
      </c>
      <c r="U37" s="332"/>
    </row>
    <row r="38" spans="2:21" ht="12.75" customHeight="1">
      <c r="B38" s="289"/>
      <c r="C38" s="314">
        <v>0.8</v>
      </c>
      <c r="D38" s="316" t="s">
        <v>64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hidden="1" customHeight="1" outlineLevel="1">
      <c r="B39" s="290"/>
      <c r="C39" s="201" t="s">
        <v>65</v>
      </c>
      <c r="D39" s="244" t="s">
        <v>66</v>
      </c>
      <c r="E39" s="237" t="s">
        <v>67</v>
      </c>
      <c r="F39" s="237"/>
      <c r="G39" s="237" t="s">
        <v>68</v>
      </c>
      <c r="H39" s="240" t="s">
        <v>69</v>
      </c>
      <c r="I39" s="238" t="s">
        <v>70</v>
      </c>
      <c r="J39" s="222" t="s">
        <v>37</v>
      </c>
      <c r="K39" s="291" t="s">
        <v>37</v>
      </c>
      <c r="O39" s="427"/>
      <c r="U39" s="283"/>
    </row>
    <row r="40" spans="2:21" ht="12.75" hidden="1" customHeight="1" outlineLevel="1">
      <c r="B40" s="729"/>
      <c r="C40" s="808"/>
      <c r="D40" s="812" t="s">
        <v>72</v>
      </c>
      <c r="E40" s="814" t="s">
        <v>73</v>
      </c>
      <c r="F40" s="814"/>
      <c r="G40" s="814" t="s">
        <v>74</v>
      </c>
      <c r="H40" s="817" t="s">
        <v>49</v>
      </c>
      <c r="I40" s="815" t="s">
        <v>74</v>
      </c>
      <c r="J40" s="816" t="s">
        <v>75</v>
      </c>
      <c r="K40" s="801" t="s">
        <v>76</v>
      </c>
      <c r="O40" s="427"/>
    </row>
    <row r="41" spans="2:21" ht="12.75" hidden="1" customHeight="1" outlineLevel="1">
      <c r="B41" s="290"/>
      <c r="C41" s="209" t="s">
        <v>51</v>
      </c>
      <c r="D41" s="239">
        <f>$G9</f>
        <v>400</v>
      </c>
      <c r="E41" s="223">
        <v>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0</v>
      </c>
      <c r="K41" s="292">
        <f>E41*I41</f>
        <v>0</v>
      </c>
      <c r="L41" s="1635"/>
      <c r="M41" s="1635"/>
      <c r="O41" s="427"/>
    </row>
    <row r="42" spans="2:21" ht="12.75" hidden="1" customHeight="1" outlineLevel="1">
      <c r="B42" s="290"/>
      <c r="C42" s="238">
        <v>1</v>
      </c>
      <c r="D42" s="239">
        <f>$G10</f>
        <v>670</v>
      </c>
      <c r="E42" s="223">
        <v>0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0</v>
      </c>
      <c r="K42" s="292">
        <f>E42*I42</f>
        <v>0</v>
      </c>
      <c r="L42" s="1635"/>
      <c r="M42" s="1635"/>
      <c r="O42" s="1630"/>
    </row>
    <row r="43" spans="2:21" ht="12.75" hidden="1" customHeight="1" outlineLevel="1">
      <c r="B43" s="290"/>
      <c r="C43" s="238">
        <v>2</v>
      </c>
      <c r="D43" s="239">
        <f>$G11</f>
        <v>1000</v>
      </c>
      <c r="E43" s="223">
        <v>0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0</v>
      </c>
      <c r="K43" s="292">
        <f>E43*I43</f>
        <v>0</v>
      </c>
      <c r="L43" s="1635"/>
      <c r="M43" s="1635"/>
      <c r="O43" s="1631"/>
      <c r="P43" s="1632"/>
    </row>
    <row r="44" spans="2:21" ht="12.75" hidden="1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5"/>
      <c r="O44" s="1634"/>
      <c r="P44" s="1632"/>
      <c r="Q44" s="1633"/>
    </row>
    <row r="45" spans="2:21" ht="12.75" hidden="1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1"/>
      <c r="P45" s="1632"/>
      <c r="Q45" s="1633"/>
    </row>
    <row r="46" spans="2:21" ht="12.75" customHeight="1" collapsed="1">
      <c r="B46" s="295"/>
      <c r="C46" s="312" t="s">
        <v>59</v>
      </c>
      <c r="D46" s="245"/>
      <c r="E46" s="309">
        <f>SUM(E41:E45)</f>
        <v>0</v>
      </c>
      <c r="F46" s="203"/>
      <c r="G46" s="203"/>
      <c r="H46" s="246"/>
      <c r="I46" s="247"/>
      <c r="J46" s="296">
        <f>SUM(J41:J45)</f>
        <v>0</v>
      </c>
      <c r="K46" s="297">
        <f>SUM(K41:K45)</f>
        <v>0</v>
      </c>
      <c r="O46" s="1631"/>
      <c r="P46" s="1632"/>
      <c r="Q46" s="1633"/>
    </row>
    <row r="47" spans="2:21" ht="12.75" customHeight="1">
      <c r="B47" s="289"/>
      <c r="C47" s="314">
        <v>1.2</v>
      </c>
      <c r="D47" s="316" t="s">
        <v>64</v>
      </c>
      <c r="E47" s="317"/>
      <c r="F47" s="301"/>
      <c r="G47" s="315"/>
      <c r="H47" s="264"/>
      <c r="I47" s="301"/>
      <c r="J47" s="302"/>
      <c r="K47" s="303"/>
      <c r="O47" s="1631"/>
      <c r="P47" s="1632"/>
      <c r="Q47" s="1633"/>
    </row>
    <row r="48" spans="2:21" ht="12.75" customHeight="1" outlineLevel="1">
      <c r="B48" s="290"/>
      <c r="C48" s="298" t="s">
        <v>65</v>
      </c>
      <c r="D48" s="248" t="s">
        <v>66</v>
      </c>
      <c r="E48" s="249" t="s">
        <v>67</v>
      </c>
      <c r="F48" s="237"/>
      <c r="G48" s="1776" t="s">
        <v>68</v>
      </c>
      <c r="H48" s="1777" t="s">
        <v>69</v>
      </c>
      <c r="I48" s="1778" t="s">
        <v>70</v>
      </c>
      <c r="J48" s="1779" t="s">
        <v>37</v>
      </c>
      <c r="K48" s="1780" t="s">
        <v>37</v>
      </c>
      <c r="L48" s="1781"/>
      <c r="M48" s="1781"/>
      <c r="N48" s="1781"/>
      <c r="O48" s="298"/>
      <c r="P48" s="298"/>
      <c r="Q48" s="283"/>
    </row>
    <row r="49" spans="2:22" ht="12.75" customHeight="1" outlineLevel="1">
      <c r="B49" s="729"/>
      <c r="C49" s="819" t="s">
        <v>71</v>
      </c>
      <c r="D49" s="820" t="s">
        <v>72</v>
      </c>
      <c r="E49" s="821" t="s">
        <v>73</v>
      </c>
      <c r="F49" s="814"/>
      <c r="G49" s="1782" t="s">
        <v>74</v>
      </c>
      <c r="H49" s="1783" t="s">
        <v>49</v>
      </c>
      <c r="I49" s="1784" t="s">
        <v>74</v>
      </c>
      <c r="J49" s="1785" t="s">
        <v>75</v>
      </c>
      <c r="K49" s="1786" t="s">
        <v>76</v>
      </c>
      <c r="L49" s="1781"/>
      <c r="M49" s="1781"/>
      <c r="N49" s="1781"/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18</v>
      </c>
      <c r="F50" s="223"/>
      <c r="G50" s="308">
        <f>H9*$C$47</f>
        <v>2911.2</v>
      </c>
      <c r="H50" s="308">
        <f>$K$9</f>
        <v>0</v>
      </c>
      <c r="I50" s="1787">
        <v>2400</v>
      </c>
      <c r="J50" s="1788">
        <f>D50*E50</f>
        <v>7200</v>
      </c>
      <c r="K50" s="1789">
        <f>E50*I50</f>
        <v>43200</v>
      </c>
      <c r="L50" s="1790"/>
      <c r="M50" s="1791"/>
      <c r="N50" s="1791"/>
      <c r="O50" s="1691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18</v>
      </c>
      <c r="F51" s="223"/>
      <c r="G51" s="308">
        <f>H10*$C$47</f>
        <v>3120</v>
      </c>
      <c r="H51" s="308">
        <f>$K$10</f>
        <v>0</v>
      </c>
      <c r="I51" s="1787">
        <f>ROUND(G51-H51,0)</f>
        <v>3120</v>
      </c>
      <c r="J51" s="1788">
        <f>D51*E51</f>
        <v>12060</v>
      </c>
      <c r="K51" s="1789">
        <f>E51*I51</f>
        <v>56160</v>
      </c>
      <c r="L51" s="1790"/>
      <c r="M51" s="1791"/>
      <c r="N51" s="1791"/>
      <c r="O51" s="1691"/>
      <c r="Q51" s="1692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84</v>
      </c>
      <c r="F52" s="223"/>
      <c r="G52" s="308">
        <f>H11*$C$47</f>
        <v>3744</v>
      </c>
      <c r="H52" s="1787">
        <f>$K$11</f>
        <v>0</v>
      </c>
      <c r="I52" s="1787">
        <v>4540</v>
      </c>
      <c r="J52" s="1788">
        <f>D52*E52</f>
        <v>84000</v>
      </c>
      <c r="K52" s="1789">
        <f>E52*I52</f>
        <v>381360</v>
      </c>
      <c r="L52" s="1790"/>
      <c r="M52" s="1791"/>
      <c r="N52" s="1791"/>
      <c r="O52" s="1691"/>
      <c r="Q52" s="1692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1787">
        <v>0</v>
      </c>
      <c r="I53" s="1787">
        <f>ROUND(G53-H53,0)</f>
        <v>4327</v>
      </c>
      <c r="J53" s="1788">
        <f>D53*E53</f>
        <v>0</v>
      </c>
      <c r="K53" s="1789">
        <f>E53*I53</f>
        <v>0</v>
      </c>
      <c r="L53" s="1790"/>
      <c r="M53" s="1781"/>
      <c r="N53" s="1781"/>
      <c r="O53" s="1691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1792">
        <f>K13</f>
        <v>0</v>
      </c>
      <c r="I54" s="1787">
        <f>ROUND(G54-H54,0)</f>
        <v>0</v>
      </c>
      <c r="J54" s="1788">
        <f>D54*E54</f>
        <v>0</v>
      </c>
      <c r="K54" s="1789">
        <f>E54*I54</f>
        <v>0</v>
      </c>
      <c r="L54" s="1793"/>
      <c r="M54" s="1781"/>
      <c r="N54" s="1781"/>
    </row>
    <row r="55" spans="2:22" ht="12.75" customHeight="1" outlineLevel="1">
      <c r="B55" s="269"/>
      <c r="C55" s="252" t="s">
        <v>59</v>
      </c>
      <c r="D55" s="247"/>
      <c r="E55" s="253">
        <f>SUM(E50:E54)</f>
        <v>120</v>
      </c>
      <c r="F55" s="247"/>
      <c r="G55" s="1794"/>
      <c r="H55" s="1795"/>
      <c r="I55" s="1794"/>
      <c r="J55" s="1796">
        <f>SUM(J50:J54)</f>
        <v>103260</v>
      </c>
      <c r="K55" s="1797">
        <f>SUM(K50:K54)</f>
        <v>480720</v>
      </c>
      <c r="L55" s="1781"/>
      <c r="M55" s="1781"/>
      <c r="N55" s="1798"/>
      <c r="O55" s="1692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65</v>
      </c>
      <c r="D103" s="244" t="s">
        <v>66</v>
      </c>
      <c r="E103" s="237" t="s">
        <v>67</v>
      </c>
      <c r="F103" s="237"/>
      <c r="G103" s="237" t="s">
        <v>68</v>
      </c>
      <c r="H103" s="240" t="s">
        <v>69</v>
      </c>
      <c r="I103" s="238" t="s">
        <v>70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71</v>
      </c>
      <c r="D104" s="812" t="s">
        <v>72</v>
      </c>
      <c r="E104" s="813" t="s">
        <v>73</v>
      </c>
      <c r="F104" s="814"/>
      <c r="G104" s="814" t="s">
        <v>74</v>
      </c>
      <c r="H104" s="817" t="s">
        <v>49</v>
      </c>
      <c r="I104" s="815" t="s">
        <v>74</v>
      </c>
      <c r="J104" s="816" t="s">
        <v>75</v>
      </c>
      <c r="K104" s="801" t="s">
        <v>76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79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79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59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79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80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65</v>
      </c>
      <c r="D113" s="244" t="s">
        <v>66</v>
      </c>
      <c r="E113" s="237" t="s">
        <v>67</v>
      </c>
      <c r="F113" s="237"/>
      <c r="G113" s="237" t="s">
        <v>68</v>
      </c>
      <c r="H113" s="240" t="s">
        <v>69</v>
      </c>
      <c r="I113" s="238" t="s">
        <v>70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71</v>
      </c>
      <c r="D114" s="812" t="s">
        <v>72</v>
      </c>
      <c r="E114" s="813" t="s">
        <v>73</v>
      </c>
      <c r="F114" s="814"/>
      <c r="G114" s="814" t="s">
        <v>74</v>
      </c>
      <c r="H114" s="817" t="s">
        <v>49</v>
      </c>
      <c r="I114" s="815" t="s">
        <v>74</v>
      </c>
      <c r="J114" s="816" t="s">
        <v>75</v>
      </c>
      <c r="K114" s="801" t="s">
        <v>76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59</v>
      </c>
      <c r="D120" s="258"/>
      <c r="E120" s="242">
        <f>SUM(E115:E119)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81</v>
      </c>
      <c r="D122" s="344"/>
      <c r="E122" s="310">
        <f>E28+E120+E110+E100+E91+E82+E73+E64+E55+E46+E37</f>
        <v>151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8"/>
      <c r="L127" s="203"/>
    </row>
    <row r="128" spans="2:12" outlineLevel="1">
      <c r="C128" s="1619"/>
      <c r="D128" s="309"/>
      <c r="E128" s="245"/>
      <c r="F128" s="203"/>
      <c r="G128" s="1620"/>
      <c r="H128" s="1621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2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3"/>
      <c r="D134" s="203"/>
      <c r="E134" s="1620"/>
      <c r="F134" s="203"/>
      <c r="G134" s="203"/>
      <c r="H134" s="1621"/>
      <c r="I134" s="203"/>
      <c r="J134" s="284"/>
      <c r="K134" s="285"/>
      <c r="L134" s="203"/>
    </row>
    <row r="135" spans="3:12" outlineLevel="1">
      <c r="C135" s="1619"/>
      <c r="D135" s="309"/>
      <c r="E135" s="245"/>
      <c r="F135" s="203"/>
      <c r="G135" s="1620"/>
      <c r="H135" s="1621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2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3"/>
      <c r="D141" s="203"/>
      <c r="E141" s="1620"/>
      <c r="F141" s="203"/>
      <c r="G141" s="203"/>
      <c r="H141" s="1621"/>
      <c r="I141" s="203"/>
      <c r="J141" s="284"/>
      <c r="K141" s="285"/>
    </row>
    <row r="142" spans="3:12" outlineLevel="1">
      <c r="C142" s="1619"/>
      <c r="D142" s="309"/>
      <c r="E142" s="245"/>
      <c r="F142" s="203"/>
      <c r="G142" s="1620"/>
      <c r="H142" s="1621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2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3"/>
      <c r="D148" s="203"/>
      <c r="E148" s="1620"/>
      <c r="F148" s="203"/>
      <c r="G148" s="203"/>
      <c r="H148" s="1621"/>
      <c r="I148" s="203"/>
      <c r="J148" s="284"/>
      <c r="K148" s="285"/>
    </row>
    <row r="149" spans="3:13" outlineLevel="1">
      <c r="C149" s="1619"/>
      <c r="D149" s="309"/>
      <c r="E149" s="245"/>
      <c r="F149" s="203"/>
      <c r="G149" s="1620"/>
      <c r="H149" s="1621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2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3"/>
      <c r="D155" s="203"/>
      <c r="E155" s="1620"/>
      <c r="F155" s="203"/>
      <c r="G155" s="203"/>
      <c r="H155" s="1621"/>
      <c r="I155" s="203"/>
      <c r="J155" s="284"/>
      <c r="K155" s="285"/>
    </row>
    <row r="156" spans="3:13" outlineLevel="1">
      <c r="C156" s="1619"/>
      <c r="D156" s="309"/>
      <c r="E156" s="245"/>
      <c r="F156" s="203"/>
      <c r="G156" s="1620"/>
      <c r="H156" s="1621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2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3"/>
      <c r="D162" s="203"/>
      <c r="E162" s="1620"/>
      <c r="F162" s="203"/>
      <c r="G162" s="203"/>
      <c r="H162" s="1621"/>
      <c r="I162" s="203"/>
      <c r="J162" s="284"/>
      <c r="K162" s="285"/>
    </row>
    <row r="163" spans="3:17" outlineLevel="1">
      <c r="C163" s="1619"/>
      <c r="D163" s="309"/>
      <c r="E163" s="245"/>
      <c r="F163" s="203"/>
      <c r="G163" s="1620"/>
      <c r="H163" s="1621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2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3"/>
      <c r="D169" s="203"/>
      <c r="E169" s="1620"/>
      <c r="F169" s="203"/>
      <c r="G169" s="203"/>
      <c r="H169" s="1621"/>
      <c r="I169" s="203"/>
      <c r="J169" s="284"/>
      <c r="K169" s="285"/>
    </row>
    <row r="170" spans="3:17" outlineLevel="1">
      <c r="C170" s="1619"/>
      <c r="D170" s="309"/>
      <c r="E170" s="245"/>
      <c r="F170" s="203"/>
      <c r="G170" s="1620"/>
      <c r="H170" s="1621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2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3"/>
      <c r="D176" s="203"/>
      <c r="E176" s="1620"/>
      <c r="F176" s="203"/>
      <c r="G176" s="203"/>
      <c r="H176" s="1621"/>
      <c r="I176" s="203"/>
      <c r="J176" s="284"/>
      <c r="K176" s="285"/>
      <c r="O176" s="298"/>
      <c r="Q176" s="298"/>
    </row>
    <row r="177" spans="3:15" outlineLevel="1">
      <c r="C177" s="1619"/>
      <c r="D177" s="309"/>
      <c r="E177" s="245"/>
      <c r="F177" s="203"/>
      <c r="G177" s="1620"/>
      <c r="H177" s="1621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2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3"/>
      <c r="D183" s="203"/>
      <c r="E183" s="1620"/>
      <c r="F183" s="203"/>
      <c r="G183" s="203"/>
      <c r="H183" s="1621"/>
      <c r="I183" s="203"/>
      <c r="J183" s="284"/>
      <c r="K183" s="285"/>
      <c r="O183" s="1624"/>
    </row>
    <row r="184" spans="3:15" outlineLevel="1">
      <c r="C184" s="1619"/>
      <c r="D184" s="309"/>
      <c r="E184" s="245"/>
      <c r="F184" s="203"/>
      <c r="G184" s="1620"/>
      <c r="H184" s="1621"/>
      <c r="I184" s="203"/>
      <c r="J184" s="284"/>
      <c r="K184" s="285"/>
      <c r="O184" s="1624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4"/>
    </row>
    <row r="186" spans="3:15" outlineLevel="1">
      <c r="D186" s="244"/>
      <c r="E186" s="1622"/>
      <c r="F186" s="238"/>
      <c r="G186" s="238"/>
      <c r="H186" s="238"/>
      <c r="I186" s="237"/>
      <c r="J186" s="222"/>
      <c r="K186" s="222"/>
      <c r="O186" s="1624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4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4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4"/>
    </row>
    <row r="190" spans="3:15" outlineLevel="1">
      <c r="C190" s="1623"/>
      <c r="D190" s="203"/>
      <c r="E190" s="1620"/>
      <c r="F190" s="203"/>
      <c r="G190" s="203"/>
      <c r="H190" s="1621"/>
      <c r="I190" s="203"/>
      <c r="J190" s="284"/>
      <c r="K190" s="285"/>
      <c r="O190" s="1624"/>
    </row>
    <row r="191" spans="3:15" outlineLevel="1">
      <c r="C191" s="1619"/>
      <c r="D191" s="309"/>
      <c r="E191" s="245"/>
      <c r="F191" s="203"/>
      <c r="G191" s="1620"/>
      <c r="H191" s="1621"/>
      <c r="I191" s="203"/>
      <c r="J191" s="284"/>
      <c r="K191" s="285"/>
      <c r="O191" s="1624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4"/>
    </row>
    <row r="193" spans="3:15" outlineLevel="1">
      <c r="D193" s="244"/>
      <c r="E193" s="1622"/>
      <c r="F193" s="238"/>
      <c r="G193" s="238"/>
      <c r="H193" s="238"/>
      <c r="I193" s="237"/>
      <c r="J193" s="222"/>
      <c r="K193" s="222"/>
      <c r="O193" s="1624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4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4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4"/>
    </row>
    <row r="197" spans="3:15" outlineLevel="1">
      <c r="C197" s="1623"/>
      <c r="D197" s="203"/>
      <c r="E197" s="1620"/>
      <c r="F197" s="203"/>
      <c r="G197" s="203"/>
      <c r="H197" s="1621"/>
      <c r="I197" s="203"/>
      <c r="J197" s="284"/>
      <c r="K197" s="285"/>
      <c r="O197" s="1624"/>
    </row>
    <row r="198" spans="3:15" outlineLevel="1">
      <c r="C198" s="1619"/>
      <c r="D198" s="309"/>
      <c r="E198" s="245"/>
      <c r="F198" s="203"/>
      <c r="G198" s="1620"/>
      <c r="H198" s="1621"/>
      <c r="I198" s="203"/>
      <c r="J198" s="284"/>
      <c r="K198" s="285"/>
      <c r="O198" s="1624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4"/>
    </row>
    <row r="200" spans="3:15" outlineLevel="1">
      <c r="D200" s="244"/>
      <c r="E200" s="1622"/>
      <c r="F200" s="238"/>
      <c r="G200" s="238"/>
      <c r="H200" s="238"/>
      <c r="I200" s="237"/>
      <c r="J200" s="222"/>
      <c r="K200" s="222"/>
      <c r="O200" s="1624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4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4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4"/>
    </row>
    <row r="204" spans="3:15" outlineLevel="1">
      <c r="C204" s="1623"/>
      <c r="D204" s="203"/>
      <c r="E204" s="1620"/>
      <c r="F204" s="203"/>
      <c r="G204" s="203"/>
      <c r="H204" s="1621"/>
      <c r="I204" s="203"/>
      <c r="J204" s="284"/>
      <c r="K204" s="285"/>
      <c r="O204" s="1624"/>
    </row>
    <row r="205" spans="3:15" outlineLevel="1">
      <c r="O205" s="1624"/>
    </row>
    <row r="206" spans="3:15" outlineLevel="1">
      <c r="C206" s="288"/>
      <c r="D206" s="288"/>
      <c r="E206" s="288"/>
      <c r="J206" s="1625"/>
      <c r="O206" s="1624"/>
    </row>
    <row r="207" spans="3:15" outlineLevel="1">
      <c r="O207" s="1624"/>
    </row>
    <row r="208" spans="3:15" outlineLevel="1"/>
    <row r="209" spans="3:11" ht="16.5" outlineLevel="1">
      <c r="C209" s="1618"/>
    </row>
    <row r="210" spans="3:11" outlineLevel="1">
      <c r="C210" s="1619"/>
      <c r="D210" s="309"/>
      <c r="E210" s="245"/>
      <c r="F210" s="203"/>
      <c r="G210" s="1620"/>
      <c r="H210" s="1621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2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3"/>
      <c r="D216" s="203"/>
      <c r="E216" s="1620"/>
      <c r="F216" s="203"/>
      <c r="G216" s="203"/>
      <c r="H216" s="1621"/>
      <c r="I216" s="203"/>
      <c r="J216" s="284"/>
      <c r="K216" s="285"/>
    </row>
    <row r="217" spans="3:11" outlineLevel="1">
      <c r="C217" s="1619"/>
      <c r="D217" s="309"/>
      <c r="E217" s="245"/>
      <c r="F217" s="203"/>
      <c r="G217" s="1620"/>
      <c r="H217" s="1621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6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1"/>
      <c r="I223" s="203"/>
      <c r="J223" s="284"/>
      <c r="K223" s="285"/>
    </row>
    <row r="224" spans="3:11" outlineLevel="1">
      <c r="C224" s="1619"/>
      <c r="D224" s="309"/>
      <c r="E224" s="245"/>
      <c r="F224" s="203"/>
      <c r="G224" s="1620"/>
      <c r="H224" s="1621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7"/>
      <c r="F226" s="238"/>
      <c r="G226" s="238"/>
      <c r="H226" s="1626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8"/>
      <c r="D230" s="203"/>
      <c r="E230" s="1620"/>
      <c r="F230" s="203"/>
      <c r="G230" s="203"/>
      <c r="H230" s="1621"/>
      <c r="I230" s="203"/>
      <c r="J230" s="284"/>
      <c r="K230" s="285"/>
    </row>
    <row r="231" spans="3:11" outlineLevel="1">
      <c r="C231" s="1619"/>
      <c r="D231" s="309"/>
      <c r="E231" s="245"/>
      <c r="F231" s="203"/>
      <c r="G231" s="1620"/>
      <c r="H231" s="1621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6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1"/>
      <c r="I237" s="203"/>
      <c r="J237" s="284"/>
      <c r="K237" s="285"/>
    </row>
    <row r="238" spans="3:11" outlineLevel="1">
      <c r="C238" s="1619"/>
      <c r="D238" s="309"/>
      <c r="E238" s="245"/>
      <c r="F238" s="203"/>
      <c r="G238" s="1620"/>
      <c r="H238" s="1621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7"/>
      <c r="F240" s="238"/>
      <c r="G240" s="238"/>
      <c r="H240" s="1626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8"/>
      <c r="D244" s="203"/>
      <c r="E244" s="1620"/>
      <c r="F244" s="203"/>
      <c r="G244" s="203"/>
      <c r="H244" s="1621"/>
      <c r="I244" s="203"/>
      <c r="J244" s="284"/>
      <c r="K244" s="285"/>
    </row>
    <row r="245" spans="3:11" outlineLevel="1">
      <c r="C245" s="1619"/>
      <c r="D245" s="1620"/>
      <c r="E245" s="203"/>
      <c r="F245" s="203"/>
      <c r="G245" s="1620"/>
      <c r="H245" s="1621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2"/>
      <c r="F247" s="238"/>
      <c r="G247" s="238"/>
      <c r="H247" s="1626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8"/>
      <c r="D251" s="203"/>
      <c r="E251" s="1620"/>
      <c r="F251" s="203"/>
      <c r="G251" s="203"/>
      <c r="H251" s="1621"/>
      <c r="I251" s="203"/>
      <c r="J251" s="284"/>
      <c r="K251" s="285"/>
    </row>
    <row r="252" spans="3:11" outlineLevel="1">
      <c r="C252" s="1619"/>
      <c r="D252" s="1620"/>
      <c r="E252" s="203"/>
      <c r="F252" s="203"/>
      <c r="G252" s="1620"/>
      <c r="H252" s="1621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6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8"/>
      <c r="D258" s="203"/>
      <c r="E258" s="1620"/>
      <c r="F258" s="203"/>
      <c r="G258" s="203"/>
      <c r="H258" s="1621"/>
      <c r="I258" s="203"/>
      <c r="J258" s="284"/>
      <c r="K258" s="285"/>
    </row>
    <row r="259" spans="3:11" outlineLevel="1">
      <c r="C259" s="1619"/>
      <c r="D259" s="1620"/>
      <c r="E259" s="203"/>
      <c r="F259" s="203"/>
      <c r="G259" s="1620"/>
      <c r="H259" s="1621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6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8"/>
      <c r="D265" s="203"/>
      <c r="E265" s="1620"/>
      <c r="F265" s="203"/>
      <c r="G265" s="203"/>
      <c r="H265" s="1621"/>
      <c r="I265" s="203"/>
      <c r="J265" s="284"/>
      <c r="K265" s="285"/>
    </row>
    <row r="266" spans="3:11" outlineLevel="1"/>
    <row r="267" spans="3:11" outlineLevel="1">
      <c r="C267" s="288"/>
      <c r="D267" s="288"/>
      <c r="E267" s="1629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129" zoomScaleNormal="100" workbookViewId="0">
      <selection activeCell="M164" sqref="M164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82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988</v>
      </c>
      <c r="J4" s="717">
        <f>GapCalc!D41</f>
        <v>1522054.9534162208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151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722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723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724</v>
      </c>
      <c r="AK11" s="978"/>
      <c r="AL11" s="979"/>
      <c r="AM11" s="980"/>
      <c r="AN11" s="981"/>
      <c r="AO11" s="981"/>
      <c r="AP11" s="980"/>
      <c r="AQ11" s="982" t="s">
        <v>725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3" t="s">
        <v>84</v>
      </c>
      <c r="G14" s="1754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347</v>
      </c>
      <c r="D15" s="1000"/>
      <c r="E15" s="987"/>
      <c r="F15" s="987"/>
      <c r="G15" s="987" t="s">
        <v>726</v>
      </c>
      <c r="I15" s="993" t="s">
        <v>382</v>
      </c>
      <c r="J15" s="988"/>
      <c r="K15" s="987" t="s">
        <v>727</v>
      </c>
      <c r="L15" s="988"/>
      <c r="M15" s="1001" t="s">
        <v>728</v>
      </c>
      <c r="N15" s="1002"/>
      <c r="P15" s="1003" t="s">
        <v>729</v>
      </c>
      <c r="Q15" s="1004"/>
      <c r="R15" s="1004"/>
      <c r="S15" s="1004"/>
      <c r="U15" s="995" t="s">
        <v>730</v>
      </c>
      <c r="V15" s="995" t="s">
        <v>731</v>
      </c>
      <c r="X15" s="995" t="s">
        <v>732</v>
      </c>
      <c r="Z15" s="995" t="s">
        <v>733</v>
      </c>
      <c r="AB15" s="995" t="s">
        <v>734</v>
      </c>
      <c r="AD15" s="996" t="s">
        <v>735</v>
      </c>
      <c r="AF15" s="996" t="s">
        <v>736</v>
      </c>
      <c r="AH15" s="997" t="s">
        <v>737</v>
      </c>
      <c r="AJ15" s="1005" t="s">
        <v>738</v>
      </c>
      <c r="AL15" s="997" t="s">
        <v>739</v>
      </c>
      <c r="AN15" s="996" t="s">
        <v>740</v>
      </c>
      <c r="AO15" s="996" t="s">
        <v>741</v>
      </c>
      <c r="AQ15" s="996" t="s">
        <v>742</v>
      </c>
      <c r="AR15" s="996" t="s">
        <v>743</v>
      </c>
      <c r="AS15" s="996" t="s">
        <v>744</v>
      </c>
      <c r="AT15" s="996" t="s">
        <v>745</v>
      </c>
      <c r="AU15" s="996" t="s">
        <v>746</v>
      </c>
      <c r="AV15" s="996" t="s">
        <v>747</v>
      </c>
      <c r="AW15" s="996" t="s">
        <v>748</v>
      </c>
      <c r="AX15" s="996" t="s">
        <v>749</v>
      </c>
      <c r="AY15" s="996" t="s">
        <v>750</v>
      </c>
      <c r="AZ15" s="996" t="s">
        <v>751</v>
      </c>
      <c r="BA15" s="996" t="s">
        <v>752</v>
      </c>
      <c r="BB15" s="996" t="s">
        <v>753</v>
      </c>
      <c r="BC15" s="996" t="s">
        <v>754</v>
      </c>
      <c r="BD15" s="996" t="s">
        <v>755</v>
      </c>
      <c r="BE15" s="996" t="s">
        <v>756</v>
      </c>
      <c r="BF15" s="996" t="s">
        <v>757</v>
      </c>
      <c r="BG15" s="996" t="s">
        <v>758</v>
      </c>
      <c r="BH15" s="996" t="s">
        <v>759</v>
      </c>
      <c r="BI15" s="996" t="s">
        <v>760</v>
      </c>
      <c r="BJ15" s="996" t="s">
        <v>761</v>
      </c>
      <c r="BK15" s="996" t="s">
        <v>762</v>
      </c>
      <c r="BL15" s="996" t="s">
        <v>763</v>
      </c>
      <c r="BM15" s="996" t="s">
        <v>764</v>
      </c>
      <c r="BN15" s="996" t="s">
        <v>765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87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994</v>
      </c>
      <c r="N17" s="1672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640</v>
      </c>
      <c r="D18" s="842"/>
      <c r="E18" s="844">
        <f>N18</f>
        <v>9880000</v>
      </c>
      <c r="F18" s="845"/>
      <c r="G18" s="1392">
        <f>E18</f>
        <v>9880000</v>
      </c>
      <c r="H18" s="950"/>
      <c r="I18" s="950">
        <f>G18/$F$9</f>
        <v>65430.463576158938</v>
      </c>
      <c r="J18" s="1015"/>
      <c r="K18" s="1016"/>
      <c r="L18" s="1016"/>
      <c r="M18" s="1431">
        <f>F9*N17</f>
        <v>9815000</v>
      </c>
      <c r="N18" s="1673">
        <v>9880000</v>
      </c>
      <c r="O18" s="1017"/>
      <c r="P18" s="1018"/>
      <c r="Q18" s="855" t="s">
        <v>766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9880000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641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165.56291390728478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767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642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768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643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644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645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993.37748344370857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646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647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648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769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770</v>
      </c>
      <c r="D28" s="1329"/>
      <c r="E28" s="1330"/>
      <c r="F28" s="1331"/>
      <c r="G28" s="1332">
        <f>SUM(G18:G27)</f>
        <v>10055000</v>
      </c>
      <c r="H28" s="1333"/>
      <c r="I28" s="1325">
        <f t="shared" si="0"/>
        <v>66589.403973509936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10055000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90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707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708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94</v>
      </c>
      <c r="D32" s="842"/>
      <c r="E32" s="1043"/>
      <c r="F32" s="1044"/>
      <c r="G32" s="1038">
        <f>F33+F35</f>
        <v>44143200</v>
      </c>
      <c r="H32" s="1039"/>
      <c r="I32" s="950">
        <f t="shared" si="0"/>
        <v>292339.07284768211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48557520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669</v>
      </c>
      <c r="E33" s="1063">
        <v>300</v>
      </c>
      <c r="F33" s="1064">
        <f>E33*'Construction Calculation'!C14</f>
        <v>44143200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709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691</v>
      </c>
      <c r="E35" s="1068">
        <f>'Construction Calculation'!G49</f>
        <v>143</v>
      </c>
      <c r="F35" s="1064">
        <f>'Construction Calculation'!I55</f>
        <v>0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710</v>
      </c>
      <c r="E36" s="1048">
        <v>0.1</v>
      </c>
      <c r="F36" s="1049">
        <f>E36*(G32+G31+G30)</f>
        <v>4414320</v>
      </c>
      <c r="G36" s="854">
        <f>F36</f>
        <v>4414320</v>
      </c>
      <c r="H36" s="950"/>
      <c r="I36" s="950">
        <f t="shared" si="0"/>
        <v>29233.907284768211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711</v>
      </c>
      <c r="D37" s="842"/>
      <c r="E37" s="1048">
        <v>7.0000000000000007E-2</v>
      </c>
      <c r="F37"/>
      <c r="G37" s="1071">
        <f>SUM($G$29:$G$32,$G$20,$G$21)*E37</f>
        <v>3090024.0000000005</v>
      </c>
      <c r="H37" s="1072"/>
      <c r="I37" s="950">
        <f t="shared" si="0"/>
        <v>20463.735099337751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3090024.0000000005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712</v>
      </c>
      <c r="D38" s="842"/>
      <c r="E38" s="1048">
        <v>0.05</v>
      </c>
      <c r="F38"/>
      <c r="G38" s="1071">
        <f>SUM($G$29:$G$32,$G$20,$G$21)*E38</f>
        <v>2207160</v>
      </c>
      <c r="H38" s="1072"/>
      <c r="I38" s="950">
        <f t="shared" si="0"/>
        <v>14616.953642384105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2207160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713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714</v>
      </c>
      <c r="D40" s="842"/>
      <c r="E40" s="1048">
        <v>1.4999999999999999E-2</v>
      </c>
      <c r="F40"/>
      <c r="G40" s="1071">
        <f>SUM($G$29:$G$32,$G$20,$G$21)*E40</f>
        <v>662148</v>
      </c>
      <c r="H40" s="1072"/>
      <c r="I40" s="950">
        <f t="shared" si="0"/>
        <v>4385.0860927152316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662148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715</v>
      </c>
      <c r="D41" s="842"/>
      <c r="E41" s="1048">
        <v>1.4999999999999999E-2</v>
      </c>
      <c r="F41" s="1074"/>
      <c r="G41" s="1071">
        <f>SUM($G$29:$G$33,$G$20,$G$21)*E41</f>
        <v>662148</v>
      </c>
      <c r="H41" s="1072"/>
      <c r="I41" s="950">
        <f t="shared" si="0"/>
        <v>4385.0860927152316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662148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224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716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717</v>
      </c>
      <c r="D44" s="1320"/>
      <c r="E44" s="1321"/>
      <c r="F44" s="1322"/>
      <c r="G44" s="1323">
        <f>SUM(G30:G43)+G23+G24</f>
        <v>55329000</v>
      </c>
      <c r="H44" s="1324"/>
      <c r="I44" s="1325">
        <f t="shared" si="0"/>
        <v>366417.21854304633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55329000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718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719</v>
      </c>
      <c r="D46" s="1335"/>
      <c r="E46" s="1336"/>
      <c r="F46" s="1337"/>
      <c r="G46" s="1332">
        <f>SUM(G44:G45)</f>
        <v>55329000</v>
      </c>
      <c r="H46" s="1333"/>
      <c r="I46" s="1325">
        <f t="shared" si="0"/>
        <v>366417.21854304633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55329000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720</v>
      </c>
      <c r="D47" s="842"/>
      <c r="E47" s="1085">
        <v>0.1</v>
      </c>
      <c r="F47" s="1086">
        <v>0.15</v>
      </c>
      <c r="G47" s="1038">
        <f>(E47*G46)</f>
        <v>5532900</v>
      </c>
      <c r="H47" s="1039"/>
      <c r="I47" s="950">
        <f t="shared" si="0"/>
        <v>36641.721854304633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5532900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721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771</v>
      </c>
      <c r="E49" s="1047"/>
      <c r="F49" s="1091">
        <f>335*F9</f>
        <v>50585</v>
      </c>
      <c r="G49" s="1092">
        <f>F49</f>
        <v>50585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772</v>
      </c>
      <c r="E50" s="1047">
        <v>0</v>
      </c>
      <c r="F50" s="1091">
        <f>368*F9</f>
        <v>55568</v>
      </c>
      <c r="G50" s="1092">
        <f>F50</f>
        <v>55568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773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8.112582781456954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774</v>
      </c>
      <c r="D52" s="841"/>
      <c r="E52" s="1098"/>
      <c r="F52" s="1099"/>
      <c r="G52" s="1100">
        <f>SUM(F49:F51)</f>
        <v>107378</v>
      </c>
      <c r="H52" s="1101"/>
      <c r="I52" s="950">
        <f t="shared" si="0"/>
        <v>711.11258278145692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107378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775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385</v>
      </c>
      <c r="D54" s="842"/>
      <c r="E54" s="1107"/>
      <c r="F54" s="1076"/>
      <c r="G54" s="1038">
        <f>SUM(F55:F56)</f>
        <v>1731800</v>
      </c>
      <c r="H54" s="1039"/>
      <c r="I54" s="950">
        <f t="shared" si="0"/>
        <v>11468.874172185431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1731800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776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1089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385</v>
      </c>
      <c r="E56" s="1082">
        <v>0.06</v>
      </c>
      <c r="F56" s="1044">
        <f>M56</f>
        <v>1568000</v>
      </c>
      <c r="G56" s="1110"/>
      <c r="H56" s="1111"/>
      <c r="I56" s="950">
        <f>G56/$F$9</f>
        <v>0</v>
      </c>
      <c r="J56" s="1106"/>
      <c r="K56" s="1113" t="s">
        <v>984</v>
      </c>
      <c r="L56" s="1114"/>
      <c r="M56" s="1669">
        <f>SUM(M57:M58)</f>
        <v>1568000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777</v>
      </c>
      <c r="D57" s="842"/>
      <c r="E57" s="1115">
        <v>6.5000000000000002E-2</v>
      </c>
      <c r="F57" s="1044"/>
      <c r="G57" s="1116">
        <f>E57*F56</f>
        <v>101920</v>
      </c>
      <c r="H57" s="1117"/>
      <c r="I57" s="950">
        <f t="shared" si="0"/>
        <v>674.96688741721857</v>
      </c>
      <c r="J57" s="1015"/>
      <c r="K57" s="1118"/>
      <c r="L57" s="1119"/>
      <c r="M57" s="1120">
        <f>(5000*F9)*1.6</f>
        <v>1208000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101920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778</v>
      </c>
      <c r="D58" s="842"/>
      <c r="E58" s="1122"/>
      <c r="F58" s="1044"/>
      <c r="G58" s="1123">
        <v>30000</v>
      </c>
      <c r="H58" s="1124"/>
      <c r="I58" s="950">
        <f t="shared" si="0"/>
        <v>198.67549668874173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966</v>
      </c>
      <c r="D59" s="841"/>
      <c r="E59" s="1053"/>
      <c r="F59" s="1126"/>
      <c r="G59" s="1127">
        <f>SUM(G54:G58)-SUM(F75:F76,G78:G79,G67:G69)</f>
        <v>1534397.5</v>
      </c>
      <c r="H59" s="1128"/>
      <c r="I59" s="950">
        <f t="shared" si="0"/>
        <v>10161.572847682119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1863720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967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779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385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776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385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777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780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368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781</v>
      </c>
      <c r="D67" s="847"/>
      <c r="E67" s="1133">
        <v>2.5000000000000001E-3</v>
      </c>
      <c r="F67" s="1088"/>
      <c r="G67" s="1038">
        <f>(E67*G46)</f>
        <v>138322.5</v>
      </c>
      <c r="H67" s="1039"/>
      <c r="I67" s="950">
        <f t="shared" si="0"/>
        <v>916.04304635761594</v>
      </c>
      <c r="J67" s="1134"/>
      <c r="K67" s="1135" t="s">
        <v>782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138322.5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783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46.357615894039732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395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629.13907284768209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784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785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786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787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773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104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165.56291390728478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788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789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790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791</v>
      </c>
      <c r="D78" s="847"/>
      <c r="E78" s="1107"/>
      <c r="F78" s="1044"/>
      <c r="G78" s="1028">
        <v>30000</v>
      </c>
      <c r="H78" s="1146"/>
      <c r="I78" s="950">
        <f t="shared" si="0"/>
        <v>198.67549668874173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792</v>
      </c>
      <c r="D79" s="847"/>
      <c r="E79" s="1107"/>
      <c r="F79" s="1044"/>
      <c r="G79" s="1028">
        <v>34000</v>
      </c>
      <c r="H79" s="1146"/>
      <c r="I79" s="950">
        <f t="shared" si="0"/>
        <v>225.16556291390728</v>
      </c>
      <c r="J79" s="1015"/>
      <c r="K79" s="1147" t="s">
        <v>793</v>
      </c>
      <c r="L79" s="1067"/>
      <c r="M79" s="1014"/>
      <c r="N79" s="855"/>
      <c r="O79" s="855"/>
      <c r="P79" s="855" t="s">
        <v>794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795</v>
      </c>
      <c r="D80" s="841"/>
      <c r="E80" s="1098"/>
      <c r="F80" s="1099"/>
      <c r="G80" s="1100">
        <f>SUM(G67:G79)</f>
        <v>329322.5</v>
      </c>
      <c r="H80" s="1101"/>
      <c r="I80" s="950">
        <f t="shared" si="0"/>
        <v>2180.9437086092717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329322.5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796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797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968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413</v>
      </c>
      <c r="D90" s="842"/>
      <c r="E90" s="847"/>
      <c r="F90" s="1044"/>
      <c r="G90" s="1110">
        <f>SUM(F91:F96)</f>
        <v>2522699</v>
      </c>
      <c r="H90" s="1111"/>
      <c r="I90" s="950">
        <f t="shared" si="3"/>
        <v>16706.615894039736</v>
      </c>
      <c r="J90" s="1094"/>
      <c r="K90" s="1125">
        <v>0</v>
      </c>
      <c r="L90" s="1045"/>
      <c r="M90" s="1014"/>
      <c r="N90" s="855"/>
      <c r="O90" s="855"/>
      <c r="P90" s="868" t="s">
        <v>798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2522699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799</v>
      </c>
      <c r="E91" s="1087"/>
      <c r="F91" s="1156">
        <v>51432</v>
      </c>
      <c r="G91" s="1110">
        <v>100000</v>
      </c>
      <c r="H91" s="1111"/>
      <c r="I91" s="950">
        <f t="shared" si="3"/>
        <v>662.25165562913912</v>
      </c>
      <c r="J91" s="1094"/>
      <c r="K91" s="1143" t="s">
        <v>800</v>
      </c>
      <c r="L91" s="1046"/>
      <c r="M91" s="1671">
        <f>'Permit Fee Breakdown'!F17</f>
        <v>7491</v>
      </c>
      <c r="N91" s="855"/>
      <c r="O91" s="855"/>
      <c r="P91" t="s">
        <v>801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802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803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535</v>
      </c>
      <c r="E94" s="847"/>
      <c r="F94" s="1158">
        <f>M94</f>
        <v>1779837</v>
      </c>
      <c r="G94" s="1110"/>
      <c r="H94" s="1111"/>
      <c r="I94" s="950">
        <f t="shared" si="3"/>
        <v>0</v>
      </c>
      <c r="J94" s="1094"/>
      <c r="K94" s="1143" t="s">
        <v>800</v>
      </c>
      <c r="L94" s="1046"/>
      <c r="M94" s="1671">
        <f>11787*F9</f>
        <v>1779837</v>
      </c>
      <c r="N94" s="855"/>
      <c r="O94" s="855"/>
      <c r="P94" s="1157" t="s">
        <v>801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804</v>
      </c>
      <c r="E95" s="1153">
        <v>2600</v>
      </c>
      <c r="F95" s="1160">
        <f>E95*F9</f>
        <v>392600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805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806</v>
      </c>
      <c r="D97" s="841"/>
      <c r="E97" s="1098"/>
      <c r="F97" s="1099"/>
      <c r="G97" s="1100">
        <f>SUM(G82:G96)</f>
        <v>2622699</v>
      </c>
      <c r="H97" s="1101"/>
      <c r="I97" s="950">
        <f t="shared" si="3"/>
        <v>17368.867549668874</v>
      </c>
      <c r="J97" s="1102"/>
      <c r="K97" s="1166">
        <f>I97/I250</f>
        <v>2.8564964612289832E-2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2622699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807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808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809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810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811</v>
      </c>
      <c r="L101" s="1045"/>
      <c r="M101" s="1014" t="s">
        <v>581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812</v>
      </c>
      <c r="D102" s="842"/>
      <c r="E102" s="847"/>
      <c r="F102" s="1044"/>
      <c r="G102" s="1110">
        <f>SUM(F103:F105)</f>
        <v>248962.66357386723</v>
      </c>
      <c r="H102" s="1111"/>
      <c r="I102" s="950">
        <f t="shared" si="3"/>
        <v>1648.7593614163393</v>
      </c>
      <c r="J102" s="1094"/>
      <c r="K102" s="1112"/>
      <c r="L102" s="1013"/>
      <c r="M102" s="1168" t="s">
        <v>813</v>
      </c>
      <c r="N102" s="1169" t="s">
        <v>814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248962.66357386723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809</v>
      </c>
      <c r="E103" s="1670">
        <v>0.05</v>
      </c>
      <c r="F103" s="1170">
        <f>E103*N103</f>
        <v>233962.66357386723</v>
      </c>
      <c r="G103" s="1110"/>
      <c r="H103" s="1111"/>
      <c r="I103" s="950">
        <f t="shared" si="3"/>
        <v>0</v>
      </c>
      <c r="J103" s="1094"/>
      <c r="K103" s="1112" t="s">
        <v>815</v>
      </c>
      <c r="L103" s="1013"/>
      <c r="M103" s="1171">
        <f>(0.7*G234)+(0.9*(SUM(G97,G59,)+(0.5*G120)))</f>
        <v>4744596.4370758897</v>
      </c>
      <c r="N103" s="1172">
        <v>4679253.2714773444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816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817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818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809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815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816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817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819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809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816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817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820</v>
      </c>
      <c r="D114" s="841"/>
      <c r="E114" s="1053"/>
      <c r="F114" s="1054"/>
      <c r="G114" s="1100">
        <f>SUM(G99:G110)</f>
        <v>248962.66357386723</v>
      </c>
      <c r="H114" s="1101"/>
      <c r="I114" s="950">
        <f t="shared" si="3"/>
        <v>1648.7593614163393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248962.66357386723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821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813</v>
      </c>
      <c r="N115" s="1169" t="s">
        <v>814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108</v>
      </c>
      <c r="D116" s="888"/>
      <c r="E116" s="1174"/>
      <c r="F116" s="1175"/>
      <c r="G116" s="1176">
        <f>N116</f>
        <v>4144431.4043516535</v>
      </c>
      <c r="H116" s="1177"/>
      <c r="I116" s="950">
        <f t="shared" si="3"/>
        <v>27446.565591732804</v>
      </c>
      <c r="J116" s="1178"/>
      <c r="K116" s="1179" t="s">
        <v>822</v>
      </c>
      <c r="L116" s="1073"/>
      <c r="M116" s="1180">
        <f>0.5*Data!C20*Data!C17/12*Data!C19</f>
        <v>4207433.2423045039</v>
      </c>
      <c r="N116" s="1181">
        <v>4144431.4043516535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4144431.4043516535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823</v>
      </c>
      <c r="D117" s="842"/>
      <c r="E117" s="1107"/>
      <c r="F117" s="1044"/>
      <c r="G117" s="1183">
        <f>N117</f>
        <v>587862.61054633383</v>
      </c>
      <c r="H117" s="1094"/>
      <c r="I117" s="950">
        <f t="shared" si="3"/>
        <v>3893.1298711677737</v>
      </c>
      <c r="J117" s="1015"/>
      <c r="K117" s="1184" t="s">
        <v>824</v>
      </c>
      <c r="L117" s="1185"/>
      <c r="M117" s="1186">
        <f>0.01*Data!C20</f>
        <v>596799.04146163166</v>
      </c>
      <c r="N117" s="1172">
        <v>587862.61054633383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587862.61054633383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825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826</v>
      </c>
      <c r="L118" s="1013"/>
      <c r="M118" s="1186">
        <v>0</v>
      </c>
      <c r="N118" s="1172">
        <v>0</v>
      </c>
      <c r="O118" s="1173"/>
      <c r="P118" s="1187" t="s">
        <v>827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828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829</v>
      </c>
      <c r="D120" s="842"/>
      <c r="E120" s="1190">
        <f>'Tax Calc'!E3</f>
        <v>1.199398E-2</v>
      </c>
      <c r="F120"/>
      <c r="G120" s="1038">
        <f>'Tax Calc'!C15</f>
        <v>296251.30599999998</v>
      </c>
      <c r="H120" s="1039"/>
      <c r="I120" s="950">
        <f t="shared" si="3"/>
        <v>1961.929178807947</v>
      </c>
      <c r="J120" s="1015"/>
      <c r="K120" s="1112" t="s">
        <v>987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296251.30599999998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407</v>
      </c>
      <c r="D121" s="842"/>
      <c r="E121" s="1050"/>
      <c r="F121" s="1044"/>
      <c r="G121" s="1116">
        <f>SUM(F122:F124)</f>
        <v>772350.49485000013</v>
      </c>
      <c r="H121" s="1117"/>
      <c r="I121" s="950">
        <f t="shared" si="3"/>
        <v>5114.9039394039746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772350.49485000013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830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831</v>
      </c>
      <c r="E123" s="1193"/>
      <c r="F123" s="1194">
        <f>'Insurance Estimator'!E19*1.35</f>
        <v>772350.49485000013</v>
      </c>
      <c r="G123" s="1110"/>
      <c r="H123" s="1111"/>
      <c r="I123" s="950">
        <f t="shared" si="3"/>
        <v>0</v>
      </c>
      <c r="J123" s="1094"/>
      <c r="K123" s="1195" t="s">
        <v>832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833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832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834</v>
      </c>
      <c r="D125" s="842"/>
      <c r="E125" s="1107"/>
      <c r="F125" s="1044"/>
      <c r="G125" s="1110">
        <f>SUM(F126:F127)</f>
        <v>98179.391581950069</v>
      </c>
      <c r="H125" s="1111"/>
      <c r="I125" s="950">
        <f t="shared" si="3"/>
        <v>650.19464623807994</v>
      </c>
      <c r="J125" s="1094"/>
      <c r="K125" s="1112"/>
      <c r="L125" s="1013"/>
      <c r="M125" s="1168" t="s">
        <v>813</v>
      </c>
      <c r="N125" s="1169" t="s">
        <v>814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98179.391581950069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835</v>
      </c>
      <c r="E126" s="1196">
        <v>1.5E-3</v>
      </c>
      <c r="F126" s="1044">
        <f>N126</f>
        <v>88179.391581950069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89519.856219244757</v>
      </c>
      <c r="N126" s="1172">
        <v>88179.391581950069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836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837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101.98675496688742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838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839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840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841</v>
      </c>
      <c r="D132" s="888"/>
      <c r="E132" s="1200" t="s">
        <v>842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843</v>
      </c>
      <c r="L132" s="1205"/>
      <c r="M132" s="1168"/>
      <c r="N132" s="1169" t="s">
        <v>814</v>
      </c>
      <c r="O132" s="1169"/>
      <c r="P132" t="s">
        <v>844</v>
      </c>
      <c r="Q132" s="1206" t="s">
        <v>845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846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847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848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849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850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851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852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853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854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855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855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856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857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858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859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860</v>
      </c>
      <c r="D148" s="841"/>
      <c r="E148" s="1053"/>
      <c r="F148" s="1126"/>
      <c r="G148" s="1127">
        <f>SUM(G116:G147)</f>
        <v>5914475.2073299373</v>
      </c>
      <c r="H148" s="1128"/>
      <c r="I148" s="950">
        <f t="shared" si="6"/>
        <v>39168.709982317465</v>
      </c>
      <c r="J148" s="1242"/>
      <c r="K148" s="1129"/>
      <c r="L148" s="1130"/>
      <c r="M148" s="1131" t="s">
        <v>1037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5914475.2073299373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996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813</v>
      </c>
      <c r="N149" s="868" t="s">
        <v>963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861</v>
      </c>
      <c r="D151" s="842"/>
      <c r="E151" s="1087"/>
      <c r="F151" s="1044"/>
      <c r="G151" s="1110">
        <f>N151</f>
        <v>0</v>
      </c>
      <c r="H151" s="1093"/>
      <c r="I151" s="950">
        <f t="shared" ref="I151:I158" si="7">G151/$F$9</f>
        <v>0</v>
      </c>
      <c r="J151" s="1094"/>
      <c r="K151" s="1244" t="s">
        <v>862</v>
      </c>
      <c r="L151" s="1245"/>
      <c r="M151" s="1558">
        <f>Data!C31*Data!C30</f>
        <v>0</v>
      </c>
      <c r="N151" s="1345">
        <v>0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863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835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836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204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864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865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865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866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1036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965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813</v>
      </c>
      <c r="N160" s="868" t="s">
        <v>963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962</v>
      </c>
      <c r="D161" s="842"/>
      <c r="E161" s="1107"/>
      <c r="F161" s="1044"/>
      <c r="G161" s="1110">
        <f>N161</f>
        <v>68028.253656894842</v>
      </c>
      <c r="H161" s="1111"/>
      <c r="I161" s="950"/>
      <c r="J161" s="1094"/>
      <c r="K161" s="1112"/>
      <c r="L161" s="1013"/>
      <c r="M161" s="1343">
        <f>37500+(Data!C38*0.0005)</f>
        <v>68100.979549789685</v>
      </c>
      <c r="N161" s="1344">
        <v>68028.253656894842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861</v>
      </c>
      <c r="D162" s="842"/>
      <c r="E162" s="1087"/>
      <c r="F162" s="1044"/>
      <c r="G162" s="1110">
        <f>N162</f>
        <v>610565.07313789695</v>
      </c>
      <c r="H162" s="1093"/>
      <c r="I162" s="950">
        <f t="shared" si="6"/>
        <v>4043.4773055489864</v>
      </c>
      <c r="J162" s="1094"/>
      <c r="K162" s="1244" t="s">
        <v>862</v>
      </c>
      <c r="L162" s="1245"/>
      <c r="M162" s="1343">
        <f>Data!C38*Data!C39</f>
        <v>612019.59099579393</v>
      </c>
      <c r="N162" s="1345">
        <v>610565.07313789695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610565.07313789695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863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1836058.7729873816</v>
      </c>
      <c r="N163" s="1344">
        <v>1831695.2194136905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835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836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1056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204</v>
      </c>
      <c r="D166" s="842"/>
      <c r="E166" s="1107"/>
      <c r="F166" s="1044"/>
      <c r="G166" s="1110">
        <f>SUM(F167:F169)</f>
        <v>1831695.2194136905</v>
      </c>
      <c r="H166" s="1111"/>
      <c r="I166" s="950">
        <f t="shared" si="6"/>
        <v>12130.431916646958</v>
      </c>
      <c r="J166" s="1094"/>
      <c r="K166" s="1103"/>
      <c r="L166" s="1029"/>
      <c r="M166" s="1104" t="s">
        <v>813</v>
      </c>
      <c r="N166" s="868" t="s">
        <v>963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1831695.2194136905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1088</v>
      </c>
      <c r="E167" s="1246"/>
      <c r="F167" s="1247">
        <f>N163</f>
        <v>1831695.2194136905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5371191.3731546849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865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865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866</v>
      </c>
      <c r="D170" s="841"/>
      <c r="E170" s="1053"/>
      <c r="F170" s="1126"/>
      <c r="G170" s="1127">
        <f>SUM(G162:G166)</f>
        <v>2442260.2925515873</v>
      </c>
      <c r="H170" s="1128"/>
      <c r="I170" s="950">
        <f t="shared" si="6"/>
        <v>16173.909222195942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2442260.2925515873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118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867</v>
      </c>
      <c r="D172" s="842"/>
      <c r="E172" s="1107"/>
      <c r="F172" s="1044"/>
      <c r="G172" s="1110">
        <v>60000</v>
      </c>
      <c r="H172" s="1111"/>
      <c r="I172" s="950">
        <f t="shared" si="6"/>
        <v>397.35099337748346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868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331.12582781456956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869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204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870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871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728.47682119205297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124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872</v>
      </c>
      <c r="D178" s="842"/>
      <c r="E178" s="1253">
        <v>3</v>
      </c>
      <c r="F178" s="1044"/>
      <c r="G178" s="1092">
        <f>E178*(-'Cash Flow'!E18/12)-'Cash Flow'!E22</f>
        <v>3947716.0329985875</v>
      </c>
      <c r="H178" s="1093"/>
      <c r="I178" s="950">
        <f t="shared" si="6"/>
        <v>26143.814788070114</v>
      </c>
      <c r="J178" s="1094"/>
      <c r="K178" s="1125" t="s">
        <v>873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3947716.0329985875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874</v>
      </c>
      <c r="D179" s="888"/>
      <c r="E179" s="1174"/>
      <c r="F179" s="1254" t="s">
        <v>875</v>
      </c>
      <c r="G179" s="1202" t="b">
        <v>0</v>
      </c>
      <c r="H179" s="1203"/>
      <c r="I179" s="950">
        <f t="shared" si="6"/>
        <v>0</v>
      </c>
      <c r="J179" s="1177"/>
      <c r="K179" s="1179" t="s">
        <v>876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253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877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878</v>
      </c>
      <c r="D181" s="841"/>
      <c r="E181" s="1053"/>
      <c r="F181" s="1126"/>
      <c r="G181" s="1127">
        <f>SUM(G178:G180)</f>
        <v>3947716.0329985875</v>
      </c>
      <c r="H181" s="1128"/>
      <c r="I181" s="950">
        <f t="shared" si="6"/>
        <v>26143.814788070114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3947716.0329985875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409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879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86.092715231788077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880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137</v>
      </c>
      <c r="D186" s="842"/>
      <c r="E186" s="1107"/>
      <c r="F186" s="1044"/>
      <c r="G186" s="1256">
        <v>12000</v>
      </c>
      <c r="H186" s="1257"/>
      <c r="I186" s="950">
        <f t="shared" si="6"/>
        <v>79.47019867549669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881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882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883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165.56291390728478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410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813</v>
      </c>
      <c r="N190" s="1169" t="s">
        <v>814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884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411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96.026490066225165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885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886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887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888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889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890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891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892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617.5496688741722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893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894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895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894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896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897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898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899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487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900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901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902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331.12582781456956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903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904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905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906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907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908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909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487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910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106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911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912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1860.9271523178809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224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415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913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148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914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915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916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917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918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919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920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921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922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923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924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925</v>
      </c>
      <c r="D233" s="842"/>
      <c r="E233" s="1277">
        <v>0.05</v>
      </c>
      <c r="F233" s="1088"/>
      <c r="G233" s="1110">
        <f>SUM(G190:G231,G189,G181,G176,G170,G148,G114,G97,G80)*E233</f>
        <v>803959.28482269903</v>
      </c>
      <c r="H233" s="1111"/>
      <c r="I233" s="950">
        <f t="shared" si="8"/>
        <v>5324.2336743225105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803959.28482269903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926</v>
      </c>
      <c r="D234" s="841"/>
      <c r="E234" s="1280"/>
      <c r="F234" s="1126"/>
      <c r="G234" s="1281">
        <f>SUM(G191:G233)</f>
        <v>1242709.2848226991</v>
      </c>
      <c r="H234" s="1282"/>
      <c r="I234" s="950">
        <f t="shared" si="8"/>
        <v>8229.8628133953589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1242709.2848226991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150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151</v>
      </c>
      <c r="D236" s="842"/>
      <c r="E236" s="1042"/>
      <c r="F236" s="1044"/>
      <c r="G236" s="1110">
        <v>2500000</v>
      </c>
      <c r="H236" s="1111"/>
      <c r="I236" s="950">
        <f t="shared" si="8"/>
        <v>16556.291390728478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145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927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143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137.41721854304635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928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929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930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931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16693.708609271522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932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933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934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935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936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937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4.4150110375275933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938</v>
      </c>
      <c r="D248" s="847"/>
      <c r="E248" s="1288"/>
      <c r="F248" s="1088"/>
      <c r="G248" s="1256">
        <v>2000</v>
      </c>
      <c r="H248" s="1257"/>
      <c r="I248" s="950">
        <f t="shared" si="8"/>
        <v>13.245033112582782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939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17.660044150110373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940</v>
      </c>
      <c r="D250" s="1294"/>
      <c r="E250" s="1295"/>
      <c r="F250" s="1296"/>
      <c r="G250" s="1297">
        <f>SUM(G249,G242,G234,G189,G181,G176,G170,G148,G80,G65,G59,G52,G47,G30:G43,G28,G114,G97)</f>
        <v>91815237.147943333</v>
      </c>
      <c r="H250" s="1298"/>
      <c r="I250" s="1299">
        <f>G250/F9</f>
        <v>608047.928132075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1045</v>
      </c>
    </row>
    <row r="254" spans="2:28">
      <c r="G254" s="1528">
        <f>G250/'Construction Calculation'!C14</f>
        <v>623.98220211454986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C38" sqref="C38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425</v>
      </c>
    </row>
    <row r="2" spans="1:15" ht="18.75">
      <c r="A2" s="158" t="s">
        <v>426</v>
      </c>
    </row>
    <row r="3" spans="1:15" ht="16.5" thickBot="1"/>
    <row r="4" spans="1:15">
      <c r="B4" s="1347" t="s">
        <v>10</v>
      </c>
      <c r="C4" s="1348">
        <f>'Rental Income'!D15</f>
        <v>151</v>
      </c>
      <c r="D4" s="507" t="s">
        <v>261</v>
      </c>
      <c r="E4" s="507"/>
      <c r="F4" s="507"/>
      <c r="G4" s="508"/>
    </row>
    <row r="5" spans="1:15">
      <c r="B5" s="1349" t="s">
        <v>11</v>
      </c>
      <c r="C5" s="700">
        <f>'Construction Calculation'!C19</f>
        <v>147144</v>
      </c>
      <c r="D5" t="s">
        <v>427</v>
      </c>
      <c r="G5" s="510"/>
    </row>
    <row r="6" spans="1:15">
      <c r="B6" s="1350" t="s">
        <v>12</v>
      </c>
      <c r="C6" s="700">
        <f>'Construction Calculation'!C14</f>
        <v>147144</v>
      </c>
      <c r="D6" t="s">
        <v>427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427</v>
      </c>
      <c r="G7" s="1351"/>
    </row>
    <row r="8" spans="1:15">
      <c r="B8" s="1350" t="s">
        <v>428</v>
      </c>
      <c r="C8" s="700">
        <f>'Construction Calculation'!C13</f>
        <v>24524</v>
      </c>
      <c r="D8" t="s">
        <v>427</v>
      </c>
      <c r="G8" s="510"/>
    </row>
    <row r="9" spans="1:15">
      <c r="B9" s="1350" t="s">
        <v>429</v>
      </c>
      <c r="C9" s="700">
        <f>'Construction Calculation'!C47</f>
        <v>75.5</v>
      </c>
      <c r="D9" t="s">
        <v>430</v>
      </c>
      <c r="G9" s="510"/>
    </row>
    <row r="10" spans="1:15" ht="16.5" thickBot="1">
      <c r="B10" s="511"/>
      <c r="C10" s="1352">
        <v>22630</v>
      </c>
      <c r="D10" s="512" t="s">
        <v>427</v>
      </c>
      <c r="E10" s="512"/>
      <c r="F10" s="512"/>
      <c r="G10" s="1353"/>
    </row>
    <row r="11" spans="1:15" ht="16.5" thickBot="1"/>
    <row r="12" spans="1:15">
      <c r="A12" s="1356" t="s">
        <v>431</v>
      </c>
      <c r="B12" s="1357"/>
      <c r="C12" s="1357"/>
      <c r="D12" s="1358"/>
      <c r="E12" s="58"/>
    </row>
    <row r="13" spans="1:15">
      <c r="A13" s="1359"/>
      <c r="B13" t="s">
        <v>432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433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434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435</v>
      </c>
      <c r="C16" s="319">
        <v>0</v>
      </c>
      <c r="D16" s="1429"/>
      <c r="F16" s="56"/>
    </row>
    <row r="17" spans="1:13" ht="16.5" thickTop="1">
      <c r="A17" s="1359"/>
      <c r="C17" s="1354">
        <f>SUM(C14:C16)</f>
        <v>7.0500000000000007E-2</v>
      </c>
      <c r="D17" s="1360"/>
      <c r="F17" s="48"/>
    </row>
    <row r="18" spans="1:13">
      <c r="A18" s="1359"/>
      <c r="B18" t="s">
        <v>443</v>
      </c>
      <c r="C18" s="55">
        <v>0.65</v>
      </c>
      <c r="D18" s="1360"/>
      <c r="M18" s="48"/>
    </row>
    <row r="19" spans="1:13">
      <c r="A19" s="1359"/>
      <c r="B19" t="s">
        <v>1100</v>
      </c>
      <c r="C19">
        <v>24</v>
      </c>
      <c r="D19" s="1360"/>
      <c r="K19" s="147"/>
      <c r="L19" s="147"/>
      <c r="M19" s="53"/>
    </row>
    <row r="20" spans="1:13">
      <c r="A20" s="1359"/>
      <c r="B20" t="s">
        <v>437</v>
      </c>
      <c r="C20" s="1355">
        <v>59679904.146163166</v>
      </c>
      <c r="D20" s="1375">
        <f>MIN(D22,GapCalc!D24)</f>
        <v>59679904.146163166</v>
      </c>
    </row>
    <row r="21" spans="1:13" ht="16.5" thickBot="1">
      <c r="A21" s="1359"/>
      <c r="B21" t="s">
        <v>109</v>
      </c>
      <c r="C21" s="482">
        <v>0.01</v>
      </c>
      <c r="D21" s="1360"/>
    </row>
    <row r="22" spans="1:13" ht="16.5" thickBot="1">
      <c r="A22" s="1359"/>
      <c r="C22" s="516" t="s">
        <v>1038</v>
      </c>
      <c r="D22" s="1391">
        <f>C18*'Development Budget'!G250</f>
        <v>59679904.146163166</v>
      </c>
      <c r="G22" s="147"/>
    </row>
    <row r="23" spans="1:13">
      <c r="A23" s="1430" t="s">
        <v>438</v>
      </c>
      <c r="B23" s="1370"/>
      <c r="C23" s="1370" t="s">
        <v>67</v>
      </c>
      <c r="D23" s="1370"/>
      <c r="E23" s="1390" t="s">
        <v>964</v>
      </c>
      <c r="F23" s="1382" t="s">
        <v>432</v>
      </c>
      <c r="G23" s="1534">
        <v>0.09</v>
      </c>
      <c r="H23" s="1383"/>
    </row>
    <row r="24" spans="1:13">
      <c r="A24" s="1371"/>
      <c r="B24" t="s">
        <v>432</v>
      </c>
      <c r="C24" s="1361">
        <v>6.0499999999999998E-2</v>
      </c>
      <c r="D24" s="1425">
        <f>PMT(C24/12,C25*12,C30)*12</f>
        <v>0</v>
      </c>
      <c r="E24" s="1384"/>
      <c r="G24" s="1377"/>
      <c r="H24" s="1385"/>
      <c r="K24" s="1425"/>
    </row>
    <row r="25" spans="1:13">
      <c r="A25" s="1371"/>
      <c r="B25" t="s">
        <v>1101</v>
      </c>
      <c r="C25">
        <v>34</v>
      </c>
      <c r="E25" s="1384"/>
      <c r="G25" s="1377"/>
      <c r="H25" s="1385"/>
    </row>
    <row r="26" spans="1:13" ht="16.5" thickBot="1">
      <c r="A26" s="1371"/>
      <c r="B26" t="s">
        <v>439</v>
      </c>
      <c r="C26">
        <v>1.2</v>
      </c>
      <c r="E26" s="1384"/>
      <c r="G26" s="1378"/>
      <c r="H26" s="1385"/>
    </row>
    <row r="27" spans="1:13" ht="16.5" thickTop="1">
      <c r="A27" s="1371"/>
      <c r="B27" t="s">
        <v>440</v>
      </c>
      <c r="C27" s="51">
        <f>'Cash Flow'!E21/Data!C26</f>
        <v>3721216.0329985875</v>
      </c>
      <c r="D27" s="40" t="s">
        <v>443</v>
      </c>
      <c r="E27" s="1384"/>
      <c r="G27" s="1379"/>
      <c r="H27" s="1385"/>
    </row>
    <row r="28" spans="1:13">
      <c r="A28" s="1371"/>
      <c r="B28" t="s">
        <v>441</v>
      </c>
      <c r="C28" s="482">
        <v>0.6</v>
      </c>
      <c r="D28" s="1517">
        <f>'Cash Flow'!E15/0.05*C28</f>
        <v>71231760</v>
      </c>
      <c r="E28" s="1384"/>
      <c r="F28" t="s">
        <v>1046</v>
      </c>
      <c r="G28" s="1380"/>
      <c r="H28" s="55">
        <v>1</v>
      </c>
    </row>
    <row r="29" spans="1:13">
      <c r="A29" s="1371"/>
      <c r="B29" t="s">
        <v>442</v>
      </c>
      <c r="C29">
        <v>34</v>
      </c>
      <c r="E29" s="1384"/>
      <c r="F29" t="s">
        <v>436</v>
      </c>
      <c r="G29" s="1380">
        <v>15</v>
      </c>
      <c r="H29" s="1385"/>
    </row>
    <row r="30" spans="1:13">
      <c r="A30" s="1371"/>
      <c r="B30" t="s">
        <v>437</v>
      </c>
      <c r="C30" s="1432">
        <v>0</v>
      </c>
      <c r="D30" s="1376">
        <f>-PV($C$24/12,$C$29*12,C27/12)</f>
        <v>53604007.716429576</v>
      </c>
      <c r="E30" s="1384"/>
      <c r="F30" t="s">
        <v>437</v>
      </c>
      <c r="G30" s="1381"/>
      <c r="H30" s="1376">
        <f>PV(G23,G29,-'Cash Flow'!E41*H28,)</f>
        <v>5999112.6044359673</v>
      </c>
    </row>
    <row r="31" spans="1:13" ht="16.5" thickBot="1">
      <c r="A31" s="1372"/>
      <c r="B31" s="1373" t="s">
        <v>109</v>
      </c>
      <c r="C31" s="1374">
        <v>0.01</v>
      </c>
      <c r="D31" s="1373"/>
      <c r="E31" s="1386"/>
      <c r="F31" s="1387" t="s">
        <v>109</v>
      </c>
      <c r="G31" s="1388">
        <v>0.01</v>
      </c>
      <c r="H31" s="1389"/>
    </row>
    <row r="32" spans="1:13">
      <c r="A32" s="1369" t="s">
        <v>1035</v>
      </c>
      <c r="E32" s="1363"/>
      <c r="G32" s="53"/>
    </row>
    <row r="33" spans="1:10">
      <c r="A33" s="1362"/>
      <c r="B33" t="s">
        <v>432</v>
      </c>
      <c r="C33" s="1361">
        <v>4.4999999999999998E-2</v>
      </c>
      <c r="E33" s="1363"/>
      <c r="I33" s="54"/>
    </row>
    <row r="34" spans="1:10">
      <c r="A34" s="1362"/>
      <c r="B34" t="s">
        <v>1101</v>
      </c>
      <c r="C34">
        <v>30</v>
      </c>
      <c r="E34" s="1364">
        <f>Data!M19</f>
        <v>0</v>
      </c>
      <c r="I34" s="318"/>
    </row>
    <row r="35" spans="1:10">
      <c r="A35" s="1362"/>
      <c r="B35" t="s">
        <v>439</v>
      </c>
      <c r="C35">
        <v>1.2</v>
      </c>
      <c r="E35" s="1363"/>
      <c r="I35" s="54"/>
    </row>
    <row r="36" spans="1:10">
      <c r="A36" s="1362"/>
      <c r="B36" t="s">
        <v>440</v>
      </c>
      <c r="C36" s="51">
        <f>'Cash Flow'!E21/Data!C35</f>
        <v>3721216.0329985875</v>
      </c>
      <c r="E36" s="1365">
        <f>-PV($C$33,$C$34,E34)</f>
        <v>0</v>
      </c>
      <c r="I36" s="1354"/>
    </row>
    <row r="37" spans="1:10" ht="16.5" thickBot="1">
      <c r="A37" s="1362"/>
      <c r="B37" t="s">
        <v>441</v>
      </c>
      <c r="C37" s="482">
        <v>0.8</v>
      </c>
      <c r="E37" s="1363"/>
    </row>
    <row r="38" spans="1:10" ht="16.5" thickBot="1">
      <c r="A38" s="1362"/>
      <c r="B38" t="s">
        <v>437</v>
      </c>
      <c r="C38" s="1432">
        <v>61201959.099579386</v>
      </c>
      <c r="D38" s="516" t="s">
        <v>1038</v>
      </c>
      <c r="E38" s="1391">
        <f>C37*GapCalc!D24</f>
        <v>73452189.718354672</v>
      </c>
    </row>
    <row r="39" spans="1:10">
      <c r="A39" s="1362"/>
      <c r="B39" t="s">
        <v>109</v>
      </c>
      <c r="C39" s="54">
        <f>C21</f>
        <v>0.01</v>
      </c>
      <c r="D39" t="s">
        <v>1052</v>
      </c>
      <c r="E39" s="1376">
        <f>PV($C$33/12,$C$34*12,-C36/12)</f>
        <v>61201959.099579386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444</v>
      </c>
      <c r="B42" s="507"/>
      <c r="C42" s="507"/>
      <c r="D42" s="507"/>
      <c r="E42" s="507"/>
      <c r="F42" s="508"/>
    </row>
    <row r="43" spans="1:10">
      <c r="A43" s="509"/>
      <c r="C43" t="s">
        <v>51</v>
      </c>
      <c r="D43" t="s">
        <v>77</v>
      </c>
      <c r="E43" t="s">
        <v>78</v>
      </c>
      <c r="F43" s="510" t="s">
        <v>445</v>
      </c>
    </row>
    <row r="44" spans="1:10">
      <c r="A44" s="509"/>
      <c r="B44" t="s">
        <v>446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447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448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449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450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451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452</v>
      </c>
      <c r="F50" s="510"/>
    </row>
    <row r="51" spans="1:7 16384:16384">
      <c r="A51" s="509"/>
      <c r="B51" t="s">
        <v>453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274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275</v>
      </c>
      <c r="C10" s="80" t="s">
        <v>276</v>
      </c>
      <c r="D10" s="80" t="s">
        <v>277</v>
      </c>
      <c r="E10" s="81" t="s">
        <v>278</v>
      </c>
      <c r="F10" s="81" t="s">
        <v>279</v>
      </c>
      <c r="G10" s="81" t="s">
        <v>280</v>
      </c>
      <c r="H10" s="81" t="s">
        <v>281</v>
      </c>
      <c r="I10" s="81" t="s">
        <v>282</v>
      </c>
      <c r="J10" s="81" t="s">
        <v>283</v>
      </c>
      <c r="K10" s="81" t="s">
        <v>284</v>
      </c>
      <c r="L10" s="81" t="s">
        <v>285</v>
      </c>
      <c r="M10" s="81" t="s">
        <v>286</v>
      </c>
      <c r="N10" s="81" t="s">
        <v>287</v>
      </c>
      <c r="O10" s="81" t="s">
        <v>288</v>
      </c>
      <c r="P10" s="81" t="s">
        <v>289</v>
      </c>
      <c r="Q10" s="81" t="s">
        <v>290</v>
      </c>
      <c r="R10" s="81" t="s">
        <v>291</v>
      </c>
      <c r="S10" s="82" t="s">
        <v>292</v>
      </c>
      <c r="T10" s="81" t="s">
        <v>293</v>
      </c>
      <c r="U10" s="81" t="s">
        <v>294</v>
      </c>
      <c r="V10" s="81" t="s">
        <v>295</v>
      </c>
      <c r="W10" s="81" t="s">
        <v>296</v>
      </c>
      <c r="X10" s="81" t="s">
        <v>297</v>
      </c>
      <c r="Y10" s="81" t="s">
        <v>298</v>
      </c>
      <c r="Z10" s="81" t="s">
        <v>299</v>
      </c>
      <c r="AA10" s="81" t="s">
        <v>300</v>
      </c>
      <c r="AB10" s="81" t="s">
        <v>301</v>
      </c>
      <c r="AC10" s="81" t="s">
        <v>302</v>
      </c>
      <c r="AD10" s="81" t="s">
        <v>303</v>
      </c>
      <c r="AE10" s="81" t="s">
        <v>304</v>
      </c>
      <c r="AF10" s="81" t="s">
        <v>305</v>
      </c>
      <c r="AG10" s="81" t="s">
        <v>306</v>
      </c>
      <c r="AH10" s="81" t="s">
        <v>307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308</v>
      </c>
      <c r="C12" s="76"/>
      <c r="D12" s="88">
        <v>2.5000000000000001E-2</v>
      </c>
      <c r="E12" s="89">
        <f>'Rental Income'!E18*12</f>
        <v>6242820</v>
      </c>
      <c r="F12" s="89">
        <f>E12*(1+$D$12)</f>
        <v>6398890.4999999991</v>
      </c>
      <c r="G12" s="89">
        <f t="shared" ref="G12:AH12" si="0">F12*(1+$D$12)</f>
        <v>6558862.7624999983</v>
      </c>
      <c r="H12" s="89">
        <f t="shared" si="0"/>
        <v>6722834.3315624977</v>
      </c>
      <c r="I12" s="89">
        <f t="shared" si="0"/>
        <v>6890905.1898515597</v>
      </c>
      <c r="J12" s="89">
        <f t="shared" si="0"/>
        <v>7063177.8195978478</v>
      </c>
      <c r="K12" s="89">
        <f t="shared" si="0"/>
        <v>7239757.2650877936</v>
      </c>
      <c r="L12" s="89">
        <f t="shared" si="0"/>
        <v>7420751.196714988</v>
      </c>
      <c r="M12" s="89">
        <f t="shared" si="0"/>
        <v>7606269.9766328624</v>
      </c>
      <c r="N12" s="89">
        <f t="shared" si="0"/>
        <v>7796426.7260486828</v>
      </c>
      <c r="O12" s="89">
        <f t="shared" si="0"/>
        <v>7991337.3941998994</v>
      </c>
      <c r="P12" s="89">
        <f t="shared" si="0"/>
        <v>8191120.8290548958</v>
      </c>
      <c r="Q12" s="89">
        <f t="shared" si="0"/>
        <v>8395898.8497812673</v>
      </c>
      <c r="R12" s="89">
        <f t="shared" si="0"/>
        <v>8605796.3210257981</v>
      </c>
      <c r="S12" s="90">
        <f t="shared" si="0"/>
        <v>8820941.2290514428</v>
      </c>
      <c r="T12" s="89">
        <f t="shared" si="0"/>
        <v>9041464.7597777285</v>
      </c>
      <c r="U12" s="89">
        <f t="shared" si="0"/>
        <v>9267501.3787721712</v>
      </c>
      <c r="V12" s="89">
        <f t="shared" si="0"/>
        <v>9499188.913241474</v>
      </c>
      <c r="W12" s="89">
        <f t="shared" si="0"/>
        <v>9736668.6360725109</v>
      </c>
      <c r="X12" s="89">
        <f t="shared" si="0"/>
        <v>9980085.3519743234</v>
      </c>
      <c r="Y12" s="89">
        <f t="shared" si="0"/>
        <v>10229587.485773681</v>
      </c>
      <c r="Z12" s="89">
        <f t="shared" si="0"/>
        <v>10485327.172918022</v>
      </c>
      <c r="AA12" s="89">
        <f t="shared" si="0"/>
        <v>10747460.352240972</v>
      </c>
      <c r="AB12" s="89">
        <f t="shared" si="0"/>
        <v>11016146.861046996</v>
      </c>
      <c r="AC12" s="89">
        <f t="shared" si="0"/>
        <v>11291550.532573169</v>
      </c>
      <c r="AD12" s="89">
        <f t="shared" si="0"/>
        <v>11573839.295887498</v>
      </c>
      <c r="AE12" s="89">
        <f t="shared" si="0"/>
        <v>11863185.278284684</v>
      </c>
      <c r="AF12" s="89">
        <f t="shared" si="0"/>
        <v>12159764.910241799</v>
      </c>
      <c r="AG12" s="89">
        <f t="shared" si="0"/>
        <v>12463759.032997843</v>
      </c>
      <c r="AH12" s="89">
        <f t="shared" si="0"/>
        <v>12775353.008822788</v>
      </c>
    </row>
    <row r="13" spans="1:34">
      <c r="A13" s="76"/>
      <c r="B13" s="91" t="s">
        <v>309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310</v>
      </c>
      <c r="C14" s="98">
        <v>0.05</v>
      </c>
      <c r="D14" s="99">
        <v>0</v>
      </c>
      <c r="E14" s="100">
        <f>-((E12+E13)*$C$14)</f>
        <v>-312420</v>
      </c>
      <c r="F14" s="100">
        <f t="shared" ref="F14:AH14" si="2">-((F12+F13)*$C$14)</f>
        <v>-320230.5</v>
      </c>
      <c r="G14" s="100">
        <f t="shared" si="2"/>
        <v>-328236.26249999995</v>
      </c>
      <c r="H14" s="100">
        <f t="shared" si="2"/>
        <v>-336442.16906249989</v>
      </c>
      <c r="I14" s="100">
        <f t="shared" si="2"/>
        <v>-344853.22328906239</v>
      </c>
      <c r="J14" s="100">
        <f t="shared" si="2"/>
        <v>-353474.5538712889</v>
      </c>
      <c r="K14" s="100">
        <f t="shared" si="2"/>
        <v>-362311.41771807108</v>
      </c>
      <c r="L14" s="100">
        <f t="shared" si="2"/>
        <v>-371369.20316102286</v>
      </c>
      <c r="M14" s="100">
        <f t="shared" si="2"/>
        <v>-380653.43324004841</v>
      </c>
      <c r="N14" s="100">
        <f t="shared" si="2"/>
        <v>-390169.76907104952</v>
      </c>
      <c r="O14" s="100">
        <f t="shared" si="2"/>
        <v>-399924.01329782582</v>
      </c>
      <c r="P14" s="100">
        <f t="shared" si="2"/>
        <v>-409922.11363027134</v>
      </c>
      <c r="Q14" s="100">
        <f t="shared" si="2"/>
        <v>-420170.16647102806</v>
      </c>
      <c r="R14" s="100">
        <f t="shared" si="2"/>
        <v>-430674.42063280375</v>
      </c>
      <c r="S14" s="101">
        <f t="shared" si="2"/>
        <v>-441441.28114862391</v>
      </c>
      <c r="T14" s="100">
        <f t="shared" si="2"/>
        <v>-452477.31317733938</v>
      </c>
      <c r="U14" s="100">
        <f t="shared" si="2"/>
        <v>-463789.24600677285</v>
      </c>
      <c r="V14" s="100">
        <f t="shared" si="2"/>
        <v>-475383.97715694207</v>
      </c>
      <c r="W14" s="100">
        <f t="shared" si="2"/>
        <v>-487268.5765858657</v>
      </c>
      <c r="X14" s="100">
        <f t="shared" si="2"/>
        <v>-499450.29100051225</v>
      </c>
      <c r="Y14" s="100">
        <f t="shared" si="2"/>
        <v>-511936.54827552504</v>
      </c>
      <c r="Z14" s="100">
        <f t="shared" si="2"/>
        <v>-524734.96198241308</v>
      </c>
      <c r="AA14" s="100">
        <f t="shared" si="2"/>
        <v>-537853.33603197348</v>
      </c>
      <c r="AB14" s="100">
        <f t="shared" si="2"/>
        <v>-551299.66943277279</v>
      </c>
      <c r="AC14" s="100">
        <f t="shared" si="2"/>
        <v>-565082.16116859193</v>
      </c>
      <c r="AD14" s="100">
        <f t="shared" si="2"/>
        <v>-579209.21519780683</v>
      </c>
      <c r="AE14" s="100">
        <f t="shared" si="2"/>
        <v>-593689.44557775185</v>
      </c>
      <c r="AF14" s="100">
        <f t="shared" si="2"/>
        <v>-608531.68171719555</v>
      </c>
      <c r="AG14" s="100">
        <f t="shared" si="2"/>
        <v>-623744.97376012546</v>
      </c>
      <c r="AH14" s="100">
        <f t="shared" si="2"/>
        <v>-639338.5981041285</v>
      </c>
    </row>
    <row r="15" spans="1:34">
      <c r="A15" s="76"/>
      <c r="B15" s="102" t="s">
        <v>311</v>
      </c>
      <c r="C15" s="76"/>
      <c r="D15" s="76"/>
      <c r="E15" s="95">
        <f>SUM(E12:E14)</f>
        <v>5935980</v>
      </c>
      <c r="F15" s="95">
        <f t="shared" ref="F15:AH15" si="3">SUM(F12:F14)</f>
        <v>6084379.4999999991</v>
      </c>
      <c r="G15" s="103">
        <f t="shared" si="3"/>
        <v>6236488.987499998</v>
      </c>
      <c r="H15" s="104">
        <f t="shared" si="3"/>
        <v>6392401.2121874979</v>
      </c>
      <c r="I15" s="104">
        <f t="shared" si="3"/>
        <v>6552211.242492185</v>
      </c>
      <c r="J15" s="95">
        <f t="shared" si="3"/>
        <v>6716016.5235544881</v>
      </c>
      <c r="K15" s="103">
        <f t="shared" si="3"/>
        <v>6883916.9366433499</v>
      </c>
      <c r="L15" s="95">
        <f t="shared" si="3"/>
        <v>7056014.8600594336</v>
      </c>
      <c r="M15" s="95">
        <f t="shared" si="3"/>
        <v>7232415.2315609194</v>
      </c>
      <c r="N15" s="95">
        <f t="shared" si="3"/>
        <v>7413225.6123499405</v>
      </c>
      <c r="O15" s="95">
        <f t="shared" si="3"/>
        <v>7598556.2526586894</v>
      </c>
      <c r="P15" s="95">
        <f t="shared" si="3"/>
        <v>7788520.1589751551</v>
      </c>
      <c r="Q15" s="95">
        <f t="shared" si="3"/>
        <v>7983233.1629495332</v>
      </c>
      <c r="R15" s="95">
        <f t="shared" si="3"/>
        <v>8182813.9920232706</v>
      </c>
      <c r="S15" s="96">
        <f t="shared" si="3"/>
        <v>8387384.3418238536</v>
      </c>
      <c r="T15" s="95">
        <f t="shared" si="3"/>
        <v>8597068.9503694475</v>
      </c>
      <c r="U15" s="95">
        <f t="shared" si="3"/>
        <v>8811995.6741286851</v>
      </c>
      <c r="V15" s="95">
        <f t="shared" si="3"/>
        <v>9032295.5659818985</v>
      </c>
      <c r="W15" s="95">
        <f t="shared" si="3"/>
        <v>9258102.9551314469</v>
      </c>
      <c r="X15" s="95">
        <f t="shared" si="3"/>
        <v>9489555.5290097333</v>
      </c>
      <c r="Y15" s="95">
        <f t="shared" si="3"/>
        <v>9726794.4172349758</v>
      </c>
      <c r="Z15" s="95">
        <f t="shared" si="3"/>
        <v>9969964.2776658498</v>
      </c>
      <c r="AA15" s="95">
        <f t="shared" si="3"/>
        <v>10219213.384607496</v>
      </c>
      <c r="AB15" s="95">
        <f t="shared" si="3"/>
        <v>10474693.719222683</v>
      </c>
      <c r="AC15" s="95">
        <f t="shared" si="3"/>
        <v>10736561.062203247</v>
      </c>
      <c r="AD15" s="95">
        <f t="shared" si="3"/>
        <v>11004975.088758329</v>
      </c>
      <c r="AE15" s="95">
        <f t="shared" si="3"/>
        <v>11280099.465977285</v>
      </c>
      <c r="AF15" s="95">
        <f t="shared" si="3"/>
        <v>11562101.952626716</v>
      </c>
      <c r="AG15" s="95">
        <f t="shared" si="3"/>
        <v>11851154.501442382</v>
      </c>
      <c r="AH15" s="95">
        <f t="shared" si="3"/>
        <v>12147433.36397844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312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313</v>
      </c>
      <c r="C18" s="1338">
        <v>6000</v>
      </c>
      <c r="D18" s="88">
        <v>3.5000000000000003E-2</v>
      </c>
      <c r="E18" s="95">
        <f>-C18*'Rental Income'!D15</f>
        <v>-906000</v>
      </c>
      <c r="F18" s="89">
        <f>E18*(1+$D$18)</f>
        <v>-937709.99999999988</v>
      </c>
      <c r="G18" s="94">
        <f t="shared" ref="G18:AH18" si="5">F18*(1+$D$18)</f>
        <v>-970529.84999999986</v>
      </c>
      <c r="H18" s="106">
        <f t="shared" si="5"/>
        <v>-1004498.3947499997</v>
      </c>
      <c r="I18" s="106">
        <f t="shared" si="5"/>
        <v>-1039655.8385662497</v>
      </c>
      <c r="J18" s="89">
        <f t="shared" si="5"/>
        <v>-1076043.7929160683</v>
      </c>
      <c r="K18" s="94">
        <f t="shared" si="5"/>
        <v>-1113705.3256681305</v>
      </c>
      <c r="L18" s="89">
        <f t="shared" si="5"/>
        <v>-1152685.0120665149</v>
      </c>
      <c r="M18" s="89">
        <f t="shared" si="5"/>
        <v>-1193028.9874888428</v>
      </c>
      <c r="N18" s="89">
        <f t="shared" si="5"/>
        <v>-1234785.0020509523</v>
      </c>
      <c r="O18" s="89">
        <f t="shared" si="5"/>
        <v>-1278002.4771227355</v>
      </c>
      <c r="P18" s="89">
        <f t="shared" si="5"/>
        <v>-1322732.563822031</v>
      </c>
      <c r="Q18" s="89">
        <f t="shared" si="5"/>
        <v>-1369028.2035558021</v>
      </c>
      <c r="R18" s="89">
        <f t="shared" si="5"/>
        <v>-1416944.1906802552</v>
      </c>
      <c r="S18" s="90">
        <f t="shared" si="5"/>
        <v>-1466537.2373540639</v>
      </c>
      <c r="T18" s="89">
        <f t="shared" si="5"/>
        <v>-1517866.0406614561</v>
      </c>
      <c r="U18" s="89">
        <f t="shared" si="5"/>
        <v>-1570991.3520846069</v>
      </c>
      <c r="V18" s="89">
        <f t="shared" si="5"/>
        <v>-1625976.0494075681</v>
      </c>
      <c r="W18" s="89">
        <f t="shared" si="5"/>
        <v>-1682885.2111368328</v>
      </c>
      <c r="X18" s="89">
        <f t="shared" si="5"/>
        <v>-1741786.1935266219</v>
      </c>
      <c r="Y18" s="89">
        <f t="shared" si="5"/>
        <v>-1802748.7103000535</v>
      </c>
      <c r="Z18" s="89">
        <f t="shared" si="5"/>
        <v>-1865844.9151605552</v>
      </c>
      <c r="AA18" s="89">
        <f t="shared" si="5"/>
        <v>-1931149.4871911744</v>
      </c>
      <c r="AB18" s="89">
        <f t="shared" si="5"/>
        <v>-1998739.7192428655</v>
      </c>
      <c r="AC18" s="89">
        <f t="shared" si="5"/>
        <v>-2068695.6094163656</v>
      </c>
      <c r="AD18" s="89">
        <f t="shared" si="5"/>
        <v>-2141099.9557459382</v>
      </c>
      <c r="AE18" s="89">
        <f t="shared" si="5"/>
        <v>-2216038.4541970459</v>
      </c>
      <c r="AF18" s="89">
        <f t="shared" si="5"/>
        <v>-2293599.8000939423</v>
      </c>
      <c r="AG18" s="89">
        <f t="shared" si="5"/>
        <v>-2373875.7930972301</v>
      </c>
      <c r="AH18" s="89">
        <f t="shared" si="5"/>
        <v>-2456961.4458556329</v>
      </c>
    </row>
    <row r="19" spans="1:34">
      <c r="A19" s="86"/>
      <c r="B19" s="87" t="s">
        <v>314</v>
      </c>
      <c r="C19" s="1711" t="s">
        <v>1099</v>
      </c>
      <c r="D19" s="88">
        <v>1.2500000000000001E-2</v>
      </c>
      <c r="E19" s="95">
        <f>IF(C19="Abatement", 0, -'Tax Calc'!B10)</f>
        <v>-519220.76040169538</v>
      </c>
      <c r="F19" s="89">
        <f>E19*(1+$D$19)</f>
        <v>-525711.01990671654</v>
      </c>
      <c r="G19" s="89">
        <f t="shared" ref="G19:AH19" si="6">F19*(1+$D$19)</f>
        <v>-532282.40765555052</v>
      </c>
      <c r="H19" s="89">
        <f t="shared" si="6"/>
        <v>-538935.93775124487</v>
      </c>
      <c r="I19" s="89">
        <f t="shared" si="6"/>
        <v>-545672.63697313541</v>
      </c>
      <c r="J19" s="89">
        <f t="shared" si="6"/>
        <v>-552493.54493529955</v>
      </c>
      <c r="K19" s="89">
        <f t="shared" si="6"/>
        <v>-559399.71424699074</v>
      </c>
      <c r="L19" s="89">
        <f t="shared" si="6"/>
        <v>-566392.21067507809</v>
      </c>
      <c r="M19" s="89">
        <f t="shared" si="6"/>
        <v>-573472.11330851656</v>
      </c>
      <c r="N19" s="89">
        <f t="shared" si="6"/>
        <v>-580640.51472487301</v>
      </c>
      <c r="O19" s="89">
        <f t="shared" si="6"/>
        <v>-587898.52115893387</v>
      </c>
      <c r="P19" s="89">
        <f t="shared" si="6"/>
        <v>-595247.25267342047</v>
      </c>
      <c r="Q19" s="89">
        <f t="shared" si="6"/>
        <v>-602687.84333183826</v>
      </c>
      <c r="R19" s="89">
        <f t="shared" si="6"/>
        <v>-610221.44137348619</v>
      </c>
      <c r="S19" s="90">
        <f t="shared" si="6"/>
        <v>-617849.20939065469</v>
      </c>
      <c r="T19" s="89">
        <f t="shared" si="6"/>
        <v>-625572.32450803788</v>
      </c>
      <c r="U19" s="89">
        <f t="shared" si="6"/>
        <v>-633391.97856438835</v>
      </c>
      <c r="V19" s="89">
        <f t="shared" si="6"/>
        <v>-641309.37829644314</v>
      </c>
      <c r="W19" s="89">
        <f t="shared" si="6"/>
        <v>-649325.7455251487</v>
      </c>
      <c r="X19" s="89">
        <f t="shared" si="6"/>
        <v>-657442.31734421302</v>
      </c>
      <c r="Y19" s="89">
        <f t="shared" si="6"/>
        <v>-665660.34631101566</v>
      </c>
      <c r="Z19" s="89">
        <f t="shared" si="6"/>
        <v>-673981.10063990334</v>
      </c>
      <c r="AA19" s="89">
        <f t="shared" si="6"/>
        <v>-682405.86439790204</v>
      </c>
      <c r="AB19" s="89">
        <f t="shared" si="6"/>
        <v>-690935.93770287582</v>
      </c>
      <c r="AC19" s="89">
        <f t="shared" si="6"/>
        <v>-699572.63692416169</v>
      </c>
      <c r="AD19" s="89">
        <f t="shared" si="6"/>
        <v>-708317.29488571372</v>
      </c>
      <c r="AE19" s="89">
        <f t="shared" si="6"/>
        <v>-717171.26107178512</v>
      </c>
      <c r="AF19" s="89">
        <f t="shared" si="6"/>
        <v>-726135.90183518245</v>
      </c>
      <c r="AG19" s="89">
        <f t="shared" si="6"/>
        <v>-735212.60060812219</v>
      </c>
      <c r="AH19" s="89">
        <f t="shared" si="6"/>
        <v>-744402.75811572373</v>
      </c>
    </row>
    <row r="20" spans="1:34">
      <c r="A20" s="86"/>
      <c r="B20" s="97" t="s">
        <v>253</v>
      </c>
      <c r="C20" s="107">
        <v>1</v>
      </c>
      <c r="D20" s="107">
        <f>'Operating Budget'!E69</f>
        <v>300</v>
      </c>
      <c r="E20" s="108">
        <f>-'Operating Budget'!D69</f>
        <v>-45300</v>
      </c>
      <c r="F20" s="108">
        <f>+E20</f>
        <v>-45300</v>
      </c>
      <c r="G20" s="108">
        <f>F20</f>
        <v>-45300</v>
      </c>
      <c r="H20" s="108">
        <f>G20</f>
        <v>-45300</v>
      </c>
      <c r="I20" s="108">
        <f>H20</f>
        <v>-45300</v>
      </c>
      <c r="J20" s="108">
        <f t="shared" ref="J20:AH20" si="7">I20</f>
        <v>-45300</v>
      </c>
      <c r="K20" s="108">
        <f t="shared" si="7"/>
        <v>-45300</v>
      </c>
      <c r="L20" s="108">
        <f t="shared" si="7"/>
        <v>-45300</v>
      </c>
      <c r="M20" s="108">
        <f t="shared" si="7"/>
        <v>-45300</v>
      </c>
      <c r="N20" s="108">
        <f t="shared" si="7"/>
        <v>-45300</v>
      </c>
      <c r="O20" s="108">
        <f>N20</f>
        <v>-45300</v>
      </c>
      <c r="P20" s="108">
        <f t="shared" si="7"/>
        <v>-45300</v>
      </c>
      <c r="Q20" s="108">
        <f t="shared" si="7"/>
        <v>-45300</v>
      </c>
      <c r="R20" s="108">
        <f t="shared" si="7"/>
        <v>-45300</v>
      </c>
      <c r="S20" s="109">
        <f t="shared" si="7"/>
        <v>-45300</v>
      </c>
      <c r="T20" s="108">
        <f t="shared" si="7"/>
        <v>-45300</v>
      </c>
      <c r="U20" s="108">
        <f t="shared" si="7"/>
        <v>-45300</v>
      </c>
      <c r="V20" s="108">
        <f t="shared" si="7"/>
        <v>-45300</v>
      </c>
      <c r="W20" s="108">
        <f t="shared" si="7"/>
        <v>-45300</v>
      </c>
      <c r="X20" s="108">
        <f t="shared" si="7"/>
        <v>-45300</v>
      </c>
      <c r="Y20" s="108">
        <f t="shared" si="7"/>
        <v>-45300</v>
      </c>
      <c r="Z20" s="108">
        <f t="shared" si="7"/>
        <v>-45300</v>
      </c>
      <c r="AA20" s="108">
        <f t="shared" si="7"/>
        <v>-45300</v>
      </c>
      <c r="AB20" s="108">
        <f t="shared" si="7"/>
        <v>-45300</v>
      </c>
      <c r="AC20" s="108">
        <f t="shared" si="7"/>
        <v>-45300</v>
      </c>
      <c r="AD20" s="108">
        <f t="shared" si="7"/>
        <v>-45300</v>
      </c>
      <c r="AE20" s="108">
        <f t="shared" si="7"/>
        <v>-45300</v>
      </c>
      <c r="AF20" s="108">
        <f t="shared" si="7"/>
        <v>-45300</v>
      </c>
      <c r="AG20" s="108">
        <f t="shared" si="7"/>
        <v>-45300</v>
      </c>
      <c r="AH20" s="108">
        <f t="shared" si="7"/>
        <v>-45300</v>
      </c>
    </row>
    <row r="21" spans="1:34">
      <c r="A21" s="86"/>
      <c r="B21" s="110" t="s">
        <v>315</v>
      </c>
      <c r="C21" s="76"/>
      <c r="D21" s="111"/>
      <c r="E21" s="95">
        <f t="shared" ref="E21:AH21" si="8">SUM(E15:E20)</f>
        <v>4465459.239598305</v>
      </c>
      <c r="F21" s="95">
        <f t="shared" si="8"/>
        <v>4575658.4800932826</v>
      </c>
      <c r="G21" s="95">
        <f t="shared" si="8"/>
        <v>4688376.7298444482</v>
      </c>
      <c r="H21" s="95">
        <f t="shared" si="8"/>
        <v>4803666.8796862531</v>
      </c>
      <c r="I21" s="95">
        <f t="shared" si="8"/>
        <v>4921582.7669527996</v>
      </c>
      <c r="J21" s="95">
        <f t="shared" si="8"/>
        <v>5042179.1857031211</v>
      </c>
      <c r="K21" s="95">
        <f t="shared" si="8"/>
        <v>5165511.8967282278</v>
      </c>
      <c r="L21" s="95">
        <f t="shared" si="8"/>
        <v>5291637.63731784</v>
      </c>
      <c r="M21" s="95">
        <f t="shared" si="8"/>
        <v>5420614.1307635605</v>
      </c>
      <c r="N21" s="95">
        <f t="shared" si="8"/>
        <v>5552500.0955741154</v>
      </c>
      <c r="O21" s="95">
        <f t="shared" si="8"/>
        <v>5687355.2543770205</v>
      </c>
      <c r="P21" s="95">
        <f t="shared" si="8"/>
        <v>5825240.3424797039</v>
      </c>
      <c r="Q21" s="95">
        <f t="shared" si="8"/>
        <v>5966217.1160618933</v>
      </c>
      <c r="R21" s="95">
        <f t="shared" si="8"/>
        <v>6110348.3599695293</v>
      </c>
      <c r="S21" s="96">
        <f t="shared" si="8"/>
        <v>6257697.895079134</v>
      </c>
      <c r="T21" s="95">
        <f t="shared" si="8"/>
        <v>6408330.585199954</v>
      </c>
      <c r="U21" s="95">
        <f t="shared" si="8"/>
        <v>6562312.3434796901</v>
      </c>
      <c r="V21" s="95">
        <f t="shared" si="8"/>
        <v>6719710.1382778874</v>
      </c>
      <c r="W21" s="95">
        <f t="shared" si="8"/>
        <v>6880591.9984694654</v>
      </c>
      <c r="X21" s="95">
        <f t="shared" si="8"/>
        <v>7045027.0181388985</v>
      </c>
      <c r="Y21" s="95">
        <f t="shared" si="8"/>
        <v>7213085.3606239064</v>
      </c>
      <c r="Z21" s="95">
        <f t="shared" si="8"/>
        <v>7384838.2618653914</v>
      </c>
      <c r="AA21" s="95">
        <f t="shared" si="8"/>
        <v>7560358.0330184195</v>
      </c>
      <c r="AB21" s="95">
        <f t="shared" si="8"/>
        <v>7739718.0622769427</v>
      </c>
      <c r="AC21" s="95">
        <f t="shared" si="8"/>
        <v>7922992.8158627199</v>
      </c>
      <c r="AD21" s="95">
        <f t="shared" si="8"/>
        <v>8110257.838126678</v>
      </c>
      <c r="AE21" s="95">
        <f t="shared" si="8"/>
        <v>8301589.7507084543</v>
      </c>
      <c r="AF21" s="95">
        <f t="shared" si="8"/>
        <v>8497066.2506975923</v>
      </c>
      <c r="AG21" s="95">
        <f t="shared" si="8"/>
        <v>8696766.1077370308</v>
      </c>
      <c r="AH21" s="95">
        <f t="shared" si="8"/>
        <v>8900769.1600070838</v>
      </c>
    </row>
    <row r="22" spans="1:34" ht="12.75" customHeight="1">
      <c r="A22" s="86"/>
      <c r="B22" s="87" t="s">
        <v>316</v>
      </c>
      <c r="C22" s="76"/>
      <c r="D22" s="95"/>
      <c r="E22" s="95">
        <f>-Data!C36</f>
        <v>-3721216.0329985875</v>
      </c>
      <c r="F22" s="95">
        <f t="shared" ref="F22:AH22" si="9">$E$22</f>
        <v>-3721216.0329985875</v>
      </c>
      <c r="G22" s="95">
        <f t="shared" si="9"/>
        <v>-3721216.0329985875</v>
      </c>
      <c r="H22" s="95">
        <f t="shared" si="9"/>
        <v>-3721216.0329985875</v>
      </c>
      <c r="I22" s="95">
        <f t="shared" si="9"/>
        <v>-3721216.0329985875</v>
      </c>
      <c r="J22" s="95">
        <f t="shared" si="9"/>
        <v>-3721216.0329985875</v>
      </c>
      <c r="K22" s="95">
        <f t="shared" si="9"/>
        <v>-3721216.0329985875</v>
      </c>
      <c r="L22" s="95">
        <f t="shared" si="9"/>
        <v>-3721216.0329985875</v>
      </c>
      <c r="M22" s="95">
        <f t="shared" si="9"/>
        <v>-3721216.0329985875</v>
      </c>
      <c r="N22" s="95">
        <f t="shared" si="9"/>
        <v>-3721216.0329985875</v>
      </c>
      <c r="O22" s="95">
        <f t="shared" si="9"/>
        <v>-3721216.0329985875</v>
      </c>
      <c r="P22" s="95">
        <f t="shared" si="9"/>
        <v>-3721216.0329985875</v>
      </c>
      <c r="Q22" s="95">
        <f t="shared" si="9"/>
        <v>-3721216.0329985875</v>
      </c>
      <c r="R22" s="95">
        <f t="shared" si="9"/>
        <v>-3721216.0329985875</v>
      </c>
      <c r="S22" s="96">
        <f t="shared" si="9"/>
        <v>-3721216.0329985875</v>
      </c>
      <c r="T22" s="95">
        <f t="shared" si="9"/>
        <v>-3721216.0329985875</v>
      </c>
      <c r="U22" s="95">
        <f t="shared" si="9"/>
        <v>-3721216.0329985875</v>
      </c>
      <c r="V22" s="95">
        <f t="shared" si="9"/>
        <v>-3721216.0329985875</v>
      </c>
      <c r="W22" s="95">
        <f t="shared" si="9"/>
        <v>-3721216.0329985875</v>
      </c>
      <c r="X22" s="95">
        <f t="shared" si="9"/>
        <v>-3721216.0329985875</v>
      </c>
      <c r="Y22" s="95">
        <f t="shared" si="9"/>
        <v>-3721216.0329985875</v>
      </c>
      <c r="Z22" s="95">
        <f t="shared" si="9"/>
        <v>-3721216.0329985875</v>
      </c>
      <c r="AA22" s="95">
        <f t="shared" si="9"/>
        <v>-3721216.0329985875</v>
      </c>
      <c r="AB22" s="95">
        <f t="shared" si="9"/>
        <v>-3721216.0329985875</v>
      </c>
      <c r="AC22" s="95">
        <f t="shared" si="9"/>
        <v>-3721216.0329985875</v>
      </c>
      <c r="AD22" s="95">
        <f t="shared" si="9"/>
        <v>-3721216.0329985875</v>
      </c>
      <c r="AE22" s="95">
        <f t="shared" si="9"/>
        <v>-3721216.0329985875</v>
      </c>
      <c r="AF22" s="95">
        <f t="shared" si="9"/>
        <v>-3721216.0329985875</v>
      </c>
      <c r="AG22" s="95">
        <f t="shared" si="9"/>
        <v>-3721216.0329985875</v>
      </c>
      <c r="AH22" s="95">
        <f t="shared" si="9"/>
        <v>-3721216.0329985875</v>
      </c>
    </row>
    <row r="23" spans="1:34" ht="12.75" customHeight="1">
      <c r="A23" s="86"/>
      <c r="B23" s="97" t="s">
        <v>317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318</v>
      </c>
      <c r="C25" s="118"/>
      <c r="D25" s="118"/>
      <c r="E25" s="119">
        <f>+E21+E22+E23</f>
        <v>744243.20659971749</v>
      </c>
      <c r="F25" s="119">
        <f t="shared" ref="F25:AH25" si="11">+F21+F22+F23</f>
        <v>854442.44709469518</v>
      </c>
      <c r="G25" s="119">
        <f t="shared" si="11"/>
        <v>967160.69684586069</v>
      </c>
      <c r="H25" s="119">
        <f t="shared" si="11"/>
        <v>1082450.8466876657</v>
      </c>
      <c r="I25" s="119">
        <f t="shared" si="11"/>
        <v>1200366.7339542122</v>
      </c>
      <c r="J25" s="119">
        <f t="shared" si="11"/>
        <v>1320963.1527045337</v>
      </c>
      <c r="K25" s="119">
        <f t="shared" si="11"/>
        <v>1444295.8637296404</v>
      </c>
      <c r="L25" s="119">
        <f t="shared" si="11"/>
        <v>1570421.6043192525</v>
      </c>
      <c r="M25" s="119">
        <f t="shared" si="11"/>
        <v>1699398.0977649731</v>
      </c>
      <c r="N25" s="119">
        <f t="shared" si="11"/>
        <v>1831284.0625755279</v>
      </c>
      <c r="O25" s="119">
        <f t="shared" si="11"/>
        <v>1966139.2213784331</v>
      </c>
      <c r="P25" s="119">
        <f t="shared" si="11"/>
        <v>2104024.3094811165</v>
      </c>
      <c r="Q25" s="119">
        <f t="shared" si="11"/>
        <v>2245001.0830633058</v>
      </c>
      <c r="R25" s="119">
        <f t="shared" si="11"/>
        <v>2389132.3269709419</v>
      </c>
      <c r="S25" s="160">
        <f t="shared" si="11"/>
        <v>2536481.8620805466</v>
      </c>
      <c r="T25" s="119">
        <f t="shared" si="11"/>
        <v>2687114.5522013665</v>
      </c>
      <c r="U25" s="119">
        <f t="shared" si="11"/>
        <v>2841096.3104811027</v>
      </c>
      <c r="V25" s="119">
        <f t="shared" si="11"/>
        <v>2998494.1052792999</v>
      </c>
      <c r="W25" s="119">
        <f t="shared" si="11"/>
        <v>3159375.9654708779</v>
      </c>
      <c r="X25" s="119">
        <f t="shared" si="11"/>
        <v>3323810.9851403111</v>
      </c>
      <c r="Y25" s="119">
        <f t="shared" si="11"/>
        <v>3491869.3276253189</v>
      </c>
      <c r="Z25" s="119">
        <f t="shared" si="11"/>
        <v>3663622.2288668039</v>
      </c>
      <c r="AA25" s="119">
        <f t="shared" si="11"/>
        <v>3839142.000019832</v>
      </c>
      <c r="AB25" s="119">
        <f t="shared" si="11"/>
        <v>4018502.0292783552</v>
      </c>
      <c r="AC25" s="119">
        <f t="shared" si="11"/>
        <v>4201776.7828641329</v>
      </c>
      <c r="AD25" s="119">
        <f t="shared" si="11"/>
        <v>4389041.8051280901</v>
      </c>
      <c r="AE25" s="119">
        <f t="shared" si="11"/>
        <v>4580373.7177098673</v>
      </c>
      <c r="AF25" s="119">
        <f t="shared" si="11"/>
        <v>4775850.2176990043</v>
      </c>
      <c r="AG25" s="119">
        <f t="shared" si="11"/>
        <v>4975550.0747384429</v>
      </c>
      <c r="AH25" s="119">
        <f t="shared" si="11"/>
        <v>5179553.1270084959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319</v>
      </c>
      <c r="C27" s="121"/>
      <c r="D27" s="121"/>
      <c r="E27" s="122">
        <f t="shared" ref="E27:AH27" si="12">IF(E22=0,0,-E21/(E22+E23))</f>
        <v>1.2</v>
      </c>
      <c r="F27" s="122">
        <f t="shared" si="12"/>
        <v>1.2296137712827648</v>
      </c>
      <c r="G27" s="122">
        <f t="shared" si="12"/>
        <v>1.2599044743087691</v>
      </c>
      <c r="H27" s="122">
        <f t="shared" si="12"/>
        <v>1.2908863223980622</v>
      </c>
      <c r="I27" s="122">
        <f t="shared" si="12"/>
        <v>1.3225737832229392</v>
      </c>
      <c r="J27" s="122">
        <f t="shared" si="12"/>
        <v>1.3549815815557718</v>
      </c>
      <c r="K27" s="122">
        <f t="shared" si="12"/>
        <v>1.3881247019581968</v>
      </c>
      <c r="L27" s="122">
        <f t="shared" si="12"/>
        <v>1.4220183914057238</v>
      </c>
      <c r="M27" s="122">
        <f t="shared" si="12"/>
        <v>1.4566781618415161</v>
      </c>
      <c r="N27" s="122">
        <f t="shared" si="12"/>
        <v>1.4921197926527967</v>
      </c>
      <c r="O27" s="122">
        <f t="shared" si="12"/>
        <v>1.5283593330629883</v>
      </c>
      <c r="P27" s="122">
        <f t="shared" si="12"/>
        <v>1.5654131044323367</v>
      </c>
      <c r="Q27" s="122">
        <f t="shared" si="12"/>
        <v>1.603297702459447</v>
      </c>
      <c r="R27" s="122">
        <f t="shared" si="12"/>
        <v>1.6420299992757363</v>
      </c>
      <c r="S27" s="161">
        <f t="shared" si="12"/>
        <v>1.6816271454244562</v>
      </c>
      <c r="T27" s="122">
        <f t="shared" si="12"/>
        <v>1.7221065717155011</v>
      </c>
      <c r="U27" s="122">
        <f t="shared" si="12"/>
        <v>1.763485990946815</v>
      </c>
      <c r="V27" s="122">
        <f t="shared" si="12"/>
        <v>1.8057833994827459</v>
      </c>
      <c r="W27" s="122">
        <f t="shared" si="12"/>
        <v>1.8490170786792579</v>
      </c>
      <c r="X27" s="122">
        <f t="shared" si="12"/>
        <v>1.8932055961453966</v>
      </c>
      <c r="Y27" s="122">
        <f t="shared" si="12"/>
        <v>1.9383678068299466</v>
      </c>
      <c r="Z27" s="122">
        <f t="shared" si="12"/>
        <v>1.9845228539216591</v>
      </c>
      <c r="AA27" s="122">
        <f t="shared" si="12"/>
        <v>2.031690169550898</v>
      </c>
      <c r="AB27" s="122">
        <f t="shared" si="12"/>
        <v>2.0798894752799968</v>
      </c>
      <c r="AC27" s="122">
        <f t="shared" si="12"/>
        <v>2.1291407823690109</v>
      </c>
      <c r="AD27" s="122">
        <f t="shared" si="12"/>
        <v>2.1794643918029566</v>
      </c>
      <c r="AE27" s="122">
        <f t="shared" si="12"/>
        <v>2.2308808940659546</v>
      </c>
      <c r="AF27" s="122">
        <f t="shared" si="12"/>
        <v>2.2834111686470897</v>
      </c>
      <c r="AG27" s="122">
        <f t="shared" si="12"/>
        <v>2.3370763832620334</v>
      </c>
      <c r="AH27" s="122">
        <f t="shared" si="12"/>
        <v>2.3918979927738215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320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321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322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323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324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325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326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327</v>
      </c>
      <c r="C39" s="80" t="s">
        <v>276</v>
      </c>
      <c r="D39" s="80" t="s">
        <v>277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328</v>
      </c>
      <c r="C41" s="127"/>
      <c r="D41" s="128"/>
      <c r="E41" s="129">
        <f>E25+E37</f>
        <v>744243.20659971749</v>
      </c>
      <c r="F41" s="129">
        <f t="shared" ref="F41:S41" si="20">F25+F37</f>
        <v>854442.44709469518</v>
      </c>
      <c r="G41" s="129">
        <f t="shared" si="20"/>
        <v>967160.69684586069</v>
      </c>
      <c r="H41" s="129">
        <f t="shared" si="20"/>
        <v>1082450.8466876657</v>
      </c>
      <c r="I41" s="129">
        <f t="shared" si="20"/>
        <v>1200366.7339542122</v>
      </c>
      <c r="J41" s="129">
        <f t="shared" si="20"/>
        <v>1320963.1527045337</v>
      </c>
      <c r="K41" s="129">
        <f t="shared" si="20"/>
        <v>1444295.8637296404</v>
      </c>
      <c r="L41" s="129">
        <f t="shared" si="20"/>
        <v>1570421.6043192525</v>
      </c>
      <c r="M41" s="129">
        <f t="shared" si="20"/>
        <v>1699398.0977649731</v>
      </c>
      <c r="N41" s="129">
        <f t="shared" si="20"/>
        <v>1831284.0625755279</v>
      </c>
      <c r="O41" s="129">
        <f t="shared" si="20"/>
        <v>1966139.2213784331</v>
      </c>
      <c r="P41" s="129">
        <f t="shared" si="20"/>
        <v>2104024.3094811165</v>
      </c>
      <c r="Q41" s="129">
        <f t="shared" si="20"/>
        <v>2245001.0830633058</v>
      </c>
      <c r="R41" s="129">
        <f t="shared" si="20"/>
        <v>2389132.3269709419</v>
      </c>
      <c r="S41" s="130">
        <f t="shared" si="20"/>
        <v>2536481.8620805466</v>
      </c>
      <c r="T41" s="130">
        <f t="shared" ref="T41:AH41" si="21">T25+T37</f>
        <v>2687114.5522013665</v>
      </c>
      <c r="U41" s="130">
        <f t="shared" si="21"/>
        <v>2841096.3104811027</v>
      </c>
      <c r="V41" s="130">
        <f t="shared" si="21"/>
        <v>2998494.1052792999</v>
      </c>
      <c r="W41" s="130">
        <f t="shared" si="21"/>
        <v>3159375.9654708779</v>
      </c>
      <c r="X41" s="130">
        <f t="shared" si="21"/>
        <v>3323810.9851403111</v>
      </c>
      <c r="Y41" s="130">
        <f t="shared" si="21"/>
        <v>3491869.3276253189</v>
      </c>
      <c r="Z41" s="130">
        <f t="shared" si="21"/>
        <v>3663622.2288668039</v>
      </c>
      <c r="AA41" s="130">
        <f t="shared" si="21"/>
        <v>3839142.000019832</v>
      </c>
      <c r="AB41" s="130">
        <f t="shared" si="21"/>
        <v>4018502.0292783552</v>
      </c>
      <c r="AC41" s="130">
        <f t="shared" si="21"/>
        <v>4201776.7828641329</v>
      </c>
      <c r="AD41" s="130">
        <f t="shared" si="21"/>
        <v>4389041.8051280901</v>
      </c>
      <c r="AE41" s="130">
        <f t="shared" si="21"/>
        <v>4580373.7177098673</v>
      </c>
      <c r="AF41" s="130">
        <f t="shared" si="21"/>
        <v>4775850.2176990043</v>
      </c>
      <c r="AG41" s="130">
        <f t="shared" si="21"/>
        <v>4975550.0747384429</v>
      </c>
      <c r="AH41" s="130">
        <f t="shared" si="21"/>
        <v>5179553.1270084959</v>
      </c>
    </row>
    <row r="42" spans="1:34">
      <c r="A42" s="86"/>
      <c r="B42" s="110" t="s">
        <v>329</v>
      </c>
      <c r="C42" s="323">
        <f>GapCalc!I33</f>
        <v>0.85</v>
      </c>
      <c r="D42" s="131" t="s">
        <v>1048</v>
      </c>
      <c r="E42" s="129">
        <f>((E41*$C$42))</f>
        <v>632606.7256097598</v>
      </c>
      <c r="F42" s="129">
        <f t="shared" ref="F42:S42" si="22">((F41*$C$42))</f>
        <v>726276.08003049088</v>
      </c>
      <c r="G42" s="129">
        <f t="shared" si="22"/>
        <v>822086.59231898154</v>
      </c>
      <c r="H42" s="129">
        <f t="shared" si="22"/>
        <v>920083.21968451585</v>
      </c>
      <c r="I42" s="129">
        <f t="shared" si="22"/>
        <v>1020311.7238610804</v>
      </c>
      <c r="J42" s="129">
        <f t="shared" si="22"/>
        <v>1122818.6797988536</v>
      </c>
      <c r="K42" s="129">
        <f t="shared" si="22"/>
        <v>1227651.4841701942</v>
      </c>
      <c r="L42" s="129">
        <f t="shared" si="22"/>
        <v>1334858.3636713647</v>
      </c>
      <c r="M42" s="129">
        <f t="shared" si="22"/>
        <v>1444488.383100227</v>
      </c>
      <c r="N42" s="129">
        <f t="shared" si="22"/>
        <v>1556591.4531891986</v>
      </c>
      <c r="O42" s="129">
        <f t="shared" si="22"/>
        <v>1671218.3381716681</v>
      </c>
      <c r="P42" s="129">
        <f t="shared" si="22"/>
        <v>1788420.6630589489</v>
      </c>
      <c r="Q42" s="129">
        <f t="shared" si="22"/>
        <v>1908250.9206038099</v>
      </c>
      <c r="R42" s="129">
        <f t="shared" si="22"/>
        <v>2030762.4779253006</v>
      </c>
      <c r="S42" s="129">
        <f t="shared" si="22"/>
        <v>2156009.5827684645</v>
      </c>
      <c r="T42" s="129">
        <f t="shared" ref="T42:AH42" si="23">((T41*$C$42))</f>
        <v>2284047.3693711613</v>
      </c>
      <c r="U42" s="129">
        <f t="shared" si="23"/>
        <v>2414931.8639089372</v>
      </c>
      <c r="V42" s="129">
        <f t="shared" si="23"/>
        <v>2548719.9894874049</v>
      </c>
      <c r="W42" s="129">
        <f t="shared" si="23"/>
        <v>2685469.570650246</v>
      </c>
      <c r="X42" s="129">
        <f t="shared" si="23"/>
        <v>2825239.3373692641</v>
      </c>
      <c r="Y42" s="129">
        <f t="shared" si="23"/>
        <v>2968088.9284815211</v>
      </c>
      <c r="Z42" s="129">
        <f t="shared" si="23"/>
        <v>3114078.8945367835</v>
      </c>
      <c r="AA42" s="129">
        <f t="shared" si="23"/>
        <v>3263270.7000168571</v>
      </c>
      <c r="AB42" s="129">
        <f t="shared" si="23"/>
        <v>3415726.7248866018</v>
      </c>
      <c r="AC42" s="129">
        <f t="shared" si="23"/>
        <v>3571510.2654345129</v>
      </c>
      <c r="AD42" s="129">
        <f t="shared" si="23"/>
        <v>3730685.5343588763</v>
      </c>
      <c r="AE42" s="129">
        <f t="shared" si="23"/>
        <v>3893317.6600533873</v>
      </c>
      <c r="AF42" s="129">
        <f t="shared" si="23"/>
        <v>4059472.6850441536</v>
      </c>
      <c r="AG42" s="129">
        <f t="shared" si="23"/>
        <v>4229217.5635276763</v>
      </c>
      <c r="AH42" s="129">
        <f t="shared" si="23"/>
        <v>4402620.1579572214</v>
      </c>
    </row>
    <row r="43" spans="1:34">
      <c r="A43" s="86"/>
      <c r="B43" s="132" t="s">
        <v>330</v>
      </c>
      <c r="C43" s="324">
        <f>GapCalc!I32</f>
        <v>0.15</v>
      </c>
      <c r="D43" s="133" t="s">
        <v>1048</v>
      </c>
      <c r="E43" s="108">
        <f>$C$43*(E41)</f>
        <v>111636.48098995762</v>
      </c>
      <c r="F43" s="108">
        <f t="shared" ref="F43:S43" si="24">$C$43*(F41)</f>
        <v>128166.36706420427</v>
      </c>
      <c r="G43" s="108">
        <f t="shared" si="24"/>
        <v>145074.10452687909</v>
      </c>
      <c r="H43" s="108">
        <f t="shared" si="24"/>
        <v>162367.62700314986</v>
      </c>
      <c r="I43" s="108">
        <f t="shared" si="24"/>
        <v>180055.01009313183</v>
      </c>
      <c r="J43" s="108">
        <f t="shared" si="24"/>
        <v>198144.47290568004</v>
      </c>
      <c r="K43" s="108">
        <f t="shared" si="24"/>
        <v>216644.37955944604</v>
      </c>
      <c r="L43" s="108">
        <f t="shared" si="24"/>
        <v>235563.24064788787</v>
      </c>
      <c r="M43" s="108">
        <f t="shared" si="24"/>
        <v>254909.71466474596</v>
      </c>
      <c r="N43" s="108">
        <f t="shared" si="24"/>
        <v>274692.60938632919</v>
      </c>
      <c r="O43" s="108">
        <f t="shared" si="24"/>
        <v>294920.88320676493</v>
      </c>
      <c r="P43" s="108">
        <f t="shared" si="24"/>
        <v>315603.64642216748</v>
      </c>
      <c r="Q43" s="108">
        <f t="shared" si="24"/>
        <v>336750.16245949588</v>
      </c>
      <c r="R43" s="108">
        <f t="shared" si="24"/>
        <v>358369.84904564125</v>
      </c>
      <c r="S43" s="108">
        <f t="shared" si="24"/>
        <v>380472.27931208198</v>
      </c>
      <c r="T43" s="108">
        <f t="shared" ref="T43:AH43" si="25">$C$43*(T41)</f>
        <v>403067.18283020495</v>
      </c>
      <c r="U43" s="108">
        <f t="shared" si="25"/>
        <v>426164.44657216541</v>
      </c>
      <c r="V43" s="108">
        <f t="shared" si="25"/>
        <v>449774.11579189496</v>
      </c>
      <c r="W43" s="108">
        <f t="shared" si="25"/>
        <v>473906.39482063166</v>
      </c>
      <c r="X43" s="108">
        <f t="shared" si="25"/>
        <v>498571.64777104661</v>
      </c>
      <c r="Y43" s="108">
        <f t="shared" si="25"/>
        <v>523780.39914379781</v>
      </c>
      <c r="Z43" s="108">
        <f t="shared" si="25"/>
        <v>549543.33433002059</v>
      </c>
      <c r="AA43" s="108">
        <f t="shared" si="25"/>
        <v>575871.30000297481</v>
      </c>
      <c r="AB43" s="108">
        <f t="shared" si="25"/>
        <v>602775.30439175328</v>
      </c>
      <c r="AC43" s="108">
        <f t="shared" si="25"/>
        <v>630266.51742961991</v>
      </c>
      <c r="AD43" s="108">
        <f t="shared" si="25"/>
        <v>658356.27076921344</v>
      </c>
      <c r="AE43" s="108">
        <f t="shared" si="25"/>
        <v>687056.05765648012</v>
      </c>
      <c r="AF43" s="108">
        <f t="shared" si="25"/>
        <v>716377.53265485063</v>
      </c>
      <c r="AG43" s="108">
        <f t="shared" si="25"/>
        <v>746332.51121076639</v>
      </c>
      <c r="AH43" s="108">
        <f t="shared" si="25"/>
        <v>776932.96905127435</v>
      </c>
    </row>
    <row r="44" spans="1:34" s="138" customFormat="1" ht="15.75" customHeight="1">
      <c r="A44" s="134"/>
      <c r="B44" s="117" t="s">
        <v>331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1049</v>
      </c>
      <c r="E46" s="1529">
        <f>E21/Data!$C$38</f>
        <v>7.2962684614927525E-2</v>
      </c>
      <c r="F46" s="1529">
        <f>F21/Data!$C$38</f>
        <v>7.4763268160230004E-2</v>
      </c>
      <c r="G46" s="1529">
        <f>G21/Data!$C$38</f>
        <v>7.660501066993898E-2</v>
      </c>
      <c r="H46" s="1529">
        <f>H21/Data!$C$38</f>
        <v>7.8488776345711234E-2</v>
      </c>
      <c r="I46" s="1529">
        <f>I21/Data!$C$38</f>
        <v>8.0415444854389034E-2</v>
      </c>
      <c r="J46" s="1529">
        <f>J21/Data!$C$38</f>
        <v>8.2385911495074571E-2</v>
      </c>
      <c r="K46" s="1529">
        <f>K21/Data!$C$38</f>
        <v>8.4401087362638502E-2</v>
      </c>
      <c r="L46" s="1529">
        <f>L21/Data!$C$38</f>
        <v>8.6461899507302001E-2</v>
      </c>
      <c r="M46" s="1529">
        <f>M21/Data!$C$38</f>
        <v>8.8569291089912419E-2</v>
      </c>
      <c r="N46" s="1529">
        <f>N21/Data!$C$38</f>
        <v>9.0724221532514235E-2</v>
      </c>
      <c r="O46" s="1529">
        <f>O21/Data!$C$38</f>
        <v>9.292766666379651E-2</v>
      </c>
      <c r="P46" s="1529">
        <f>P21/Data!$C$38</f>
        <v>9.518061885897601E-2</v>
      </c>
      <c r="Q46" s="1529">
        <f>Q21/Data!$C$38</f>
        <v>9.7484087173655462E-2</v>
      </c>
      <c r="R46" s="1529">
        <f>R21/Data!$C$38</f>
        <v>9.9839097471171034E-2</v>
      </c>
      <c r="S46" s="1529">
        <f>S21/Data!$C$38</f>
        <v>0.10224669254292124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332</v>
      </c>
      <c r="E47" s="142">
        <f>E41/GapCalc!$H$33</f>
        <v>2.7246652244430999E-2</v>
      </c>
      <c r="F47" s="142">
        <f>F41/GapCalc!$H$33</f>
        <v>3.1281032883369052E-2</v>
      </c>
      <c r="G47" s="142">
        <f>G41/GapCalc!$H$33</f>
        <v>3.5407634141313399E-2</v>
      </c>
      <c r="H47" s="142">
        <f>H41/GapCalc!$H$33</f>
        <v>3.9628392345207222E-2</v>
      </c>
      <c r="I47" s="142">
        <f>I41/GapCalc!$H$33</f>
        <v>4.3945278473229474E-2</v>
      </c>
      <c r="J47" s="142">
        <f>J41/GapCalc!$H$33</f>
        <v>4.8360298529141178E-2</v>
      </c>
      <c r="K47" s="142">
        <f>K41/GapCalc!$H$33</f>
        <v>5.2875493908642081E-2</v>
      </c>
      <c r="L47" s="142">
        <f>L41/GapCalc!$H$33</f>
        <v>5.7492941756929615E-2</v>
      </c>
      <c r="M47" s="142">
        <f>M41/GapCalc!$H$33</f>
        <v>6.2214755316608826E-2</v>
      </c>
      <c r="N47" s="142">
        <f>N41/GapCalc!$H$33</f>
        <v>6.7043084265061226E-2</v>
      </c>
      <c r="O47" s="142">
        <f>O41/GapCalc!$H$33</f>
        <v>7.1980115040333692E-2</v>
      </c>
      <c r="P47" s="142">
        <f>P41/GapCalc!$H$33</f>
        <v>7.7028071154560146E-2</v>
      </c>
      <c r="Q47" s="142">
        <f>Q41/GapCalc!$H$33</f>
        <v>8.2189213493883792E-2</v>
      </c>
      <c r="R47" s="142">
        <f>R41/GapCalc!$H$33</f>
        <v>8.7465840603791381E-2</v>
      </c>
      <c r="S47" s="142">
        <f>S41/GapCalc!$H$33</f>
        <v>9.2860288958721782E-2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333</v>
      </c>
      <c r="E48" s="142">
        <f>E43/GapCalc!$H$32</f>
        <v>2.3159654407766347E-2</v>
      </c>
      <c r="F48" s="142">
        <f>F43/GapCalc!$H$32</f>
        <v>2.6588877950863694E-2</v>
      </c>
      <c r="G48" s="142">
        <f>G43/GapCalc!$H$32</f>
        <v>3.0096489020116388E-2</v>
      </c>
      <c r="H48" s="142">
        <f>H43/GapCalc!$H$32</f>
        <v>3.3684133493426138E-2</v>
      </c>
      <c r="I48" s="142">
        <f>I43/GapCalc!$H$32</f>
        <v>3.7353486702245052E-2</v>
      </c>
      <c r="J48" s="142">
        <f>J43/GapCalc!$H$32</f>
        <v>4.1106253749769998E-2</v>
      </c>
      <c r="K48" s="142">
        <f>K43/GapCalc!$H$32</f>
        <v>4.4944169822345767E-2</v>
      </c>
      <c r="L48" s="142">
        <f>L43/GapCalc!$H$32</f>
        <v>4.8869000493390172E-2</v>
      </c>
      <c r="M48" s="142">
        <f>M43/GapCalc!$H$32</f>
        <v>5.2882542019117497E-2</v>
      </c>
      <c r="N48" s="142">
        <f>N43/GapCalc!$H$32</f>
        <v>5.6986621625302034E-2</v>
      </c>
      <c r="O48" s="142">
        <f>O43/GapCalc!$H$32</f>
        <v>6.118309778428363E-2</v>
      </c>
      <c r="P48" s="142">
        <f>P43/GapCalc!$H$32</f>
        <v>6.5473860481376128E-2</v>
      </c>
      <c r="Q48" s="142">
        <f>Q43/GapCalc!$H$32</f>
        <v>6.9860831469801224E-2</v>
      </c>
      <c r="R48" s="142">
        <f>R43/GapCalc!$H$32</f>
        <v>7.4345964513222673E-2</v>
      </c>
      <c r="S48" s="142">
        <f>S43/GapCalc!$H$32</f>
        <v>7.893124561491352E-2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7"/>
      <c r="C50" s="1638"/>
      <c r="D50" s="1638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39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0"/>
      <c r="G52" s="1535"/>
      <c r="H52" s="1537"/>
    </row>
    <row r="53" spans="1:34">
      <c r="B53" s="1535"/>
      <c r="C53" s="1539"/>
      <c r="D53" s="1640"/>
      <c r="G53" s="1538"/>
      <c r="H53" s="1537"/>
    </row>
    <row r="54" spans="1:34">
      <c r="B54" s="1535"/>
      <c r="C54" s="1539"/>
      <c r="D54" s="1641"/>
      <c r="G54" s="1535"/>
      <c r="H54" s="1539"/>
    </row>
    <row r="55" spans="1:34">
      <c r="B55" s="1540"/>
      <c r="C55" s="1539"/>
      <c r="D55" s="1640"/>
      <c r="G55" s="1540"/>
      <c r="H55" s="1539"/>
    </row>
    <row r="56" spans="1:34">
      <c r="B56" s="1540"/>
      <c r="C56" s="1642"/>
      <c r="D56" s="1639"/>
      <c r="G56" s="1540"/>
      <c r="H56" s="1541"/>
    </row>
    <row r="57" spans="1:34">
      <c r="B57" s="1535"/>
      <c r="C57" s="1643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8"/>
      <c r="C59" s="1638"/>
      <c r="D59" s="1538"/>
      <c r="G59" s="1538"/>
      <c r="H59" s="1538"/>
    </row>
    <row r="61" spans="1:34">
      <c r="C61" s="1636"/>
    </row>
    <row r="64" spans="1:34" ht="13.5" thickBot="1">
      <c r="B64" s="70" t="s">
        <v>1057</v>
      </c>
      <c r="G64" s="70" t="s">
        <v>1069</v>
      </c>
    </row>
    <row r="65" spans="2:10" ht="13.5" thickBot="1">
      <c r="B65" s="1518" t="s">
        <v>1039</v>
      </c>
      <c r="C65" s="1519"/>
      <c r="D65" s="1543"/>
      <c r="E65" s="70" t="s">
        <v>1055</v>
      </c>
      <c r="G65" s="1518" t="s">
        <v>1039</v>
      </c>
      <c r="H65" s="1519"/>
      <c r="I65" s="1543"/>
      <c r="J65" s="70" t="s">
        <v>1055</v>
      </c>
    </row>
    <row r="66" spans="2:10">
      <c r="B66" s="1520" t="s">
        <v>1053</v>
      </c>
      <c r="C66" s="1565">
        <f>C70/1.63</f>
        <v>20870506.528014112</v>
      </c>
      <c r="D66" s="1544"/>
      <c r="E66" s="1564" t="s">
        <v>284</v>
      </c>
      <c r="G66" s="1520" t="s">
        <v>1072</v>
      </c>
      <c r="H66" s="1565">
        <f>H70/1.63</f>
        <v>3683030.5637671961</v>
      </c>
      <c r="I66" s="1544"/>
      <c r="J66" s="1564" t="s">
        <v>284</v>
      </c>
    </row>
    <row r="67" spans="2:10" ht="15">
      <c r="B67" s="1521" t="s">
        <v>1054</v>
      </c>
      <c r="C67" s="1579">
        <f>SUMIFS(E42:AH42, E50:AH50, "&lt;=" &amp; VALUE(RIGHT(E66, LEN(E66)-FIND(" ", E66))))</f>
        <v>6471834.5054738764</v>
      </c>
      <c r="D67" s="1545" t="s">
        <v>67</v>
      </c>
      <c r="G67" s="1521" t="s">
        <v>1073</v>
      </c>
      <c r="H67" s="1560">
        <f>SUMIFS(E43:AH43, E50:AH50, "&lt;=" &amp; VALUE(RIGHT(E66, LEN(E66)-FIND(" ", E66))))</f>
        <v>1142088.4421424489</v>
      </c>
      <c r="I67" s="1545" t="s">
        <v>67</v>
      </c>
    </row>
    <row r="68" spans="2:10">
      <c r="B68" s="1521" t="s">
        <v>1077</v>
      </c>
      <c r="C68" s="1568">
        <f>IF(GapCalc!D41*C42&lt; 0,0,GapCalc!D41*C42)</f>
        <v>1293746.7104037877</v>
      </c>
      <c r="D68" s="1545" t="s">
        <v>67</v>
      </c>
      <c r="G68" s="1521" t="s">
        <v>1078</v>
      </c>
      <c r="H68" s="1568">
        <f>IF(GapCalc!D41*C43&lt; 0,0,GapCalc!D41*C43)</f>
        <v>228308.24301243311</v>
      </c>
      <c r="I68" s="1545" t="s">
        <v>67</v>
      </c>
    </row>
    <row r="69" spans="2:10">
      <c r="B69" s="1521" t="s">
        <v>1058</v>
      </c>
      <c r="C69" s="1568">
        <f>'Debt Calc'!E60</f>
        <v>26253344.424785335</v>
      </c>
      <c r="D69" s="1546">
        <v>0.9</v>
      </c>
      <c r="G69" s="1521" t="s">
        <v>1074</v>
      </c>
      <c r="H69" s="1568">
        <f>'Debt Calc'!E59*C43</f>
        <v>4632943.1337856473</v>
      </c>
      <c r="I69" s="1546">
        <v>0.9</v>
      </c>
    </row>
    <row r="70" spans="2:10">
      <c r="B70" s="1523" t="s">
        <v>1041</v>
      </c>
      <c r="C70" s="1576">
        <f>C67+C68+C69</f>
        <v>34018925.640662998</v>
      </c>
      <c r="D70" s="1545" t="s">
        <v>67</v>
      </c>
      <c r="G70" s="1523" t="s">
        <v>1041</v>
      </c>
      <c r="H70" s="1576">
        <f>H67+H68+H69</f>
        <v>6003339.8189405296</v>
      </c>
      <c r="I70" s="1545" t="s">
        <v>67</v>
      </c>
    </row>
    <row r="71" spans="2:10">
      <c r="B71" s="1523" t="s">
        <v>1042</v>
      </c>
      <c r="C71" s="1570">
        <f>C70/C66</f>
        <v>1.6299999999999997</v>
      </c>
      <c r="D71" s="1547"/>
      <c r="G71" s="1523" t="s">
        <v>1042</v>
      </c>
      <c r="H71" s="1570">
        <f>H70/H66</f>
        <v>1.63</v>
      </c>
      <c r="I71" s="1547"/>
    </row>
    <row r="72" spans="2:10">
      <c r="B72" s="1521" t="s">
        <v>1043</v>
      </c>
      <c r="C72" s="1524">
        <f>(C70-C66)/C66</f>
        <v>0.62999999999999978</v>
      </c>
      <c r="D72" s="1548"/>
      <c r="G72" s="1521" t="s">
        <v>1043</v>
      </c>
      <c r="H72" s="1524">
        <f>(H70-H66)/H66</f>
        <v>0.63</v>
      </c>
      <c r="I72" s="1548"/>
    </row>
    <row r="73" spans="2:10">
      <c r="B73" s="1523" t="s">
        <v>1044</v>
      </c>
      <c r="C73" s="1566">
        <f>C72/7</f>
        <v>8.9999999999999969E-2</v>
      </c>
      <c r="D73" s="1548"/>
      <c r="G73" s="1523" t="s">
        <v>1044</v>
      </c>
      <c r="H73" s="1566">
        <f>H72/7</f>
        <v>0.09</v>
      </c>
      <c r="I73" s="1548"/>
    </row>
    <row r="74" spans="2:10" ht="13.5" thickBot="1">
      <c r="B74" s="1577" t="s">
        <v>1079</v>
      </c>
      <c r="C74" s="1580">
        <f>GapCalc!H33</f>
        <v>27315033.051513143</v>
      </c>
      <c r="D74" s="1549"/>
      <c r="F74" s="1559"/>
      <c r="G74" s="1577" t="s">
        <v>1081</v>
      </c>
      <c r="H74" s="1580">
        <f>GapCalc!H32</f>
        <v>4820299.9502670253</v>
      </c>
      <c r="I74" s="1549"/>
    </row>
    <row r="75" spans="2:10">
      <c r="B75" s="70" t="s">
        <v>1080</v>
      </c>
      <c r="C75" s="1578">
        <f>(C70-C74)/C74</f>
        <v>0.2454286830444998</v>
      </c>
      <c r="G75" s="70" t="s">
        <v>1080</v>
      </c>
      <c r="H75" s="1578">
        <f>(H70-H74)/H74</f>
        <v>0.24542868304449988</v>
      </c>
    </row>
    <row r="76" spans="2:10">
      <c r="B76" s="70" t="s">
        <v>1044</v>
      </c>
      <c r="C76" s="1578">
        <f>C75/7</f>
        <v>3.5061240434928545E-2</v>
      </c>
      <c r="G76" s="70" t="s">
        <v>1044</v>
      </c>
      <c r="H76" s="1578">
        <f>H75/7</f>
        <v>3.5061240434928552E-2</v>
      </c>
    </row>
    <row r="78" spans="2:10" ht="13.5" thickBot="1">
      <c r="B78" s="70" t="s">
        <v>1060</v>
      </c>
    </row>
    <row r="79" spans="2:10" ht="13.5" thickBot="1">
      <c r="B79" s="1518" t="s">
        <v>1039</v>
      </c>
      <c r="C79" s="1519"/>
      <c r="D79" s="1543"/>
      <c r="E79" s="70" t="s">
        <v>1055</v>
      </c>
    </row>
    <row r="80" spans="2:10">
      <c r="B80" s="1520" t="s">
        <v>1053</v>
      </c>
      <c r="C80" s="1565">
        <f>C84/1.8</f>
        <v>6723066.3421324734</v>
      </c>
      <c r="D80" s="1544"/>
      <c r="E80" s="1564" t="s">
        <v>287</v>
      </c>
    </row>
    <row r="81" spans="2:10" ht="15">
      <c r="B81" s="1521" t="s">
        <v>1054</v>
      </c>
      <c r="C81" s="1560">
        <f>SUMIFS(E42:AH42, E50:AH50, "&lt;=" &amp; VALUE(RIGHT(E80, LEN(E80)-FIND(" ", E80))))</f>
        <v>10807772.705434665</v>
      </c>
      <c r="D81" s="1545" t="s">
        <v>67</v>
      </c>
    </row>
    <row r="82" spans="2:10">
      <c r="B82" s="1521" t="s">
        <v>1058</v>
      </c>
      <c r="C82" s="1568">
        <f>C68</f>
        <v>1293746.7104037877</v>
      </c>
      <c r="D82" s="1545" t="s">
        <v>67</v>
      </c>
    </row>
    <row r="83" spans="2:10">
      <c r="B83" s="1521" t="s">
        <v>1040</v>
      </c>
      <c r="C83" s="1522"/>
      <c r="D83" s="1546">
        <v>0.9</v>
      </c>
    </row>
    <row r="84" spans="2:10">
      <c r="B84" s="1523" t="s">
        <v>1041</v>
      </c>
      <c r="C84" s="1576">
        <f>C81+C82+C83</f>
        <v>12101519.415838452</v>
      </c>
      <c r="D84" s="1545" t="s">
        <v>67</v>
      </c>
    </row>
    <row r="85" spans="2:10">
      <c r="B85" s="1523" t="s">
        <v>1042</v>
      </c>
      <c r="C85" s="1567">
        <v>1.8</v>
      </c>
      <c r="D85" s="1547"/>
    </row>
    <row r="86" spans="2:10">
      <c r="B86" s="1521" t="s">
        <v>1043</v>
      </c>
      <c r="C86" s="1524">
        <f>(C84-C80)/C80</f>
        <v>0.8</v>
      </c>
      <c r="D86" s="1548"/>
    </row>
    <row r="87" spans="2:10">
      <c r="B87" s="1523" t="s">
        <v>1044</v>
      </c>
      <c r="C87" s="1566">
        <f>C86/10</f>
        <v>0.08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1057</v>
      </c>
      <c r="G91" s="70" t="s">
        <v>1069</v>
      </c>
    </row>
    <row r="92" spans="2:10" ht="13.5" thickBot="1">
      <c r="B92" s="1518" t="s">
        <v>1039</v>
      </c>
      <c r="C92" s="1519"/>
      <c r="D92" s="1543"/>
      <c r="E92" s="70" t="s">
        <v>1055</v>
      </c>
      <c r="G92" s="1518" t="s">
        <v>1039</v>
      </c>
      <c r="H92" s="1519"/>
      <c r="I92" s="1543"/>
      <c r="J92" s="70" t="s">
        <v>1055</v>
      </c>
    </row>
    <row r="93" spans="2:10">
      <c r="B93" s="1520" t="s">
        <v>1053</v>
      </c>
      <c r="C93" s="1565">
        <f>C97/1.63</f>
        <v>30385580.626484063</v>
      </c>
      <c r="D93" s="1544"/>
      <c r="E93" s="1564" t="s">
        <v>287</v>
      </c>
      <c r="G93" s="1520" t="s">
        <v>1072</v>
      </c>
      <c r="H93" s="1565">
        <f>H97/1.63</f>
        <v>4152457.290576376</v>
      </c>
      <c r="I93" s="1544"/>
      <c r="J93" s="1564" t="s">
        <v>287</v>
      </c>
    </row>
    <row r="94" spans="2:10" ht="15">
      <c r="B94" s="1521" t="s">
        <v>1054</v>
      </c>
      <c r="C94" s="1579">
        <f>SUMIFS(E42:AH42, E50:AH50, "&lt;=" &amp; VALUE(RIGHT(E93, LEN(E93)-FIND(" ", E93))))</f>
        <v>10807772.705434665</v>
      </c>
      <c r="D94" s="1545" t="s">
        <v>67</v>
      </c>
      <c r="G94" s="1521" t="s">
        <v>1073</v>
      </c>
      <c r="H94" s="1560">
        <f>SUMIFS(E43:AH43, E50:AH50, "&lt;=" &amp; VALUE(RIGHT(J93, LEN(J93)-FIND(" ", J93))))</f>
        <v>1907254.0068414118</v>
      </c>
      <c r="I94" s="1545" t="s">
        <v>67</v>
      </c>
    </row>
    <row r="95" spans="2:10">
      <c r="B95" s="1521" t="s">
        <v>1077</v>
      </c>
      <c r="C95" s="1568">
        <f>IF(GapCalc!D41*C42&lt; 0,0,GapCalc!D41*C42)</f>
        <v>1293746.7104037877</v>
      </c>
      <c r="D95" s="1545" t="s">
        <v>67</v>
      </c>
      <c r="G95" s="1521" t="s">
        <v>1078</v>
      </c>
      <c r="H95" s="1568">
        <f>IF(GapCalc!D41*C43&lt; 0,0,GapCalc!D41*C43)</f>
        <v>228308.24301243311</v>
      </c>
      <c r="I95" s="1545" t="s">
        <v>67</v>
      </c>
    </row>
    <row r="96" spans="2:10">
      <c r="B96" s="1521" t="s">
        <v>1058</v>
      </c>
      <c r="C96" s="1568">
        <f>'Debt Calc'!H60</f>
        <v>37426977.00533057</v>
      </c>
      <c r="D96" s="1546">
        <v>0.9</v>
      </c>
      <c r="G96" s="1521" t="s">
        <v>1074</v>
      </c>
      <c r="H96" s="1568">
        <f>'Debt Calc'!E59*C43</f>
        <v>4632943.1337856473</v>
      </c>
      <c r="I96" s="1546">
        <v>0.9</v>
      </c>
    </row>
    <row r="97" spans="2:9">
      <c r="B97" s="1523" t="s">
        <v>1041</v>
      </c>
      <c r="C97" s="1576">
        <f>C94+C95+C96</f>
        <v>49528496.42116902</v>
      </c>
      <c r="D97" s="1545" t="s">
        <v>67</v>
      </c>
      <c r="G97" s="1523" t="s">
        <v>1041</v>
      </c>
      <c r="H97" s="1576">
        <f>H94+H95+H96</f>
        <v>6768505.3836394921</v>
      </c>
      <c r="I97" s="1545" t="s">
        <v>67</v>
      </c>
    </row>
    <row r="98" spans="2:9">
      <c r="B98" s="1523" t="s">
        <v>1042</v>
      </c>
      <c r="C98" s="1570">
        <f>C97/C93</f>
        <v>1.63</v>
      </c>
      <c r="D98" s="1547"/>
      <c r="G98" s="1523" t="s">
        <v>1042</v>
      </c>
      <c r="H98" s="1570">
        <f>H97/H93</f>
        <v>1.63</v>
      </c>
      <c r="I98" s="1547"/>
    </row>
    <row r="99" spans="2:9">
      <c r="B99" s="1521" t="s">
        <v>1043</v>
      </c>
      <c r="C99" s="1524">
        <f>(C97-C93)/C93</f>
        <v>0.62999999999999989</v>
      </c>
      <c r="D99" s="1548"/>
      <c r="G99" s="1521" t="s">
        <v>1043</v>
      </c>
      <c r="H99" s="1524">
        <f>(H97-H93)/H93</f>
        <v>0.62999999999999978</v>
      </c>
      <c r="I99" s="1548"/>
    </row>
    <row r="100" spans="2:9">
      <c r="B100" s="1523" t="s">
        <v>1044</v>
      </c>
      <c r="C100" s="1566">
        <f>C99/7</f>
        <v>8.9999999999999983E-2</v>
      </c>
      <c r="D100" s="1548"/>
      <c r="G100" s="1523" t="s">
        <v>1044</v>
      </c>
      <c r="H100" s="1566">
        <f>H99/7</f>
        <v>8.9999999999999969E-2</v>
      </c>
      <c r="I100" s="1548"/>
    </row>
    <row r="101" spans="2:9" ht="13.5" thickBot="1">
      <c r="B101" s="1577" t="s">
        <v>1079</v>
      </c>
      <c r="C101" s="1580">
        <f>GapCalc!H33</f>
        <v>27315033.051513143</v>
      </c>
      <c r="D101" s="1549"/>
      <c r="G101" s="1577" t="s">
        <v>1081</v>
      </c>
      <c r="H101" s="1580">
        <f>GapCalc!H32</f>
        <v>4820299.9502670253</v>
      </c>
      <c r="I101" s="1549"/>
    </row>
    <row r="102" spans="2:9">
      <c r="B102" s="70" t="s">
        <v>1080</v>
      </c>
      <c r="C102" s="1578">
        <f>(C97-C101)/C101</f>
        <v>0.81323216149011179</v>
      </c>
      <c r="G102" s="70" t="s">
        <v>1080</v>
      </c>
      <c r="H102" s="1578">
        <f>(H97-H101)/H101</f>
        <v>0.4041668471823095</v>
      </c>
    </row>
    <row r="103" spans="2:9">
      <c r="B103" s="70" t="s">
        <v>1044</v>
      </c>
      <c r="C103" s="1578">
        <f>C102/10</f>
        <v>8.1323216149011182E-2</v>
      </c>
      <c r="G103" s="70" t="s">
        <v>1044</v>
      </c>
      <c r="H103" s="1578">
        <f>H102/10</f>
        <v>4.0416684718230948E-2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3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649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650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651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652</v>
      </c>
      <c r="C11" s="875">
        <f>'Rental Income'!E17</f>
        <v>122620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653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654</v>
      </c>
      <c r="C13" s="875">
        <f>SUM(C11:C12)*D13</f>
        <v>24524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655</v>
      </c>
      <c r="C14" s="886">
        <f>SUM(C11:C13)</f>
        <v>147144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5"/>
      <c r="R16" s="1755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6"/>
      <c r="M17" s="877"/>
      <c r="N17" s="855"/>
      <c r="O17" s="884"/>
      <c r="P17" s="855"/>
      <c r="Q17" s="879"/>
      <c r="R17" s="880"/>
    </row>
    <row r="18" spans="1:18">
      <c r="A18" s="855"/>
      <c r="B18" s="893" t="s">
        <v>656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57"/>
      <c r="M18" s="895"/>
      <c r="N18" s="855"/>
      <c r="O18" s="920"/>
      <c r="P18" s="855"/>
      <c r="Q18" s="879"/>
      <c r="R18" s="880"/>
    </row>
    <row r="19" spans="1:18">
      <c r="A19" s="855"/>
      <c r="B19" s="888" t="s">
        <v>657</v>
      </c>
      <c r="C19" s="897">
        <f>SUM(C14:C16)</f>
        <v>147144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658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659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660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652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654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661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655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662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663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656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657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664</v>
      </c>
      <c r="C34" s="904">
        <f>C19+C32</f>
        <v>147144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665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666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667</v>
      </c>
      <c r="C38" s="909" t="s">
        <v>668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669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605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670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429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671</v>
      </c>
      <c r="B46" s="855"/>
      <c r="C46" s="855"/>
      <c r="D46" s="855"/>
      <c r="E46" s="855" t="s">
        <v>672</v>
      </c>
      <c r="F46" s="915"/>
      <c r="G46" s="855"/>
      <c r="H46" s="855"/>
      <c r="I46" s="855"/>
      <c r="J46" s="855"/>
      <c r="K46" s="855"/>
      <c r="L46" s="1397" t="s">
        <v>969</v>
      </c>
      <c r="M46" s="1399">
        <f>'Rental Income'!D15</f>
        <v>151</v>
      </c>
      <c r="N46" s="1394"/>
      <c r="O46" s="1394"/>
      <c r="P46" s="1394"/>
      <c r="Q46" s="855"/>
    </row>
    <row r="47" spans="1:18">
      <c r="A47" s="889"/>
      <c r="B47" s="888" t="s">
        <v>673</v>
      </c>
      <c r="C47" s="916">
        <f>ROUNDDOWN(M46*M47,1)</f>
        <v>75.5</v>
      </c>
      <c r="D47" s="876"/>
      <c r="E47" s="917"/>
      <c r="F47" s="918"/>
      <c r="G47" s="873" t="s">
        <v>674</v>
      </c>
      <c r="H47" s="919" t="s">
        <v>675</v>
      </c>
      <c r="I47" s="873" t="s">
        <v>676</v>
      </c>
      <c r="J47" s="873" t="s">
        <v>677</v>
      </c>
      <c r="K47" s="855"/>
      <c r="L47" s="1398" t="s">
        <v>970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605</v>
      </c>
      <c r="C48" s="922">
        <f>P65</f>
        <v>0</v>
      </c>
      <c r="D48" s="876"/>
      <c r="E48" s="855" t="s">
        <v>678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4"/>
      <c r="M48" s="856"/>
      <c r="N48" s="1725"/>
      <c r="O48" s="895"/>
      <c r="P48" s="1725"/>
      <c r="Q48" s="855"/>
    </row>
    <row r="49" spans="1:17">
      <c r="A49" s="889"/>
      <c r="B49" s="888" t="s">
        <v>679</v>
      </c>
      <c r="C49" s="916">
        <f>SUM(C47:C48)</f>
        <v>75.5</v>
      </c>
      <c r="D49" s="876"/>
      <c r="E49" s="855" t="s">
        <v>576</v>
      </c>
      <c r="F49" s="855"/>
      <c r="G49" s="923">
        <v>143</v>
      </c>
      <c r="H49" s="884">
        <f>C53*D53</f>
        <v>0</v>
      </c>
      <c r="I49" s="884">
        <f>G49*H49</f>
        <v>0</v>
      </c>
      <c r="J49" s="925">
        <f>IFERROR(I49/C53,0)</f>
        <v>0</v>
      </c>
      <c r="K49" s="855"/>
      <c r="L49" s="1724"/>
      <c r="M49" s="856"/>
      <c r="N49" s="1725"/>
      <c r="O49" s="895"/>
      <c r="P49" s="1725"/>
      <c r="Q49" s="855"/>
    </row>
    <row r="50" spans="1:17">
      <c r="A50" s="855"/>
      <c r="B50" s="888"/>
      <c r="C50" s="880"/>
      <c r="D50" s="876"/>
      <c r="E50" s="917" t="s">
        <v>680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4"/>
      <c r="M50" s="856"/>
      <c r="N50" s="1725"/>
      <c r="O50" s="895"/>
      <c r="P50" s="1725"/>
      <c r="Q50" s="855"/>
    </row>
    <row r="51" spans="1:17">
      <c r="A51" s="855"/>
      <c r="B51" s="917" t="s">
        <v>681</v>
      </c>
      <c r="C51" s="917"/>
      <c r="D51" s="918" t="s">
        <v>682</v>
      </c>
      <c r="E51" s="929" t="s">
        <v>59</v>
      </c>
      <c r="F51" s="929"/>
      <c r="G51" s="929"/>
      <c r="H51" s="930">
        <f>SUM(H48:H50)</f>
        <v>0</v>
      </c>
      <c r="I51" s="930">
        <f>SUM(I48:I50)</f>
        <v>0</v>
      </c>
      <c r="J51" s="925"/>
      <c r="K51" s="855"/>
      <c r="L51" s="1724"/>
      <c r="M51" s="856"/>
      <c r="N51" s="1725"/>
      <c r="O51" s="895"/>
      <c r="P51" s="1725"/>
      <c r="Q51" s="855"/>
    </row>
    <row r="52" spans="1:17">
      <c r="A52" s="855"/>
      <c r="B52" s="855" t="s">
        <v>678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4"/>
      <c r="M52" s="1714"/>
      <c r="N52" s="1725"/>
      <c r="O52" s="895"/>
      <c r="P52" s="1725"/>
      <c r="Q52" s="855"/>
    </row>
    <row r="53" spans="1:17">
      <c r="A53" s="855"/>
      <c r="B53" s="855" t="s">
        <v>576</v>
      </c>
      <c r="C53" s="931">
        <v>0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669</v>
      </c>
      <c r="I53" s="934">
        <f>I51/C49*C47</f>
        <v>0</v>
      </c>
      <c r="J53" s="884"/>
      <c r="K53" s="855"/>
      <c r="L53" s="1724"/>
      <c r="M53" s="1714"/>
      <c r="N53" s="1725"/>
      <c r="O53" s="895"/>
      <c r="P53" s="1725"/>
      <c r="Q53" s="855"/>
    </row>
    <row r="54" spans="1:17">
      <c r="A54" s="855"/>
      <c r="B54" s="917" t="s">
        <v>680</v>
      </c>
      <c r="C54" s="935">
        <v>0</v>
      </c>
      <c r="D54" s="936">
        <v>425</v>
      </c>
      <c r="E54" s="855"/>
      <c r="F54" s="937"/>
      <c r="G54" s="855"/>
      <c r="H54" s="879" t="s">
        <v>683</v>
      </c>
      <c r="I54" s="937">
        <f>I51/C49*C48</f>
        <v>0</v>
      </c>
      <c r="J54" s="884"/>
      <c r="K54" s="855"/>
      <c r="L54" s="1724"/>
      <c r="M54" s="1725"/>
      <c r="N54" s="1725"/>
      <c r="O54" s="895"/>
      <c r="P54" s="1725"/>
      <c r="Q54" s="855"/>
    </row>
    <row r="55" spans="1:17">
      <c r="A55" s="938"/>
      <c r="B55" s="855" t="s">
        <v>679</v>
      </c>
      <c r="C55" s="880">
        <f>SUM(C52:C54)</f>
        <v>0</v>
      </c>
      <c r="D55" s="855"/>
      <c r="E55" s="855"/>
      <c r="F55" s="937"/>
      <c r="G55" s="855"/>
      <c r="H55" s="872" t="s">
        <v>684</v>
      </c>
      <c r="I55" s="939">
        <f>SUM(I53:I54)</f>
        <v>0</v>
      </c>
      <c r="J55" s="855"/>
      <c r="K55" s="855"/>
      <c r="L55" s="1724"/>
      <c r="M55" s="1714"/>
      <c r="N55" s="1725"/>
      <c r="O55" s="895"/>
      <c r="P55" s="1725"/>
      <c r="Q55" s="855"/>
    </row>
    <row r="56" spans="1:17">
      <c r="A56" s="855"/>
      <c r="B56" s="940" t="s">
        <v>685</v>
      </c>
      <c r="C56" s="941">
        <f>C49-C55</f>
        <v>75.5</v>
      </c>
      <c r="D56" s="855"/>
      <c r="E56" s="855"/>
      <c r="F56" s="937"/>
      <c r="G56" s="855"/>
      <c r="H56" s="855"/>
      <c r="I56" s="884"/>
      <c r="J56" s="884"/>
      <c r="K56" s="855"/>
      <c r="L56" s="1724"/>
      <c r="M56" s="1714"/>
      <c r="N56" s="1725"/>
      <c r="O56" s="895"/>
      <c r="P56" s="1725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4"/>
      <c r="M57" s="1714"/>
      <c r="N57" s="1725"/>
      <c r="O57" s="895"/>
      <c r="P57" s="1725"/>
      <c r="Q57" s="855"/>
    </row>
    <row r="58" spans="1:17">
      <c r="A58" s="1732" t="s">
        <v>686</v>
      </c>
      <c r="B58" s="1733"/>
      <c r="C58" s="1733"/>
      <c r="D58" s="1733"/>
      <c r="E58" s="1733"/>
      <c r="F58" s="1730"/>
      <c r="G58" s="1733"/>
      <c r="H58" s="1733"/>
      <c r="I58" s="1733"/>
      <c r="J58" s="1734"/>
      <c r="K58" s="1733"/>
      <c r="L58" s="1724"/>
      <c r="M58" s="856"/>
      <c r="N58" s="1725"/>
      <c r="O58" s="895"/>
      <c r="P58" s="1725"/>
      <c r="Q58" s="855"/>
    </row>
    <row r="59" spans="1:17">
      <c r="A59" s="1733" t="s">
        <v>687</v>
      </c>
      <c r="B59" s="1735"/>
      <c r="C59" s="1736"/>
      <c r="D59" s="1733"/>
      <c r="E59" s="1733"/>
      <c r="F59" s="1735"/>
      <c r="G59" s="1736"/>
      <c r="H59" s="1733"/>
      <c r="I59" s="1734"/>
      <c r="J59" s="1734"/>
      <c r="K59" s="1733"/>
      <c r="L59" s="1724"/>
      <c r="M59" s="856"/>
      <c r="N59" s="1725"/>
      <c r="O59" s="895"/>
      <c r="P59" s="1725"/>
      <c r="Q59" s="920"/>
    </row>
    <row r="60" spans="1:17">
      <c r="A60" s="1733"/>
      <c r="B60" s="1733" t="s">
        <v>688</v>
      </c>
      <c r="C60" s="1727">
        <v>33000</v>
      </c>
      <c r="D60" s="1733"/>
      <c r="E60" s="1733"/>
      <c r="F60" s="1733"/>
      <c r="G60" s="1733"/>
      <c r="H60" s="1727"/>
      <c r="I60" s="1737"/>
      <c r="J60" s="1734"/>
      <c r="K60" s="1733"/>
      <c r="L60" s="1724"/>
      <c r="M60" s="856"/>
      <c r="N60" s="1725"/>
      <c r="O60" s="895"/>
      <c r="P60" s="1725"/>
      <c r="Q60" s="920"/>
    </row>
    <row r="61" spans="1:17">
      <c r="A61" s="1733"/>
      <c r="B61" s="1733" t="s">
        <v>689</v>
      </c>
      <c r="C61" s="1728">
        <v>1</v>
      </c>
      <c r="D61" s="1733"/>
      <c r="E61" s="1733"/>
      <c r="F61" s="1735"/>
      <c r="G61" s="1733"/>
      <c r="H61" s="1729"/>
      <c r="I61" s="1734"/>
      <c r="J61" s="1738"/>
      <c r="K61" s="1733"/>
      <c r="L61" s="1724"/>
      <c r="M61" s="856"/>
      <c r="N61" s="1725"/>
      <c r="O61" s="895"/>
      <c r="P61" s="1725"/>
      <c r="Q61" s="855"/>
    </row>
    <row r="62" spans="1:17">
      <c r="A62" s="1733"/>
      <c r="B62" s="1733" t="s">
        <v>690</v>
      </c>
      <c r="C62" s="1730">
        <f>+C61*C60</f>
        <v>33000</v>
      </c>
      <c r="D62" s="1733"/>
      <c r="E62" s="1733"/>
      <c r="F62" s="1735"/>
      <c r="G62" s="1733"/>
      <c r="H62" s="1730"/>
      <c r="I62" s="1734"/>
      <c r="J62" s="1738"/>
      <c r="K62" s="1733"/>
      <c r="L62" s="874"/>
      <c r="M62" s="940"/>
      <c r="N62" s="1725"/>
      <c r="O62" s="879"/>
      <c r="P62" s="1725"/>
      <c r="Q62" s="855"/>
    </row>
    <row r="63" spans="1:17">
      <c r="A63" s="1733"/>
      <c r="B63" s="1730"/>
      <c r="C63" s="1733"/>
      <c r="D63" s="1733"/>
      <c r="E63" s="1739"/>
      <c r="F63" s="1733"/>
      <c r="G63" s="1733"/>
      <c r="H63" s="1733"/>
      <c r="I63" s="1733"/>
      <c r="J63" s="1733"/>
      <c r="K63" s="1733"/>
      <c r="L63" s="874"/>
      <c r="M63" s="856"/>
      <c r="N63" s="856"/>
      <c r="O63" s="879"/>
      <c r="P63" s="856"/>
      <c r="Q63" s="855"/>
    </row>
    <row r="64" spans="1:17">
      <c r="A64" s="1740" t="s">
        <v>692</v>
      </c>
      <c r="B64" s="1741"/>
      <c r="C64" s="1741"/>
      <c r="D64" s="1741"/>
      <c r="E64" s="1742"/>
      <c r="F64" s="1741"/>
      <c r="G64" s="1741"/>
      <c r="H64" s="1741"/>
      <c r="I64" s="1741"/>
      <c r="J64" s="1733"/>
      <c r="K64" s="1733"/>
      <c r="L64" s="874"/>
      <c r="M64" s="856"/>
      <c r="N64" s="1725"/>
      <c r="O64" s="879"/>
      <c r="P64" s="856"/>
      <c r="Q64" s="1726"/>
    </row>
    <row r="65" spans="1:17">
      <c r="A65" s="1733"/>
      <c r="B65" s="1743" t="s">
        <v>693</v>
      </c>
      <c r="C65" s="1741"/>
      <c r="D65" s="1741"/>
      <c r="E65" s="1733"/>
      <c r="F65" s="1743" t="s">
        <v>694</v>
      </c>
      <c r="G65" s="1741"/>
      <c r="H65" s="1741"/>
      <c r="I65" s="1741"/>
      <c r="J65" s="1733"/>
      <c r="K65" s="1733"/>
      <c r="L65" s="855"/>
      <c r="M65" s="856"/>
      <c r="N65" s="856"/>
      <c r="O65" s="879"/>
      <c r="P65" s="856"/>
      <c r="Q65" s="855"/>
    </row>
    <row r="66" spans="1:17">
      <c r="A66" s="1733"/>
      <c r="B66" s="1735" t="s">
        <v>695</v>
      </c>
      <c r="C66" s="1734">
        <f>2000+1000</f>
        <v>3000</v>
      </c>
      <c r="D66" s="1733"/>
      <c r="E66" s="1733"/>
      <c r="F66" s="1735" t="s">
        <v>696</v>
      </c>
      <c r="G66" s="1733"/>
      <c r="H66" s="1730">
        <v>0</v>
      </c>
      <c r="I66" s="1733">
        <v>3.5E-4</v>
      </c>
      <c r="J66" s="1733"/>
      <c r="K66" s="1733"/>
      <c r="L66" s="855"/>
      <c r="M66" s="856"/>
      <c r="N66" s="856"/>
      <c r="O66" s="879"/>
      <c r="P66" s="856"/>
      <c r="Q66" s="855"/>
    </row>
    <row r="67" spans="1:17">
      <c r="A67" s="1733"/>
      <c r="B67" s="1735" t="s">
        <v>697</v>
      </c>
      <c r="C67" s="1734">
        <v>0</v>
      </c>
      <c r="D67" s="1731">
        <v>0.04</v>
      </c>
      <c r="E67" s="1733"/>
      <c r="F67" s="1735" t="s">
        <v>698</v>
      </c>
      <c r="G67" s="1733"/>
      <c r="H67" s="1730">
        <v>0</v>
      </c>
      <c r="I67" s="1744">
        <v>5.0000000000000001E-3</v>
      </c>
      <c r="J67" s="1730"/>
      <c r="K67" s="1733"/>
      <c r="L67" s="855"/>
      <c r="M67" s="856"/>
      <c r="N67" s="856"/>
      <c r="O67" s="879"/>
      <c r="P67" s="855"/>
      <c r="Q67" s="855"/>
    </row>
    <row r="68" spans="1:17">
      <c r="A68" s="1733"/>
      <c r="B68" s="1735" t="s">
        <v>698</v>
      </c>
      <c r="C68" s="1734">
        <v>0</v>
      </c>
      <c r="D68" s="1731">
        <v>0.04</v>
      </c>
      <c r="E68" s="1733"/>
      <c r="F68" s="1733" t="s">
        <v>59</v>
      </c>
      <c r="G68" s="1733"/>
      <c r="H68" s="1734">
        <f>SUM(H66:H67)</f>
        <v>0</v>
      </c>
      <c r="I68" s="1733"/>
      <c r="J68" s="1733"/>
      <c r="K68" s="1733"/>
      <c r="L68" s="855"/>
      <c r="M68" s="856"/>
      <c r="N68" s="856"/>
      <c r="O68" s="855"/>
      <c r="P68" s="855"/>
      <c r="Q68" s="855"/>
    </row>
    <row r="69" spans="1:17">
      <c r="A69" s="1733"/>
      <c r="B69" s="1735" t="s">
        <v>699</v>
      </c>
      <c r="C69" s="1734">
        <v>5330</v>
      </c>
      <c r="D69" s="1745">
        <v>410</v>
      </c>
      <c r="E69" s="1733"/>
      <c r="F69" s="1733"/>
      <c r="G69" s="1733"/>
      <c r="H69" s="1733"/>
      <c r="I69" s="1733"/>
      <c r="J69" s="1733"/>
      <c r="K69" s="1733"/>
      <c r="L69" s="855"/>
      <c r="M69" s="856"/>
      <c r="N69" s="856"/>
      <c r="O69" s="855"/>
      <c r="P69" s="855"/>
      <c r="Q69" s="855"/>
    </row>
    <row r="70" spans="1:17">
      <c r="A70" s="1733"/>
      <c r="B70" s="1733" t="s">
        <v>59</v>
      </c>
      <c r="C70" s="1734">
        <f>SUM(C66:C69)</f>
        <v>8330</v>
      </c>
      <c r="D70" s="1746"/>
      <c r="E70" s="1733"/>
      <c r="F70" s="1747" t="s">
        <v>700</v>
      </c>
      <c r="G70" s="1748" t="s">
        <v>701</v>
      </c>
      <c r="H70" s="1733"/>
      <c r="I70" s="1733"/>
      <c r="J70" s="1733"/>
      <c r="K70" s="1733"/>
      <c r="L70" s="855"/>
      <c r="M70" s="856"/>
      <c r="N70" s="856"/>
      <c r="O70" s="855"/>
      <c r="P70" s="855"/>
      <c r="Q70" s="855"/>
    </row>
    <row r="71" spans="1:17">
      <c r="A71" s="1733"/>
      <c r="B71" s="1735"/>
      <c r="C71" s="1749"/>
      <c r="D71" s="1746"/>
      <c r="E71" s="1733"/>
      <c r="F71" s="1733"/>
      <c r="G71" s="1733"/>
      <c r="H71" s="1733"/>
      <c r="I71" s="1733"/>
      <c r="J71" s="1733"/>
      <c r="K71" s="1733"/>
      <c r="L71" s="855"/>
      <c r="M71" s="856"/>
      <c r="N71" s="856"/>
      <c r="O71" s="855"/>
      <c r="P71" s="855"/>
      <c r="Q71" s="855"/>
    </row>
    <row r="72" spans="1:17">
      <c r="A72" s="1733"/>
      <c r="B72" s="1743" t="s">
        <v>702</v>
      </c>
      <c r="C72" s="1741"/>
      <c r="D72" s="1746"/>
      <c r="E72" s="1733"/>
      <c r="F72" s="1733"/>
      <c r="G72" s="1733"/>
      <c r="H72" s="1733"/>
      <c r="I72" s="1733"/>
      <c r="J72" s="1733"/>
      <c r="K72" s="1733"/>
      <c r="L72" s="855"/>
      <c r="M72" s="856"/>
      <c r="N72" s="856"/>
      <c r="O72" s="855"/>
      <c r="P72" s="855"/>
      <c r="Q72" s="855"/>
    </row>
    <row r="73" spans="1:17">
      <c r="A73" s="1733"/>
      <c r="B73" s="1735" t="s">
        <v>695</v>
      </c>
      <c r="C73" s="1734">
        <v>1000</v>
      </c>
      <c r="D73" s="1746" t="s">
        <v>703</v>
      </c>
      <c r="E73" s="1733"/>
      <c r="F73" s="1733"/>
      <c r="G73" s="1733"/>
      <c r="H73" s="1733"/>
      <c r="I73" s="1733"/>
      <c r="J73" s="1733"/>
      <c r="K73" s="1733"/>
      <c r="L73" s="855"/>
      <c r="M73" s="856"/>
      <c r="N73" s="856"/>
      <c r="O73" s="855"/>
      <c r="P73" s="855"/>
      <c r="Q73" s="855"/>
    </row>
    <row r="74" spans="1:17">
      <c r="A74" s="1733"/>
      <c r="B74" s="1735" t="s">
        <v>704</v>
      </c>
      <c r="C74" s="1730">
        <v>0</v>
      </c>
      <c r="D74" s="1731">
        <v>0.01</v>
      </c>
      <c r="E74" s="1733"/>
      <c r="F74" s="1733"/>
      <c r="G74" s="1733"/>
      <c r="H74" s="1733"/>
      <c r="I74" s="1733"/>
      <c r="J74" s="1733"/>
      <c r="K74" s="1733"/>
      <c r="L74" s="855"/>
      <c r="M74" s="856"/>
      <c r="N74" s="856"/>
      <c r="O74" s="855"/>
      <c r="P74" s="855"/>
      <c r="Q74" s="855"/>
    </row>
    <row r="75" spans="1:17">
      <c r="A75" s="1733"/>
      <c r="B75" s="1735" t="s">
        <v>698</v>
      </c>
      <c r="C75" s="1730">
        <v>0</v>
      </c>
      <c r="D75" s="1731">
        <v>0.02</v>
      </c>
      <c r="E75" s="1733" t="s">
        <v>705</v>
      </c>
      <c r="F75" s="1733"/>
      <c r="G75" s="1733"/>
      <c r="H75" s="1733"/>
      <c r="I75" s="1733"/>
      <c r="J75" s="1733"/>
      <c r="K75" s="1733"/>
      <c r="L75" s="855"/>
      <c r="M75" s="856"/>
      <c r="N75" s="856"/>
      <c r="O75" s="855"/>
      <c r="P75" s="855"/>
      <c r="Q75" s="855"/>
    </row>
    <row r="76" spans="1:17">
      <c r="A76" s="1733"/>
      <c r="B76" s="1735" t="s">
        <v>699</v>
      </c>
      <c r="C76" s="1734">
        <v>5330</v>
      </c>
      <c r="D76" s="1745">
        <v>410</v>
      </c>
      <c r="E76" s="1733"/>
      <c r="F76" s="1733"/>
      <c r="G76" s="1733"/>
      <c r="H76" s="1733"/>
      <c r="I76" s="1733"/>
      <c r="J76" s="1733"/>
      <c r="K76" s="1733"/>
      <c r="L76" s="855"/>
      <c r="M76" s="856"/>
      <c r="N76" s="856"/>
      <c r="O76" s="855"/>
      <c r="P76" s="855"/>
      <c r="Q76" s="855"/>
    </row>
    <row r="77" spans="1:17">
      <c r="A77" s="1733"/>
      <c r="B77" s="1733" t="s">
        <v>59</v>
      </c>
      <c r="C77" s="1734">
        <f>SUM(C73:C76)</f>
        <v>6330</v>
      </c>
      <c r="D77" s="1733"/>
      <c r="E77" s="1733"/>
      <c r="F77" s="1733"/>
      <c r="G77" s="1733"/>
      <c r="H77" s="1733"/>
      <c r="I77" s="1733"/>
      <c r="J77" s="1733"/>
      <c r="K77" s="1733"/>
      <c r="L77" s="855"/>
      <c r="M77" s="856"/>
      <c r="N77" s="856"/>
      <c r="O77" s="855"/>
      <c r="P77" s="855"/>
      <c r="Q77" s="855"/>
    </row>
    <row r="78" spans="1:17">
      <c r="A78" s="1733"/>
      <c r="B78" s="1733"/>
      <c r="C78" s="1733"/>
      <c r="D78" s="1733"/>
      <c r="E78" s="1733"/>
      <c r="F78" s="1733"/>
      <c r="G78" s="1733"/>
      <c r="H78" s="1733"/>
      <c r="I78" s="1733"/>
      <c r="J78" s="1733"/>
      <c r="K78" s="1733"/>
      <c r="L78" s="855"/>
      <c r="M78" s="856"/>
      <c r="N78" s="856"/>
      <c r="O78" s="855"/>
      <c r="P78" s="855"/>
      <c r="Q78" s="855"/>
    </row>
    <row r="79" spans="1:17">
      <c r="A79" s="1747" t="s">
        <v>700</v>
      </c>
      <c r="B79" s="1750" t="s">
        <v>706</v>
      </c>
      <c r="C79" s="1733"/>
      <c r="D79" s="1733"/>
      <c r="E79" s="1733"/>
      <c r="F79" s="1733"/>
      <c r="G79" s="1733"/>
      <c r="H79" s="1733"/>
      <c r="I79" s="1733"/>
      <c r="J79" s="1733"/>
      <c r="K79" s="1733"/>
      <c r="L79" s="855"/>
      <c r="M79" s="856"/>
      <c r="N79" s="856"/>
      <c r="O79" s="855"/>
      <c r="P79" s="855"/>
      <c r="Q79" s="855"/>
    </row>
    <row r="80" spans="1:17">
      <c r="A80" s="1733"/>
      <c r="B80" s="1735"/>
      <c r="C80" s="1749"/>
      <c r="D80" s="1733"/>
      <c r="E80" s="1733"/>
      <c r="F80" s="1733"/>
      <c r="G80" s="1733"/>
      <c r="H80" s="1733"/>
      <c r="I80" s="1733"/>
      <c r="J80" s="1733"/>
      <c r="K80" s="1733"/>
      <c r="L80" s="855"/>
      <c r="M80" s="856"/>
      <c r="N80" s="856"/>
      <c r="O80" s="855"/>
    </row>
    <row r="81" spans="1:15">
      <c r="A81" s="1732"/>
      <c r="B81" s="1732"/>
      <c r="C81" s="1733"/>
      <c r="D81" s="1733"/>
      <c r="E81" s="1733"/>
      <c r="F81" s="1733"/>
      <c r="G81" s="1733"/>
      <c r="H81" s="1733"/>
      <c r="I81" s="1733"/>
      <c r="J81" s="1733"/>
      <c r="K81" s="1733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5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6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6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6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7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7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7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7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58"/>
      <c r="E92" s="1758"/>
      <c r="F92" s="946"/>
      <c r="G92" s="948"/>
      <c r="H92" s="1717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7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7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7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7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7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7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7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7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18"/>
      <c r="E101" s="855"/>
      <c r="F101" s="946"/>
      <c r="G101" s="948"/>
      <c r="H101" s="1717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18"/>
      <c r="E102" s="945"/>
      <c r="F102" s="946"/>
      <c r="G102" s="948"/>
      <c r="H102" s="1717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18"/>
      <c r="E103" s="855"/>
      <c r="F103" s="946"/>
      <c r="G103" s="948"/>
      <c r="H103" s="1717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18"/>
      <c r="E104" s="855"/>
      <c r="F104" s="946"/>
      <c r="G104" s="948"/>
      <c r="H104" s="1717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18"/>
      <c r="E105" s="855"/>
      <c r="F105" s="946"/>
      <c r="G105" s="948"/>
      <c r="H105" s="1717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18"/>
      <c r="E106" s="855"/>
      <c r="F106" s="946"/>
      <c r="G106" s="948"/>
      <c r="H106" s="1717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18"/>
      <c r="E107" s="855"/>
      <c r="F107" s="946"/>
      <c r="G107" s="948"/>
      <c r="H107" s="1717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18"/>
      <c r="E108" s="855"/>
      <c r="F108" s="946"/>
      <c r="G108" s="948"/>
      <c r="H108" s="1717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18"/>
      <c r="E109" s="855"/>
      <c r="F109" s="946"/>
      <c r="G109" s="948"/>
      <c r="H109" s="1717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18"/>
      <c r="E110" s="855"/>
      <c r="F110" s="946"/>
      <c r="G110" s="948"/>
      <c r="H110" s="1717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18"/>
      <c r="E111" s="855"/>
      <c r="F111" s="946"/>
      <c r="G111" s="948"/>
      <c r="H111" s="1717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18"/>
      <c r="E112" s="855"/>
      <c r="F112" s="946"/>
      <c r="G112" s="948"/>
      <c r="H112" s="1717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18"/>
      <c r="E113" s="855"/>
      <c r="F113" s="946"/>
      <c r="G113" s="948"/>
      <c r="H113" s="1717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18"/>
      <c r="E114" s="855"/>
      <c r="F114" s="946"/>
      <c r="G114" s="948"/>
      <c r="H114" s="1717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18"/>
      <c r="E115" s="855"/>
      <c r="F115" s="946"/>
      <c r="G115" s="948"/>
      <c r="H115" s="1717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18"/>
      <c r="E116" s="855"/>
      <c r="F116" s="946"/>
      <c r="G116" s="948"/>
      <c r="H116" s="1717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18"/>
      <c r="E117" s="855"/>
      <c r="F117" s="946"/>
      <c r="G117" s="948"/>
      <c r="H117" s="1717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18"/>
      <c r="E118" s="855"/>
      <c r="F118" s="946"/>
      <c r="G118" s="948"/>
      <c r="H118" s="1717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18"/>
      <c r="E119" s="876"/>
      <c r="F119" s="946"/>
      <c r="G119" s="948"/>
      <c r="H119" s="1717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4"/>
      <c r="D120" s="946"/>
      <c r="E120" s="855"/>
      <c r="F120" s="946"/>
      <c r="G120" s="948"/>
      <c r="H120" s="1717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4"/>
      <c r="D121" s="946"/>
      <c r="E121" s="855"/>
      <c r="F121" s="946"/>
      <c r="G121" s="948"/>
      <c r="H121" s="1717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19"/>
      <c r="D122" s="946"/>
      <c r="E122" s="855"/>
      <c r="F122" s="946"/>
      <c r="G122" s="948"/>
      <c r="H122" s="1717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0"/>
      <c r="D123" s="946"/>
      <c r="E123" s="855"/>
      <c r="F123" s="946"/>
      <c r="G123" s="948"/>
      <c r="H123" s="1717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19"/>
      <c r="D124" s="946"/>
      <c r="E124" s="855"/>
      <c r="F124" s="946"/>
      <c r="G124" s="948"/>
      <c r="H124" s="1717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19"/>
      <c r="D125" s="946"/>
      <c r="E125" s="855"/>
      <c r="F125" s="946"/>
      <c r="G125" s="948"/>
      <c r="H125" s="1717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7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1"/>
      <c r="D127" s="1025"/>
      <c r="E127" s="855"/>
      <c r="F127" s="946"/>
      <c r="G127" s="948"/>
      <c r="H127" s="1717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7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19"/>
      <c r="D134" s="1719"/>
      <c r="E134" s="1719"/>
      <c r="F134" s="1719"/>
      <c r="G134" s="1719"/>
      <c r="H134" s="1719"/>
      <c r="I134" s="1719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19"/>
      <c r="D135" s="1719"/>
      <c r="E135" s="1719"/>
      <c r="F135" s="1719"/>
      <c r="G135" s="1719"/>
      <c r="H135" s="1719"/>
      <c r="I135" s="1719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19"/>
      <c r="D136" s="1719"/>
      <c r="E136" s="1719"/>
      <c r="F136" s="1719"/>
      <c r="G136" s="1719"/>
      <c r="H136" s="1719"/>
      <c r="I136" s="1719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19"/>
      <c r="D137" s="1719"/>
      <c r="E137" s="1719"/>
      <c r="F137" s="1719"/>
      <c r="G137" s="1719"/>
      <c r="H137" s="1719"/>
      <c r="I137" s="1719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19"/>
      <c r="D138" s="1719"/>
      <c r="E138" s="1719"/>
      <c r="F138" s="1719"/>
      <c r="G138" s="1719"/>
      <c r="H138" s="1719"/>
      <c r="I138" s="1719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19"/>
      <c r="D139" s="1719"/>
      <c r="E139" s="1719"/>
      <c r="F139" s="1719"/>
      <c r="G139" s="1719"/>
      <c r="H139" s="1719"/>
      <c r="I139" s="1719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19"/>
      <c r="D140" s="1719"/>
      <c r="E140" s="1719"/>
      <c r="F140" s="1719"/>
      <c r="G140" s="1719"/>
      <c r="H140" s="1719"/>
      <c r="I140" s="1719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19"/>
      <c r="D141" s="1719"/>
      <c r="E141" s="1719"/>
      <c r="F141" s="1719"/>
      <c r="G141" s="1719"/>
      <c r="H141" s="1719"/>
      <c r="I141" s="1719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19"/>
      <c r="D142" s="1719"/>
      <c r="E142" s="1719"/>
      <c r="F142" s="1719"/>
      <c r="G142" s="1719"/>
      <c r="H142" s="1719"/>
      <c r="I142" s="1719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19"/>
      <c r="D143" s="1719"/>
      <c r="E143" s="1719"/>
      <c r="F143" s="1719"/>
      <c r="G143" s="1719"/>
      <c r="H143" s="1719"/>
      <c r="I143" s="1719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2"/>
      <c r="D144" s="1722"/>
      <c r="E144" s="1722"/>
      <c r="F144" s="1722"/>
      <c r="G144" s="1722"/>
      <c r="H144" s="1722"/>
      <c r="I144" s="1722"/>
      <c r="J144" s="855"/>
      <c r="K144" s="855"/>
      <c r="L144" s="855"/>
      <c r="M144" s="856"/>
      <c r="N144" s="856"/>
      <c r="O144" s="855"/>
    </row>
    <row r="145" spans="1:15">
      <c r="A145" s="1723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628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629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630</v>
      </c>
      <c r="H11" s="561">
        <f>'Cash Flow'!E21/Data!C26</f>
        <v>3721216.0329985875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631</v>
      </c>
      <c r="H12" s="561">
        <f>IF(PV(Data!C24/12,Data!C29*12,-(H11/12))&lt;0,0,PV(Data!C24/12,Data!C29*12,-(H11/12)))</f>
        <v>53604007.716429576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632</v>
      </c>
      <c r="H14" s="566">
        <f>IF(H12=0,0,ROUND(H12-50,-2))</f>
        <v>53604000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16391845.026796889</v>
      </c>
    </row>
    <row r="15" spans="2:36">
      <c r="B15" s="556"/>
      <c r="C15" s="560" t="s">
        <v>633</v>
      </c>
      <c r="H15" s="561">
        <f>12*PMT(Data!C24/12,Data!C29*12,-'Debt Calc'!H14)</f>
        <v>3721215.4973203121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1180074.5066810995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634</v>
      </c>
      <c r="E18" s="569" t="s">
        <v>37</v>
      </c>
      <c r="F18" s="569"/>
      <c r="G18" s="569"/>
      <c r="H18" s="569" t="s">
        <v>635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636</v>
      </c>
      <c r="D19" s="569" t="s">
        <v>637</v>
      </c>
      <c r="E19" s="569" t="s">
        <v>440</v>
      </c>
      <c r="F19" s="569" t="s">
        <v>638</v>
      </c>
      <c r="G19" s="569" t="s">
        <v>639</v>
      </c>
      <c r="H19" s="569" t="s">
        <v>637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1180074.5066810995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53604000</v>
      </c>
      <c r="E21" s="561">
        <f>$H$15</f>
        <v>3721215.4973203121</v>
      </c>
      <c r="F21" s="561">
        <f>E21-G21</f>
        <v>0</v>
      </c>
      <c r="G21" s="561">
        <f>D21-H21</f>
        <v>3721215.4973203093</v>
      </c>
      <c r="H21" s="561">
        <f>D21-E21</f>
        <v>49882784.502679691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49882784.502679691</v>
      </c>
      <c r="E22" s="561">
        <f t="shared" ref="E22:E50" si="1">$H$15</f>
        <v>3721215.4973203121</v>
      </c>
      <c r="F22" s="561">
        <f t="shared" ref="F22:F50" si="2">E22-G22</f>
        <v>0</v>
      </c>
      <c r="G22" s="561">
        <f t="shared" ref="G22:G50" si="3">D22-H22</f>
        <v>3721215.4973203093</v>
      </c>
      <c r="H22" s="561">
        <f t="shared" ref="H22:H39" si="4">D22-E22</f>
        <v>46161569.005359381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46161569.005359381</v>
      </c>
      <c r="E23" s="561">
        <f t="shared" si="1"/>
        <v>3721215.4973203121</v>
      </c>
      <c r="F23" s="561">
        <f t="shared" si="2"/>
        <v>0</v>
      </c>
      <c r="G23" s="561">
        <f t="shared" si="3"/>
        <v>3721215.4973203093</v>
      </c>
      <c r="H23" s="561">
        <f t="shared" si="4"/>
        <v>42440353.508039072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42440353.508039072</v>
      </c>
      <c r="E24" s="561">
        <f t="shared" si="1"/>
        <v>3721215.4973203121</v>
      </c>
      <c r="F24" s="561">
        <f t="shared" si="2"/>
        <v>0</v>
      </c>
      <c r="G24" s="561">
        <f t="shared" si="3"/>
        <v>3721215.4973203093</v>
      </c>
      <c r="H24" s="561">
        <f t="shared" si="4"/>
        <v>38719138.010718763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38719138.010718763</v>
      </c>
      <c r="E25" s="561">
        <f t="shared" si="1"/>
        <v>3721215.4973203121</v>
      </c>
      <c r="F25" s="561">
        <f t="shared" si="2"/>
        <v>0</v>
      </c>
      <c r="G25" s="561">
        <f t="shared" si="3"/>
        <v>3721215.4973203093</v>
      </c>
      <c r="H25" s="561">
        <f t="shared" si="4"/>
        <v>34997922.513398454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34997922.513398454</v>
      </c>
      <c r="E26" s="561">
        <f t="shared" si="1"/>
        <v>3721215.4973203121</v>
      </c>
      <c r="F26" s="561">
        <f t="shared" si="2"/>
        <v>0</v>
      </c>
      <c r="G26" s="561">
        <f t="shared" si="3"/>
        <v>3721215.497320313</v>
      </c>
      <c r="H26" s="561">
        <f t="shared" si="4"/>
        <v>31276707.016078141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31276707.016078141</v>
      </c>
      <c r="E27" s="561">
        <f t="shared" si="1"/>
        <v>3721215.4973203121</v>
      </c>
      <c r="F27" s="561">
        <f t="shared" si="2"/>
        <v>0</v>
      </c>
      <c r="G27" s="561">
        <f t="shared" si="3"/>
        <v>3721215.497320313</v>
      </c>
      <c r="H27" s="561">
        <f t="shared" si="4"/>
        <v>27555491.518757828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27555491.518757828</v>
      </c>
      <c r="E28" s="561">
        <f t="shared" si="1"/>
        <v>3721215.4973203121</v>
      </c>
      <c r="F28" s="561">
        <f t="shared" si="2"/>
        <v>0</v>
      </c>
      <c r="G28" s="561">
        <f t="shared" si="3"/>
        <v>3721215.497320313</v>
      </c>
      <c r="H28" s="561">
        <f t="shared" si="4"/>
        <v>23834276.021437515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23834276.021437515</v>
      </c>
      <c r="E29" s="561">
        <f t="shared" si="1"/>
        <v>3721215.4973203121</v>
      </c>
      <c r="F29" s="561">
        <f t="shared" si="2"/>
        <v>0</v>
      </c>
      <c r="G29" s="561">
        <f t="shared" si="3"/>
        <v>3721215.497320313</v>
      </c>
      <c r="H29" s="561">
        <f t="shared" si="4"/>
        <v>20113060.524117202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20113060.524117202</v>
      </c>
      <c r="E30" s="561">
        <f t="shared" si="1"/>
        <v>3721215.4973203121</v>
      </c>
      <c r="F30" s="561">
        <f t="shared" si="2"/>
        <v>0</v>
      </c>
      <c r="G30" s="561">
        <f t="shared" si="3"/>
        <v>3721215.497320313</v>
      </c>
      <c r="H30" s="561">
        <f>D30-E30</f>
        <v>16391845.026796889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16391845.026796889</v>
      </c>
      <c r="E31" s="561">
        <f t="shared" si="1"/>
        <v>3721215.4973203121</v>
      </c>
      <c r="F31" s="561">
        <f t="shared" si="2"/>
        <v>0</v>
      </c>
      <c r="G31" s="561">
        <f t="shared" si="3"/>
        <v>3721215.497320313</v>
      </c>
      <c r="H31" s="561">
        <f t="shared" si="4"/>
        <v>12670629.529476576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12670629.529476576</v>
      </c>
      <c r="E32" s="561">
        <f t="shared" si="1"/>
        <v>3721215.4973203121</v>
      </c>
      <c r="F32" s="561">
        <f t="shared" si="2"/>
        <v>0</v>
      </c>
      <c r="G32" s="561">
        <f t="shared" si="3"/>
        <v>3721215.497320313</v>
      </c>
      <c r="H32" s="561">
        <f t="shared" si="4"/>
        <v>8949414.0321562625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8949414.0321562625</v>
      </c>
      <c r="E33" s="561">
        <f t="shared" si="1"/>
        <v>3721215.4973203121</v>
      </c>
      <c r="F33" s="561">
        <f t="shared" si="2"/>
        <v>0</v>
      </c>
      <c r="G33" s="561">
        <f t="shared" si="3"/>
        <v>3721215.4973203121</v>
      </c>
      <c r="H33" s="561">
        <f t="shared" si="4"/>
        <v>5228198.5348359505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5228198.5348359505</v>
      </c>
      <c r="E34" s="561">
        <f t="shared" si="1"/>
        <v>3721215.4973203121</v>
      </c>
      <c r="F34" s="561">
        <f t="shared" si="2"/>
        <v>0</v>
      </c>
      <c r="G34" s="561">
        <f t="shared" si="3"/>
        <v>3721215.4973203121</v>
      </c>
      <c r="H34" s="561">
        <f t="shared" si="4"/>
        <v>1506983.0375156384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1506983.0375156384</v>
      </c>
      <c r="E35" s="561">
        <f t="shared" si="1"/>
        <v>3721215.4973203121</v>
      </c>
      <c r="F35" s="561">
        <f t="shared" si="2"/>
        <v>0</v>
      </c>
      <c r="G35" s="561">
        <f t="shared" si="3"/>
        <v>3721215.4973203121</v>
      </c>
      <c r="H35" s="561">
        <f t="shared" si="4"/>
        <v>-2214232.4598046737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-2214232.4598046737</v>
      </c>
      <c r="E36" s="561">
        <f t="shared" si="1"/>
        <v>3721215.4973203121</v>
      </c>
      <c r="F36" s="561">
        <f t="shared" si="2"/>
        <v>0</v>
      </c>
      <c r="G36" s="561">
        <f t="shared" si="3"/>
        <v>3721215.4973203121</v>
      </c>
      <c r="H36" s="561">
        <f t="shared" si="4"/>
        <v>-5935447.9571249858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-5935447.9571249858</v>
      </c>
      <c r="E37" s="561">
        <f t="shared" si="1"/>
        <v>3721215.4973203121</v>
      </c>
      <c r="F37" s="561">
        <f t="shared" si="2"/>
        <v>0</v>
      </c>
      <c r="G37" s="561">
        <f t="shared" si="3"/>
        <v>3721215.497320313</v>
      </c>
      <c r="H37" s="561">
        <f t="shared" si="4"/>
        <v>-9656663.4544452988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-9656663.4544452988</v>
      </c>
      <c r="E38" s="561">
        <f t="shared" si="1"/>
        <v>3721215.4973203121</v>
      </c>
      <c r="F38" s="561">
        <f t="shared" si="2"/>
        <v>0</v>
      </c>
      <c r="G38" s="561">
        <f t="shared" si="3"/>
        <v>3721215.497320313</v>
      </c>
      <c r="H38" s="561">
        <f>D38-E38</f>
        <v>-13377878.951765612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-13377878.951765612</v>
      </c>
      <c r="E39" s="561">
        <f t="shared" si="1"/>
        <v>3721215.4973203121</v>
      </c>
      <c r="F39" s="561">
        <f t="shared" si="2"/>
        <v>0</v>
      </c>
      <c r="G39" s="561">
        <f t="shared" si="3"/>
        <v>3721215.497320313</v>
      </c>
      <c r="H39" s="561">
        <f t="shared" si="4"/>
        <v>-17099094.449085925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-17099094.449085925</v>
      </c>
      <c r="E40" s="561">
        <f t="shared" si="1"/>
        <v>3721215.4973203121</v>
      </c>
      <c r="F40" s="561">
        <f t="shared" si="2"/>
        <v>20820309.946406238</v>
      </c>
      <c r="G40" s="561">
        <f t="shared" si="3"/>
        <v>-17099094.449085925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3721215.4973203121</v>
      </c>
      <c r="F41" s="561">
        <f t="shared" si="2"/>
        <v>3721215.4973203121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3721215.4973203121</v>
      </c>
      <c r="F42" s="561">
        <f t="shared" si="2"/>
        <v>3721215.4973203121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3721215.4973203121</v>
      </c>
      <c r="F43" s="561">
        <f t="shared" si="2"/>
        <v>3721215.4973203121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3721215.4973203121</v>
      </c>
      <c r="F44" s="561">
        <f t="shared" si="2"/>
        <v>3721215.4973203121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3721215.4973203121</v>
      </c>
      <c r="F45" s="561">
        <f t="shared" si="2"/>
        <v>3721215.4973203121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3721215.4973203121</v>
      </c>
      <c r="F46" s="561">
        <f t="shared" si="2"/>
        <v>3721215.4973203121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3721215.4973203121</v>
      </c>
      <c r="F47" s="561">
        <f t="shared" si="2"/>
        <v>3721215.4973203121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3721215.4973203121</v>
      </c>
      <c r="F48" s="561">
        <f t="shared" si="2"/>
        <v>3721215.4973203121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3721215.4973203121</v>
      </c>
      <c r="F49" s="561">
        <f t="shared" si="2"/>
        <v>3721215.4973203121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3721215.4973203121</v>
      </c>
      <c r="F50" s="561">
        <f t="shared" si="2"/>
        <v>3721215.4973203121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5" t="s">
        <v>1076</v>
      </c>
      <c r="E54" s="1656"/>
      <c r="F54" s="561"/>
      <c r="G54" s="1657" t="s">
        <v>1087</v>
      </c>
      <c r="H54" s="1658"/>
    </row>
    <row r="55" spans="2:28">
      <c r="D55" s="1654" t="s">
        <v>1063</v>
      </c>
      <c r="E55" s="1663">
        <f>'Cash Flow'!K15/0.05</f>
        <v>137678338.732867</v>
      </c>
      <c r="F55" s="561"/>
      <c r="G55" s="1662" t="s">
        <v>1063</v>
      </c>
      <c r="H55" s="1666">
        <f>'Cash Flow'!N15/0.05</f>
        <v>148264512.24699879</v>
      </c>
    </row>
    <row r="56" spans="2:28">
      <c r="D56" s="1652" t="s">
        <v>1064</v>
      </c>
      <c r="E56" s="1664">
        <f>'Cash Flow'!K21/1.2</f>
        <v>4304593.2472735234</v>
      </c>
      <c r="F56" s="561"/>
      <c r="G56" s="1660" t="s">
        <v>1064</v>
      </c>
      <c r="H56" s="1667">
        <f>'Cash Flow'!N21/1.2</f>
        <v>4627083.4129784293</v>
      </c>
    </row>
    <row r="57" spans="2:28">
      <c r="D57" s="1652" t="s">
        <v>1065</v>
      </c>
      <c r="E57" s="1664">
        <f>E55*0.6</f>
        <v>82607003.239720196</v>
      </c>
      <c r="F57" s="561"/>
      <c r="G57" s="1660" t="s">
        <v>1065</v>
      </c>
      <c r="H57" s="1667">
        <f>H55*0.6</f>
        <v>88958707.348199263</v>
      </c>
    </row>
    <row r="58" spans="2:28">
      <c r="D58" s="1652" t="s">
        <v>1066</v>
      </c>
      <c r="E58" s="1664">
        <f>-PV(6.5%,34,E56)</f>
        <v>58441779.077328809</v>
      </c>
      <c r="F58" s="561"/>
      <c r="G58" s="1660" t="s">
        <v>1066</v>
      </c>
      <c r="H58" s="1667">
        <f>-PV(6.5%,30,H56)</f>
        <v>60423582.680126972</v>
      </c>
    </row>
    <row r="59" spans="2:28">
      <c r="D59" s="1651" t="s">
        <v>1067</v>
      </c>
      <c r="E59" s="1664">
        <f>E58-H27</f>
        <v>30886287.558570981</v>
      </c>
      <c r="F59" s="561"/>
      <c r="G59" s="1659" t="s">
        <v>1067</v>
      </c>
      <c r="H59" s="1667">
        <f>H58-H30</f>
        <v>44031737.653330088</v>
      </c>
    </row>
    <row r="60" spans="2:28" ht="13.5" thickBot="1">
      <c r="D60" s="1653" t="s">
        <v>1068</v>
      </c>
      <c r="E60" s="1665">
        <f>E59*GapCalc!I33</f>
        <v>26253344.424785335</v>
      </c>
      <c r="F60" s="561"/>
      <c r="G60" s="1661" t="s">
        <v>1068</v>
      </c>
      <c r="H60" s="1668">
        <f>H59*GapCalc!I33</f>
        <v>37426977.00533057</v>
      </c>
    </row>
    <row r="61" spans="2:28">
      <c r="E61" s="561"/>
    </row>
    <row r="62" spans="2:28">
      <c r="C62" s="1644"/>
      <c r="E62" s="561"/>
    </row>
    <row r="64" spans="2:28">
      <c r="C64" s="1645"/>
    </row>
    <row r="67" spans="3:8">
      <c r="H67" s="1646"/>
    </row>
    <row r="68" spans="3:8">
      <c r="H68" s="1647"/>
    </row>
    <row r="70" spans="3:8">
      <c r="H70" s="564"/>
    </row>
    <row r="72" spans="3:8">
      <c r="D72" s="1648"/>
      <c r="E72" s="1648"/>
      <c r="F72" s="1648"/>
      <c r="G72" s="1648"/>
      <c r="H72" s="1648"/>
    </row>
    <row r="73" spans="3:8">
      <c r="C73" s="569"/>
      <c r="D73" s="1648"/>
      <c r="E73" s="1648"/>
      <c r="F73" s="1648"/>
      <c r="G73" s="1648"/>
      <c r="H73" s="1648"/>
    </row>
    <row r="74" spans="3:8">
      <c r="C74" s="569"/>
      <c r="D74" s="564"/>
      <c r="E74" s="564"/>
      <c r="F74" s="1649"/>
      <c r="G74" s="564"/>
      <c r="H74" s="564"/>
    </row>
    <row r="75" spans="3:8">
      <c r="C75" s="569"/>
      <c r="D75" s="564"/>
      <c r="E75" s="564"/>
      <c r="F75" s="1649"/>
      <c r="G75" s="564"/>
      <c r="H75" s="564"/>
    </row>
    <row r="76" spans="3:8">
      <c r="C76" s="569"/>
      <c r="D76" s="564"/>
      <c r="E76" s="564"/>
      <c r="F76" s="1649"/>
      <c r="G76" s="564"/>
      <c r="H76" s="564"/>
    </row>
    <row r="77" spans="3:8">
      <c r="C77" s="569"/>
      <c r="D77" s="564"/>
      <c r="E77" s="564"/>
      <c r="F77" s="1649"/>
      <c r="G77" s="564"/>
      <c r="H77" s="564"/>
    </row>
    <row r="78" spans="3:8">
      <c r="C78" s="569"/>
      <c r="D78" s="564"/>
      <c r="E78" s="564"/>
      <c r="F78" s="1649"/>
      <c r="G78" s="564"/>
      <c r="H78" s="564"/>
    </row>
    <row r="79" spans="3:8">
      <c r="C79" s="569"/>
      <c r="D79" s="564"/>
      <c r="E79" s="564"/>
      <c r="F79" s="1649"/>
      <c r="G79" s="564"/>
      <c r="H79" s="564"/>
    </row>
    <row r="80" spans="3:8">
      <c r="C80" s="569"/>
      <c r="D80" s="564"/>
      <c r="E80" s="564"/>
      <c r="F80" s="1649"/>
      <c r="G80" s="564"/>
      <c r="H80" s="564"/>
    </row>
    <row r="81" spans="3:8">
      <c r="C81" s="569"/>
      <c r="D81" s="564"/>
      <c r="E81" s="564"/>
      <c r="F81" s="1649"/>
      <c r="G81" s="564"/>
      <c r="H81" s="564"/>
    </row>
    <row r="82" spans="3:8">
      <c r="C82" s="569"/>
      <c r="D82" s="564"/>
      <c r="E82" s="564"/>
      <c r="F82" s="1649"/>
      <c r="G82" s="564"/>
      <c r="H82" s="564"/>
    </row>
    <row r="83" spans="3:8">
      <c r="C83" s="569"/>
      <c r="D83" s="564"/>
      <c r="E83" s="564"/>
      <c r="F83" s="1649"/>
      <c r="G83" s="564"/>
      <c r="H83" s="564"/>
    </row>
    <row r="84" spans="3:8">
      <c r="C84" s="569"/>
      <c r="D84" s="564"/>
      <c r="E84" s="564"/>
      <c r="F84" s="1649"/>
      <c r="G84" s="564"/>
      <c r="H84" s="564"/>
    </row>
    <row r="85" spans="3:8">
      <c r="C85" s="569"/>
      <c r="D85" s="564"/>
      <c r="E85" s="564"/>
      <c r="F85" s="1649"/>
      <c r="G85" s="564"/>
      <c r="H85" s="564"/>
    </row>
    <row r="86" spans="3:8">
      <c r="C86" s="569"/>
      <c r="D86" s="564"/>
      <c r="E86" s="564"/>
      <c r="F86" s="1649"/>
      <c r="G86" s="564"/>
      <c r="H86" s="564"/>
    </row>
    <row r="87" spans="3:8">
      <c r="C87" s="569"/>
      <c r="D87" s="564"/>
      <c r="E87" s="564"/>
      <c r="F87" s="1649"/>
      <c r="G87" s="564"/>
      <c r="H87" s="564"/>
    </row>
    <row r="88" spans="3:8">
      <c r="C88" s="569"/>
      <c r="D88" s="564"/>
      <c r="E88" s="564"/>
      <c r="F88" s="1649"/>
      <c r="G88" s="564"/>
      <c r="H88" s="564"/>
    </row>
    <row r="89" spans="3:8">
      <c r="C89" s="569"/>
      <c r="D89" s="564"/>
      <c r="E89" s="564"/>
      <c r="F89" s="1649"/>
      <c r="G89" s="564"/>
      <c r="H89" s="564"/>
    </row>
    <row r="90" spans="3:8">
      <c r="C90" s="569"/>
      <c r="D90" s="564"/>
      <c r="E90" s="564"/>
      <c r="F90" s="1649"/>
      <c r="G90" s="564"/>
      <c r="H90" s="564"/>
    </row>
    <row r="91" spans="3:8">
      <c r="C91" s="569"/>
      <c r="D91" s="564"/>
      <c r="E91" s="564"/>
      <c r="F91" s="1649"/>
      <c r="G91" s="564"/>
      <c r="H91" s="564"/>
    </row>
    <row r="92" spans="3:8">
      <c r="C92" s="569"/>
      <c r="D92" s="564"/>
      <c r="E92" s="564"/>
      <c r="F92" s="1649"/>
      <c r="G92" s="564"/>
      <c r="H92" s="564"/>
    </row>
    <row r="93" spans="3:8">
      <c r="C93" s="569"/>
      <c r="D93" s="564"/>
      <c r="E93" s="564"/>
      <c r="F93" s="1649"/>
      <c r="G93" s="564"/>
      <c r="H93" s="564"/>
    </row>
    <row r="94" spans="3:8">
      <c r="C94" s="569"/>
      <c r="D94" s="564"/>
      <c r="E94" s="564"/>
      <c r="F94" s="1649"/>
      <c r="G94" s="564"/>
      <c r="H94" s="564"/>
    </row>
    <row r="95" spans="3:8">
      <c r="C95" s="569"/>
      <c r="D95" s="564"/>
      <c r="E95" s="564"/>
      <c r="F95" s="1649"/>
      <c r="G95" s="564"/>
      <c r="H95" s="564"/>
    </row>
    <row r="96" spans="3:8">
      <c r="C96" s="569"/>
      <c r="D96" s="564"/>
      <c r="E96" s="564"/>
      <c r="F96" s="1649"/>
      <c r="G96" s="564"/>
      <c r="H96" s="564"/>
    </row>
    <row r="97" spans="3:8">
      <c r="C97" s="569"/>
      <c r="D97" s="564"/>
      <c r="E97" s="564"/>
      <c r="F97" s="1649"/>
      <c r="G97" s="564"/>
      <c r="H97" s="564"/>
    </row>
    <row r="98" spans="3:8">
      <c r="C98" s="569"/>
      <c r="D98" s="564"/>
      <c r="E98" s="564"/>
      <c r="F98" s="1649"/>
      <c r="G98" s="564"/>
      <c r="H98" s="564"/>
    </row>
    <row r="99" spans="3:8">
      <c r="C99" s="569"/>
      <c r="D99" s="564"/>
      <c r="E99" s="564"/>
      <c r="F99" s="1649"/>
      <c r="G99" s="564"/>
      <c r="H99" s="564"/>
    </row>
    <row r="100" spans="3:8">
      <c r="C100" s="569"/>
      <c r="D100" s="564"/>
      <c r="E100" s="564"/>
      <c r="F100" s="1649"/>
      <c r="G100" s="564"/>
      <c r="H100" s="564"/>
    </row>
    <row r="101" spans="3:8">
      <c r="C101" s="569"/>
      <c r="D101" s="564"/>
      <c r="E101" s="564"/>
      <c r="F101" s="1649"/>
      <c r="G101" s="564"/>
      <c r="H101" s="564"/>
    </row>
    <row r="102" spans="3:8">
      <c r="C102" s="569"/>
      <c r="D102" s="564"/>
      <c r="E102" s="564"/>
      <c r="F102" s="1649"/>
      <c r="G102" s="564"/>
      <c r="H102" s="564"/>
    </row>
    <row r="103" spans="3:8">
      <c r="C103" s="569"/>
      <c r="D103" s="564"/>
      <c r="E103" s="564"/>
      <c r="F103" s="1649"/>
      <c r="G103" s="564"/>
      <c r="H103" s="564"/>
    </row>
    <row r="104" spans="3:8">
      <c r="C104" s="569"/>
      <c r="D104" s="564"/>
      <c r="E104" s="564"/>
      <c r="F104" s="1649"/>
      <c r="G104" s="564"/>
      <c r="H104" s="564"/>
    </row>
    <row r="105" spans="3:8">
      <c r="C105" s="569"/>
      <c r="D105" s="564"/>
      <c r="E105" s="564"/>
      <c r="F105" s="1649"/>
      <c r="G105" s="564"/>
      <c r="H105" s="564"/>
    </row>
    <row r="106" spans="3:8">
      <c r="C106" s="569"/>
      <c r="D106" s="564"/>
      <c r="E106" s="564"/>
      <c r="F106" s="1649"/>
      <c r="G106" s="564"/>
      <c r="H106" s="564"/>
    </row>
    <row r="107" spans="3:8">
      <c r="C107" s="569"/>
      <c r="D107" s="564"/>
      <c r="E107" s="564"/>
      <c r="F107" s="1649"/>
      <c r="G107" s="564"/>
      <c r="H107" s="564"/>
    </row>
    <row r="108" spans="3:8">
      <c r="C108" s="569"/>
      <c r="D108" s="564"/>
      <c r="E108" s="564"/>
      <c r="F108" s="1649"/>
      <c r="G108" s="564"/>
      <c r="H108" s="564"/>
    </row>
    <row r="109" spans="3:8">
      <c r="C109" s="569"/>
      <c r="D109" s="564"/>
      <c r="E109" s="564"/>
      <c r="F109" s="1649"/>
      <c r="G109" s="564"/>
      <c r="H109" s="564"/>
    </row>
    <row r="110" spans="3:8">
      <c r="C110" s="569"/>
      <c r="D110" s="564"/>
      <c r="E110" s="564"/>
      <c r="F110" s="1649"/>
      <c r="G110" s="564"/>
      <c r="H110" s="564"/>
    </row>
    <row r="111" spans="3:8">
      <c r="C111" s="569"/>
      <c r="D111" s="564"/>
      <c r="E111" s="564"/>
      <c r="F111" s="1649"/>
      <c r="G111" s="564"/>
      <c r="H111" s="564"/>
    </row>
    <row r="112" spans="3:8">
      <c r="C112" s="569"/>
      <c r="D112" s="564"/>
      <c r="E112" s="564"/>
      <c r="F112" s="1649"/>
      <c r="G112" s="564"/>
      <c r="H112" s="564"/>
    </row>
    <row r="113" spans="3:8">
      <c r="C113" s="569"/>
      <c r="D113" s="564"/>
      <c r="E113" s="564"/>
      <c r="F113" s="1649"/>
      <c r="G113" s="564"/>
      <c r="H113" s="564"/>
    </row>
    <row r="114" spans="3:8">
      <c r="C114" s="569"/>
      <c r="D114" s="564"/>
      <c r="E114" s="564"/>
      <c r="F114" s="1649"/>
      <c r="G114" s="564"/>
      <c r="H114" s="564"/>
    </row>
    <row r="115" spans="3:8">
      <c r="C115" s="569"/>
      <c r="D115" s="564"/>
      <c r="E115" s="564"/>
      <c r="F115" s="1649"/>
      <c r="G115" s="564"/>
      <c r="H115" s="564"/>
    </row>
    <row r="116" spans="3:8">
      <c r="C116" s="569"/>
      <c r="D116" s="564"/>
      <c r="E116" s="564"/>
      <c r="F116" s="1649"/>
      <c r="G116" s="564"/>
      <c r="H116" s="564"/>
    </row>
    <row r="117" spans="3:8">
      <c r="C117" s="569"/>
      <c r="D117" s="564"/>
      <c r="E117" s="564"/>
      <c r="F117" s="1649"/>
      <c r="G117" s="564"/>
      <c r="H117" s="564"/>
    </row>
    <row r="118" spans="3:8">
      <c r="C118" s="569"/>
      <c r="D118" s="564"/>
      <c r="E118" s="564"/>
      <c r="F118" s="1649"/>
      <c r="G118" s="564"/>
      <c r="H118" s="564"/>
    </row>
    <row r="119" spans="3:8">
      <c r="C119" s="569"/>
      <c r="D119" s="564"/>
      <c r="E119" s="564"/>
      <c r="F119" s="1649"/>
      <c r="G119" s="564"/>
      <c r="H119" s="564"/>
    </row>
    <row r="120" spans="3:8">
      <c r="C120" s="569"/>
      <c r="D120" s="564"/>
      <c r="E120" s="564"/>
      <c r="F120" s="1649"/>
      <c r="G120" s="564"/>
      <c r="H120" s="564"/>
    </row>
    <row r="121" spans="3:8">
      <c r="C121" s="569"/>
      <c r="D121" s="564"/>
      <c r="E121" s="564"/>
      <c r="F121" s="1649"/>
      <c r="G121" s="564"/>
      <c r="H121" s="564"/>
    </row>
    <row r="122" spans="3:8">
      <c r="C122" s="569"/>
      <c r="D122" s="564"/>
      <c r="E122" s="564"/>
      <c r="F122" s="1649"/>
      <c r="G122" s="564"/>
      <c r="H122" s="564"/>
    </row>
    <row r="123" spans="3:8">
      <c r="C123" s="569"/>
      <c r="D123" s="564"/>
      <c r="E123" s="564"/>
      <c r="F123" s="1649"/>
      <c r="G123" s="564"/>
      <c r="H123" s="564"/>
    </row>
    <row r="124" spans="3:8">
      <c r="C124" s="569"/>
      <c r="D124" s="564"/>
      <c r="E124" s="564"/>
      <c r="F124" s="1649"/>
      <c r="G124" s="564"/>
      <c r="H124" s="564"/>
    </row>
    <row r="125" spans="3:8">
      <c r="C125" s="569"/>
      <c r="D125" s="564"/>
      <c r="E125" s="564"/>
      <c r="F125" s="1649"/>
      <c r="G125" s="564"/>
      <c r="H125" s="564"/>
    </row>
    <row r="126" spans="3:8">
      <c r="C126" s="569"/>
      <c r="D126" s="564"/>
      <c r="E126" s="564"/>
      <c r="F126" s="1649"/>
      <c r="G126" s="564"/>
      <c r="H126" s="564"/>
    </row>
    <row r="127" spans="3:8">
      <c r="C127" s="569"/>
      <c r="D127" s="564"/>
      <c r="E127" s="564"/>
      <c r="F127" s="1649"/>
      <c r="G127" s="564"/>
      <c r="H127" s="564"/>
    </row>
    <row r="128" spans="3:8">
      <c r="C128" s="569"/>
      <c r="D128" s="564"/>
      <c r="E128" s="564"/>
      <c r="F128" s="1649"/>
      <c r="G128" s="564"/>
      <c r="H128" s="564"/>
    </row>
    <row r="129" spans="3:8">
      <c r="C129" s="569"/>
      <c r="D129" s="564"/>
      <c r="E129" s="564"/>
      <c r="F129" s="1649"/>
      <c r="G129" s="564"/>
      <c r="H129" s="564"/>
    </row>
    <row r="130" spans="3:8">
      <c r="C130" s="569"/>
      <c r="D130" s="564"/>
      <c r="E130" s="564"/>
      <c r="F130" s="1649"/>
      <c r="G130" s="564"/>
      <c r="H130" s="564"/>
    </row>
    <row r="131" spans="3:8">
      <c r="C131" s="569"/>
      <c r="D131" s="564"/>
      <c r="E131" s="564"/>
      <c r="F131" s="1649"/>
      <c r="G131" s="564"/>
      <c r="H131" s="564"/>
    </row>
    <row r="132" spans="3:8">
      <c r="C132" s="569"/>
      <c r="D132" s="564"/>
      <c r="E132" s="564"/>
      <c r="F132" s="1649"/>
      <c r="G132" s="564"/>
      <c r="H132" s="564"/>
    </row>
    <row r="133" spans="3:8">
      <c r="C133" s="569"/>
      <c r="D133" s="564"/>
      <c r="E133" s="564"/>
      <c r="F133" s="1649"/>
      <c r="G133" s="564"/>
      <c r="H133" s="564"/>
    </row>
    <row r="134" spans="3:8">
      <c r="C134" s="569"/>
      <c r="D134" s="564"/>
      <c r="E134" s="564"/>
      <c r="F134" s="1649"/>
      <c r="G134" s="564"/>
      <c r="H134" s="564"/>
    </row>
    <row r="135" spans="3:8">
      <c r="C135" s="569"/>
      <c r="D135" s="564"/>
      <c r="E135" s="564"/>
      <c r="F135" s="1649"/>
      <c r="G135" s="564"/>
      <c r="H135" s="564"/>
    </row>
    <row r="136" spans="3:8">
      <c r="C136" s="569"/>
      <c r="D136" s="564"/>
      <c r="E136" s="564"/>
      <c r="F136" s="1649"/>
      <c r="G136" s="564"/>
      <c r="H136" s="564"/>
    </row>
    <row r="137" spans="3:8">
      <c r="C137" s="569"/>
      <c r="D137" s="564"/>
      <c r="E137" s="564"/>
      <c r="F137" s="1649"/>
      <c r="G137" s="564"/>
      <c r="H137" s="564"/>
    </row>
    <row r="138" spans="3:8">
      <c r="C138" s="569"/>
      <c r="D138" s="564"/>
      <c r="E138" s="564"/>
      <c r="F138" s="1649"/>
      <c r="G138" s="564"/>
      <c r="H138" s="564"/>
    </row>
    <row r="139" spans="3:8">
      <c r="C139" s="569"/>
      <c r="D139" s="564"/>
      <c r="E139" s="564"/>
      <c r="F139" s="1649"/>
      <c r="G139" s="564"/>
      <c r="H139" s="564"/>
    </row>
    <row r="140" spans="3:8">
      <c r="C140" s="1650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992</v>
      </c>
    </row>
    <row r="3" spans="1:5">
      <c r="B3" s="1401" t="s">
        <v>972</v>
      </c>
      <c r="C3" s="1415">
        <f>'Development Budget'!E18</f>
        <v>9880000</v>
      </c>
      <c r="D3" s="1402" t="s">
        <v>974</v>
      </c>
      <c r="E3" s="1413">
        <v>1.199398E-2</v>
      </c>
    </row>
    <row r="4" spans="1:5" ht="31.5">
      <c r="B4" s="1403" t="s">
        <v>973</v>
      </c>
      <c r="C4" s="1416">
        <f>SUM('Development Budget'!G31+'Development Budget'!G32)</f>
        <v>44143200</v>
      </c>
      <c r="D4" s="1404" t="s">
        <v>975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976</v>
      </c>
      <c r="C6" s="1402" t="s">
        <v>977</v>
      </c>
      <c r="D6" s="1405" t="s">
        <v>978</v>
      </c>
      <c r="E6" s="1315"/>
    </row>
    <row r="7" spans="1:5">
      <c r="A7" s="1408"/>
      <c r="B7" s="1417">
        <f>C3*E3</f>
        <v>118500.5224</v>
      </c>
      <c r="C7" s="1417">
        <f>C4*E4</f>
        <v>529452.65793600003</v>
      </c>
      <c r="D7" s="1409">
        <f>(1-'Rental Income'!O19)</f>
        <v>0.80132450331125826</v>
      </c>
    </row>
    <row r="8" spans="1:5">
      <c r="A8" s="1410" t="s">
        <v>979</v>
      </c>
      <c r="B8" s="1417">
        <f>B7*D7</f>
        <v>94957.372254304631</v>
      </c>
      <c r="C8" s="1417">
        <f>C7*D7</f>
        <v>424263.38814739074</v>
      </c>
      <c r="D8" s="1411"/>
    </row>
    <row r="9" spans="1:5">
      <c r="A9" s="1408"/>
      <c r="B9" s="1417"/>
      <c r="C9" s="1417"/>
      <c r="D9" s="1411"/>
    </row>
    <row r="10" spans="1:5">
      <c r="A10" s="1412" t="s">
        <v>980</v>
      </c>
      <c r="B10" s="1418">
        <f>SUM(B8:C8)</f>
        <v>519220.76040169538</v>
      </c>
      <c r="C10" s="1418"/>
      <c r="D10" s="1406"/>
    </row>
    <row r="12" spans="1:5">
      <c r="A12" t="s">
        <v>989</v>
      </c>
    </row>
    <row r="13" spans="1:5">
      <c r="A13" t="s">
        <v>990</v>
      </c>
      <c r="B13">
        <v>6</v>
      </c>
      <c r="C13" s="1425">
        <f>C3*(E3/12)*B13</f>
        <v>59250.261200000001</v>
      </c>
    </row>
    <row r="14" spans="1:5">
      <c r="A14" t="s">
        <v>991</v>
      </c>
      <c r="B14">
        <v>24</v>
      </c>
      <c r="C14" s="1425">
        <f>C3*(E3/12)*B14</f>
        <v>237001.0448</v>
      </c>
    </row>
    <row r="15" spans="1:5">
      <c r="A15" s="40" t="s">
        <v>993</v>
      </c>
      <c r="C15" s="1428">
        <f>SUM(C13+C14)</f>
        <v>296251.30599999998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155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151</v>
      </c>
    </row>
    <row r="12" spans="1:5">
      <c r="A12" s="334"/>
    </row>
    <row r="14" spans="1:5">
      <c r="A14" s="46"/>
      <c r="B14" s="47"/>
      <c r="C14" s="47"/>
      <c r="D14" s="49" t="s">
        <v>156</v>
      </c>
      <c r="E14" s="49" t="s">
        <v>157</v>
      </c>
    </row>
    <row r="15" spans="1:5">
      <c r="A15" s="40" t="s">
        <v>158</v>
      </c>
    </row>
    <row r="16" spans="1:5">
      <c r="B16" t="s">
        <v>159</v>
      </c>
      <c r="D16" s="48">
        <f>'Rental Income'!E18*12</f>
        <v>6242820</v>
      </c>
    </row>
    <row r="17" spans="1:25">
      <c r="B17" t="s">
        <v>160</v>
      </c>
      <c r="D17" s="48">
        <v>5580</v>
      </c>
      <c r="Q17" t="s">
        <v>161</v>
      </c>
      <c r="V17" s="799" t="s">
        <v>162</v>
      </c>
      <c r="W17" s="800"/>
      <c r="X17" s="800"/>
      <c r="Y17" s="800"/>
    </row>
    <row r="18" spans="1:25">
      <c r="A18" s="42"/>
      <c r="B18" s="43" t="s">
        <v>163</v>
      </c>
      <c r="C18" s="43"/>
      <c r="D18" s="50">
        <f>SUM(D16:D17)*-F18</f>
        <v>-312420</v>
      </c>
      <c r="E18" s="50"/>
      <c r="F18" s="55">
        <v>0.05</v>
      </c>
    </row>
    <row r="19" spans="1:25">
      <c r="A19" s="40" t="s">
        <v>164</v>
      </c>
      <c r="D19" s="57">
        <f>SUM(D15:D18)</f>
        <v>5935980</v>
      </c>
      <c r="E19" s="48">
        <f>SUM(E15:E18)</f>
        <v>0</v>
      </c>
      <c r="Q19" s="607" t="s">
        <v>165</v>
      </c>
      <c r="R19" s="608"/>
      <c r="S19" s="609"/>
      <c r="T19" s="610" t="s">
        <v>166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166</v>
      </c>
    </row>
    <row r="20" spans="1:25">
      <c r="Q20" s="616"/>
      <c r="R20" s="617" t="s">
        <v>167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1132.5</v>
      </c>
      <c r="Y20" s="688">
        <f>T20/4</f>
        <v>7.5</v>
      </c>
    </row>
    <row r="21" spans="1:25">
      <c r="A21" s="40" t="s">
        <v>168</v>
      </c>
      <c r="Q21" s="568"/>
      <c r="R21" s="623" t="s">
        <v>169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170</v>
      </c>
      <c r="D22" s="48">
        <f>(E22*$D$10+30)/2</f>
        <v>78761.5</v>
      </c>
      <c r="E22" s="48">
        <v>1043</v>
      </c>
      <c r="F22" s="453" t="s">
        <v>171</v>
      </c>
      <c r="N22" s="428">
        <f>D22*0.8</f>
        <v>63009.200000000004</v>
      </c>
      <c r="Q22" s="568"/>
      <c r="R22" s="623" t="s">
        <v>172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23320.44</v>
      </c>
      <c r="Y22" s="688">
        <f>T22/5</f>
        <v>154.44</v>
      </c>
    </row>
    <row r="23" spans="1:25">
      <c r="B23" t="s">
        <v>173</v>
      </c>
      <c r="D23" s="48">
        <f>(E23*$D$10-20)/2</f>
        <v>100707</v>
      </c>
      <c r="E23" s="48">
        <v>1334</v>
      </c>
      <c r="F23" s="453" t="s">
        <v>174</v>
      </c>
      <c r="Q23" s="568"/>
      <c r="R23" s="623" t="s">
        <v>175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176</v>
      </c>
      <c r="D24" s="48">
        <f>E24*$D$10+30</f>
        <v>14073</v>
      </c>
      <c r="E24" s="48">
        <v>93</v>
      </c>
      <c r="F24" s="453" t="s">
        <v>177</v>
      </c>
      <c r="Q24" s="568"/>
      <c r="R24" s="623" t="s">
        <v>178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179</v>
      </c>
      <c r="C25" s="43"/>
      <c r="D25" s="50">
        <f>(0.32*SUM(D22:D24)+18000)</f>
        <v>79933.279999999999</v>
      </c>
      <c r="E25" s="50">
        <v>790</v>
      </c>
      <c r="F25" s="453" t="s">
        <v>180</v>
      </c>
      <c r="Q25" s="568"/>
      <c r="R25" s="623" t="s">
        <v>181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906</v>
      </c>
      <c r="Y25" s="688">
        <f>T25/5</f>
        <v>6</v>
      </c>
    </row>
    <row r="26" spans="1:25">
      <c r="A26" s="40" t="s">
        <v>182</v>
      </c>
      <c r="D26" s="51">
        <f>SUM(D22:D25)</f>
        <v>273474.78000000003</v>
      </c>
      <c r="E26" s="51">
        <f>SUM(E22:E25)</f>
        <v>3260</v>
      </c>
      <c r="Q26" s="568"/>
      <c r="R26" s="623" t="s">
        <v>183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184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185</v>
      </c>
      <c r="Q28" s="568"/>
      <c r="R28" s="623" t="s">
        <v>186</v>
      </c>
      <c r="S28" s="618"/>
      <c r="T28" s="619">
        <v>0</v>
      </c>
      <c r="W28" t="str">
        <f t="shared" si="0"/>
        <v>Communication</v>
      </c>
    </row>
    <row r="29" spans="1:25">
      <c r="B29" t="s">
        <v>187</v>
      </c>
      <c r="D29" s="48">
        <f>E29*$D$10</f>
        <v>28086</v>
      </c>
      <c r="E29" s="48">
        <v>186</v>
      </c>
      <c r="Q29" s="568"/>
      <c r="R29" s="623" t="s">
        <v>188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189</v>
      </c>
      <c r="D30" s="48">
        <f>E30*$D$10</f>
        <v>15100</v>
      </c>
      <c r="E30" s="48">
        <v>100</v>
      </c>
      <c r="Q30" s="628"/>
      <c r="R30" s="629" t="s">
        <v>190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60400</v>
      </c>
      <c r="Y30">
        <v>400</v>
      </c>
    </row>
    <row r="31" spans="1:25">
      <c r="B31" t="s">
        <v>191</v>
      </c>
      <c r="D31" s="48">
        <f>E31*$D$10</f>
        <v>24764</v>
      </c>
      <c r="E31" s="48">
        <v>164</v>
      </c>
      <c r="Q31" s="634"/>
      <c r="R31" s="635" t="s">
        <v>192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140060.04</v>
      </c>
    </row>
    <row r="32" spans="1:25">
      <c r="A32" s="42"/>
      <c r="B32" s="43" t="s">
        <v>193</v>
      </c>
      <c r="C32" s="43"/>
      <c r="D32" s="50">
        <f>E32*$D$10</f>
        <v>4530</v>
      </c>
      <c r="E32" s="50">
        <v>30</v>
      </c>
      <c r="Q32" s="607" t="s">
        <v>194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195</v>
      </c>
      <c r="D33" s="48">
        <f>SUM(D29:D32)</f>
        <v>72480</v>
      </c>
      <c r="E33" s="48">
        <f>SUM(E29:E32)</f>
        <v>480</v>
      </c>
      <c r="Q33" s="568"/>
      <c r="R33" s="623" t="s">
        <v>196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6795</v>
      </c>
      <c r="Y33" s="688">
        <f>T33/6</f>
        <v>45</v>
      </c>
    </row>
    <row r="34" spans="1:25">
      <c r="Q34" s="568"/>
      <c r="R34" s="623" t="s">
        <v>197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17616.666666666668</v>
      </c>
      <c r="Y34" s="688">
        <f>T34/6</f>
        <v>116.66666666666667</v>
      </c>
    </row>
    <row r="35" spans="1:25">
      <c r="A35" s="40" t="s">
        <v>198</v>
      </c>
      <c r="Q35" s="568"/>
      <c r="R35" s="623" t="s">
        <v>199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197</v>
      </c>
      <c r="D36" s="48">
        <f>E36*$D$10</f>
        <v>80030</v>
      </c>
      <c r="E36" s="48">
        <f>285+245</f>
        <v>530</v>
      </c>
      <c r="Q36" s="568"/>
      <c r="R36" s="623" t="s">
        <v>200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6795</v>
      </c>
      <c r="Y36" s="688">
        <f>T36/6</f>
        <v>45</v>
      </c>
    </row>
    <row r="37" spans="1:25">
      <c r="B37" t="s">
        <v>201</v>
      </c>
      <c r="D37" s="48">
        <f>E37*$D$10</f>
        <v>119290</v>
      </c>
      <c r="E37" s="48">
        <v>790</v>
      </c>
      <c r="Q37" s="568"/>
      <c r="R37" s="623" t="s">
        <v>201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18875</v>
      </c>
      <c r="Y37" s="688">
        <f>T37/6</f>
        <v>125</v>
      </c>
    </row>
    <row r="38" spans="1:25">
      <c r="B38" t="s">
        <v>199</v>
      </c>
      <c r="D38" s="48">
        <v>0</v>
      </c>
      <c r="E38" s="48">
        <v>0</v>
      </c>
      <c r="F38" s="505" t="s">
        <v>202</v>
      </c>
      <c r="Q38" s="646"/>
      <c r="R38" s="647" t="s">
        <v>203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200</v>
      </c>
      <c r="D39" s="48">
        <f>E39*$D$10</f>
        <v>63571</v>
      </c>
      <c r="E39" s="48">
        <v>421</v>
      </c>
      <c r="Q39" s="634"/>
      <c r="R39" s="635" t="s">
        <v>192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50081.666666666672</v>
      </c>
    </row>
    <row r="40" spans="1:25">
      <c r="A40" s="42"/>
      <c r="B40" s="43" t="s">
        <v>204</v>
      </c>
      <c r="C40" s="43"/>
      <c r="D40" s="50">
        <f>E40*$D$10</f>
        <v>0</v>
      </c>
      <c r="E40" s="50">
        <v>0</v>
      </c>
      <c r="Q40" s="607" t="s">
        <v>205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206</v>
      </c>
      <c r="D41" s="48">
        <f>SUM(D36:D40)</f>
        <v>262891</v>
      </c>
      <c r="E41" s="48">
        <f>SUM(E36:E40)</f>
        <v>1741</v>
      </c>
      <c r="Q41" s="568"/>
      <c r="R41" s="623" t="s">
        <v>207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208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209</v>
      </c>
      <c r="D43" s="48">
        <f>E43*$D$10</f>
        <v>55719</v>
      </c>
      <c r="E43" s="48">
        <v>369</v>
      </c>
      <c r="F43" t="s">
        <v>210</v>
      </c>
      <c r="Q43" s="568"/>
      <c r="R43" s="623" t="s">
        <v>211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212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213</v>
      </c>
      <c r="D45" s="48">
        <f>E45*$D$10-50</f>
        <v>40116</v>
      </c>
      <c r="E45" s="48">
        <v>266</v>
      </c>
      <c r="Q45" s="568"/>
      <c r="R45" s="623" t="s">
        <v>214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215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216</v>
      </c>
      <c r="Q47" s="568"/>
      <c r="R47" s="623" t="s">
        <v>217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218</v>
      </c>
      <c r="D48" s="48">
        <f>E48*$D$10</f>
        <v>59796</v>
      </c>
      <c r="E48" s="48">
        <v>396</v>
      </c>
      <c r="Q48" s="568"/>
      <c r="R48" s="623" t="s">
        <v>219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220</v>
      </c>
      <c r="D49" s="48">
        <f>E49*$D$10</f>
        <v>20536</v>
      </c>
      <c r="E49" s="48">
        <v>136</v>
      </c>
      <c r="Q49" s="568"/>
      <c r="R49" s="623" t="s">
        <v>221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222</v>
      </c>
      <c r="D50" s="48">
        <f>E50*$D$10</f>
        <v>128350</v>
      </c>
      <c r="E50" s="48">
        <v>850</v>
      </c>
      <c r="I50" s="326"/>
      <c r="Q50" s="568"/>
      <c r="R50" s="623" t="s">
        <v>223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224</v>
      </c>
      <c r="D51" s="48">
        <f>E51*$D$10</f>
        <v>8305</v>
      </c>
      <c r="E51" s="48">
        <v>55</v>
      </c>
      <c r="Q51" s="568"/>
      <c r="R51" s="623" t="s">
        <v>225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226</v>
      </c>
      <c r="D52" s="48">
        <f>(22*110)*12</f>
        <v>29040</v>
      </c>
      <c r="F52" t="s">
        <v>227</v>
      </c>
      <c r="Q52" s="568"/>
      <c r="R52" s="623" t="s">
        <v>228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204</v>
      </c>
      <c r="C53" s="43"/>
      <c r="D53" s="50">
        <f>E53*$D$10</f>
        <v>0</v>
      </c>
      <c r="E53" s="50">
        <v>0</v>
      </c>
      <c r="Q53" s="628"/>
      <c r="R53" s="629" t="s">
        <v>229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230</v>
      </c>
      <c r="D54" s="48">
        <f>SUM(D48:D53)</f>
        <v>246027</v>
      </c>
      <c r="E54" s="48">
        <f>SUM(E48:E53)</f>
        <v>1437</v>
      </c>
      <c r="Q54" s="568"/>
      <c r="R54" s="655" t="s">
        <v>192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231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231</v>
      </c>
      <c r="Q56" s="568"/>
      <c r="R56" s="623" t="s">
        <v>232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519220.76040169538</v>
      </c>
      <c r="Y56" s="1309">
        <f>X56/'Rental Income'!D15</f>
        <v>3438.5480821304332</v>
      </c>
    </row>
    <row r="57" spans="1:25">
      <c r="B57" t="s">
        <v>233</v>
      </c>
      <c r="D57" s="48">
        <f>0.01199398*'Development Budget'!G131</f>
        <v>0</v>
      </c>
      <c r="E57" s="48">
        <v>1500</v>
      </c>
      <c r="F57" t="s">
        <v>234</v>
      </c>
      <c r="H57" s="428"/>
      <c r="Q57" s="568"/>
      <c r="R57" s="623" t="s">
        <v>235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236</v>
      </c>
      <c r="C58" s="43"/>
      <c r="D58" s="50">
        <v>109942.23407999999</v>
      </c>
      <c r="E58" s="50">
        <f>D58/D10</f>
        <v>728.09426543046357</v>
      </c>
      <c r="F58" t="s">
        <v>237</v>
      </c>
      <c r="Q58" s="568"/>
      <c r="R58" s="623" t="s">
        <v>238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239</v>
      </c>
      <c r="D59" s="48">
        <f>SUM(D57:D58)</f>
        <v>109942.23407999999</v>
      </c>
      <c r="E59" s="48">
        <f>SUM(E57:E58)</f>
        <v>2228.0942654304636</v>
      </c>
      <c r="Q59" s="568"/>
      <c r="R59" s="623" t="s">
        <v>240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241</v>
      </c>
      <c r="S60" s="618"/>
      <c r="T60" s="619"/>
      <c r="W60" t="str">
        <f t="shared" si="0"/>
        <v>Trustee Fee</v>
      </c>
    </row>
    <row r="61" spans="1:25">
      <c r="A61" s="40" t="s">
        <v>242</v>
      </c>
      <c r="Q61" s="568"/>
      <c r="R61" s="623" t="s">
        <v>243</v>
      </c>
      <c r="S61" s="618"/>
      <c r="T61" s="619"/>
      <c r="W61" t="str">
        <f t="shared" si="0"/>
        <v>LAHD Issuer Fee</v>
      </c>
    </row>
    <row r="62" spans="1:25">
      <c r="B62" t="s">
        <v>244</v>
      </c>
      <c r="D62" s="48">
        <f>E62*$D$10</f>
        <v>126840</v>
      </c>
      <c r="E62" s="48">
        <v>840</v>
      </c>
      <c r="Q62" s="568"/>
      <c r="R62" s="623" t="s">
        <v>245</v>
      </c>
      <c r="S62" s="618"/>
      <c r="T62" s="619"/>
      <c r="W62" t="str">
        <f t="shared" si="0"/>
        <v>LACDA Monitoring</v>
      </c>
    </row>
    <row r="63" spans="1:25">
      <c r="B63" t="s">
        <v>246</v>
      </c>
      <c r="D63" s="48">
        <v>40000</v>
      </c>
      <c r="E63" s="48">
        <f>D63/D10</f>
        <v>264.9006622516556</v>
      </c>
      <c r="Q63" s="568"/>
      <c r="R63" s="623" t="s">
        <v>247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248</v>
      </c>
      <c r="D64" s="48">
        <v>0</v>
      </c>
      <c r="E64" s="48">
        <v>100</v>
      </c>
      <c r="Q64" s="634"/>
      <c r="R64" s="635" t="s">
        <v>192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591804.89373502869</v>
      </c>
    </row>
    <row r="65" spans="1:25">
      <c r="B65" t="s">
        <v>249</v>
      </c>
      <c r="D65" s="48">
        <f>E65*$D$10</f>
        <v>22650</v>
      </c>
      <c r="E65" s="48">
        <v>150</v>
      </c>
      <c r="Q65" s="664" t="s">
        <v>230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250</v>
      </c>
      <c r="C66" s="43"/>
      <c r="D66" s="50">
        <v>12000</v>
      </c>
      <c r="E66" s="50">
        <v>85</v>
      </c>
      <c r="Q66" s="669"/>
      <c r="R66" s="670" t="s">
        <v>251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252</v>
      </c>
      <c r="D67" s="48">
        <f>SUM(D62:D66)</f>
        <v>201490</v>
      </c>
      <c r="E67" s="48">
        <f>SUM(E62:E66)</f>
        <v>1439.9006622516556</v>
      </c>
      <c r="Q67" s="646"/>
      <c r="R67" s="675" t="s">
        <v>253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254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192</v>
      </c>
      <c r="X68" s="53">
        <f>SUM(X66:X67)</f>
        <v>120000</v>
      </c>
    </row>
    <row r="69" spans="1:25">
      <c r="A69" s="40" t="s">
        <v>124</v>
      </c>
      <c r="D69" s="426">
        <f>E69*$D$10</f>
        <v>45300</v>
      </c>
      <c r="E69" s="426">
        <v>300</v>
      </c>
    </row>
    <row r="70" spans="1:25">
      <c r="V70" s="40" t="s">
        <v>255</v>
      </c>
      <c r="X70" s="1307">
        <f>SUM(X68,X64,X54,X39,X31)</f>
        <v>948187.60040169535</v>
      </c>
      <c r="Y70" s="1307">
        <f>X70/D10</f>
        <v>6279.3880821304328</v>
      </c>
    </row>
    <row r="71" spans="1:25">
      <c r="A71" s="40" t="s">
        <v>256</v>
      </c>
      <c r="D71" s="48">
        <f>E71*$D$10</f>
        <v>75500</v>
      </c>
      <c r="E71" s="48">
        <v>500</v>
      </c>
      <c r="F71" t="s">
        <v>257</v>
      </c>
    </row>
    <row r="73" spans="1:25">
      <c r="A73" s="44" t="s">
        <v>258</v>
      </c>
      <c r="B73" s="44"/>
      <c r="C73" s="44"/>
      <c r="D73" s="52">
        <f>D71+D69+D67+D54+D59+D45+D43+D41+D33+D26</f>
        <v>1382940.0140799999</v>
      </c>
      <c r="E73" s="52">
        <f>E71+E69+E67+E54+E59+E45+E43+E41+E33+E26</f>
        <v>12020.994927682119</v>
      </c>
      <c r="G73" s="147"/>
      <c r="H73">
        <f>('Operating Budget'!D73-'Operating Budget'!D69-'Operating Budget'!D57)*-1</f>
        <v>-1337640.0140799999</v>
      </c>
      <c r="Y73" s="1309">
        <f>Y70-6000</f>
        <v>279.38808213043285</v>
      </c>
    </row>
    <row r="75" spans="1:25">
      <c r="A75" s="44" t="s">
        <v>259</v>
      </c>
      <c r="B75" s="45"/>
      <c r="C75" s="45"/>
      <c r="D75" s="52">
        <f>D19-D73</f>
        <v>4553039.9859199999</v>
      </c>
      <c r="E75" s="52">
        <f>D75/D10</f>
        <v>30152.582688211918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260</v>
      </c>
      <c r="H4">
        <v>110</v>
      </c>
      <c r="I4" t="s">
        <v>261</v>
      </c>
    </row>
    <row r="5" spans="1:10" ht="23.25">
      <c r="A5" s="460"/>
      <c r="H5">
        <f>GapCalc!D12</f>
        <v>147144</v>
      </c>
      <c r="I5" t="s">
        <v>262</v>
      </c>
    </row>
    <row r="6" spans="1:10" ht="16.5" thickBot="1">
      <c r="A6" s="469" t="s">
        <v>263</v>
      </c>
      <c r="B6" s="470" t="s">
        <v>37</v>
      </c>
      <c r="C6" s="471" t="s">
        <v>85</v>
      </c>
      <c r="D6" s="471" t="s">
        <v>86</v>
      </c>
      <c r="E6" s="470" t="s">
        <v>264</v>
      </c>
      <c r="F6" s="470"/>
      <c r="G6" s="470" t="s">
        <v>265</v>
      </c>
      <c r="I6" s="481" t="s">
        <v>266</v>
      </c>
      <c r="J6" s="481" t="s">
        <v>267</v>
      </c>
    </row>
    <row r="7" spans="1:10">
      <c r="A7" s="468" t="s">
        <v>268</v>
      </c>
      <c r="B7" s="465">
        <f>'Development Budget'!G39+'Development Budget'!G46</f>
        <v>55329000</v>
      </c>
      <c r="C7" s="465">
        <f>'Dev Summary_5-20'!B8</f>
        <v>3190331</v>
      </c>
      <c r="D7" s="465">
        <f t="shared" ref="D7:D14" si="0">B7-C7</f>
        <v>52138669</v>
      </c>
      <c r="E7" s="477">
        <f t="shared" ref="E7:E15" si="1">D7/B7</f>
        <v>0.94233890003434007</v>
      </c>
      <c r="F7" s="477"/>
      <c r="G7" s="472" t="e">
        <f t="shared" ref="G7:G14" si="2">B7/$B$15</f>
        <v>#REF!</v>
      </c>
      <c r="I7" s="147">
        <f>B7/$H$4</f>
        <v>502990.90909090912</v>
      </c>
      <c r="J7" s="53">
        <f>B7/$H$5</f>
        <v>376.01940955798403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269</v>
      </c>
      <c r="B9" s="446">
        <f>'Development Budget'!G94+'Development Budget'!G101+'Development Budget'!G102</f>
        <v>248962.66357386723</v>
      </c>
      <c r="C9" s="446">
        <f>'Dev Summary_5-20'!B10</f>
        <v>50000</v>
      </c>
      <c r="D9" s="446">
        <f t="shared" si="0"/>
        <v>198962.66357386723</v>
      </c>
      <c r="E9" s="477">
        <f t="shared" si="1"/>
        <v>0.79916667309769118</v>
      </c>
      <c r="F9" s="477"/>
      <c r="G9" s="473" t="e">
        <f t="shared" si="2"/>
        <v>#REF!</v>
      </c>
      <c r="I9" s="53">
        <f t="shared" si="3"/>
        <v>2263.296941580611</v>
      </c>
      <c r="J9" s="53">
        <f t="shared" si="4"/>
        <v>1.6919661255223946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0.21747403903659002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270</v>
      </c>
      <c r="B12" s="446">
        <f>'Development Budget'!G120</f>
        <v>296251.30599999998</v>
      </c>
      <c r="C12" s="446">
        <f>'Dev Summary_5-20'!B13</f>
        <v>2500000</v>
      </c>
      <c r="D12" s="446">
        <f t="shared" si="0"/>
        <v>-2203748.6940000001</v>
      </c>
      <c r="E12" s="477">
        <f t="shared" si="1"/>
        <v>-7.4387813635495004</v>
      </c>
      <c r="F12" s="477"/>
      <c r="G12" s="473" t="e">
        <f t="shared" si="2"/>
        <v>#REF!</v>
      </c>
      <c r="I12" s="53">
        <f t="shared" si="3"/>
        <v>2693.1936909090909</v>
      </c>
      <c r="J12" s="53">
        <f t="shared" si="4"/>
        <v>2.0133427526776488</v>
      </c>
    </row>
    <row r="13" spans="1:10">
      <c r="A13" s="483" t="s">
        <v>271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272</v>
      </c>
      <c r="B14" s="467">
        <f>'Development Budget'!G90</f>
        <v>2522699</v>
      </c>
      <c r="C14" s="467">
        <f>'Dev Summary_5-20'!B14</f>
        <v>282276.62941911275</v>
      </c>
      <c r="D14" s="467">
        <f t="shared" si="0"/>
        <v>2240422.3705808874</v>
      </c>
      <c r="E14" s="478">
        <f t="shared" si="1"/>
        <v>0.88810530728433612</v>
      </c>
      <c r="F14" s="478"/>
      <c r="G14" s="474" t="e">
        <f t="shared" si="2"/>
        <v>#REF!</v>
      </c>
      <c r="I14" s="53">
        <f t="shared" si="3"/>
        <v>22933.627272727274</v>
      </c>
      <c r="J14" s="53">
        <f t="shared" si="4"/>
        <v>17.144423150111454</v>
      </c>
    </row>
    <row r="15" spans="1:10" ht="16.5" thickTop="1">
      <c r="A15" s="463" t="s">
        <v>59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273</v>
      </c>
    </row>
    <row r="19" spans="1:6" ht="23.25">
      <c r="A19" s="460"/>
    </row>
    <row r="20" spans="1:6" ht="16.5" thickBot="1">
      <c r="A20" s="469" t="s">
        <v>263</v>
      </c>
      <c r="B20" s="470" t="s">
        <v>37</v>
      </c>
      <c r="C20" s="471" t="s">
        <v>85</v>
      </c>
      <c r="D20" s="471" t="s">
        <v>86</v>
      </c>
      <c r="E20" s="470" t="s">
        <v>264</v>
      </c>
      <c r="F20" s="481"/>
    </row>
    <row r="21" spans="1:6">
      <c r="A21" t="str">
        <f>GapCalc!B37</f>
        <v>Permanent Loan</v>
      </c>
      <c r="B21" s="48">
        <f>GapCalc!D37</f>
        <v>61201959.099579386</v>
      </c>
      <c r="C21" s="48">
        <v>18731659</v>
      </c>
      <c r="D21" s="48">
        <f>B21-C21</f>
        <v>42470300.099579386</v>
      </c>
      <c r="E21" s="55">
        <f>D21/B21</f>
        <v>0.69393693803947631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1522054.9534162208</v>
      </c>
      <c r="C28" s="50"/>
      <c r="D28" s="50">
        <f t="shared" si="5"/>
        <v>1522054.9534162208</v>
      </c>
      <c r="E28" s="476">
        <f t="shared" si="6"/>
        <v>1</v>
      </c>
      <c r="F28" s="482"/>
    </row>
    <row r="29" spans="1:6" ht="16.5" thickTop="1">
      <c r="A29" s="451" t="s">
        <v>59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1003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1004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1005</v>
      </c>
      <c r="B3" s="1452" t="s">
        <v>1086</v>
      </c>
      <c r="C3" s="1453"/>
      <c r="D3" s="1453" t="s">
        <v>1006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1007</v>
      </c>
      <c r="B4" s="1456" t="s">
        <v>1008</v>
      </c>
      <c r="C4" s="1457"/>
      <c r="D4" s="1457"/>
      <c r="E4" s="1457" t="s">
        <v>1009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1010</v>
      </c>
      <c r="D5" s="1457"/>
      <c r="E5" s="1457"/>
      <c r="F5" s="1457"/>
      <c r="G5" s="1457"/>
      <c r="H5" s="1457"/>
      <c r="I5" s="1460" t="s">
        <v>1011</v>
      </c>
      <c r="J5" s="1457"/>
      <c r="K5" s="1459"/>
    </row>
    <row r="6" spans="1:11" ht="16.5" thickBot="1">
      <c r="A6" s="1461" t="s">
        <v>1012</v>
      </c>
      <c r="B6" s="1462"/>
      <c r="C6" s="1463">
        <v>20</v>
      </c>
      <c r="D6" s="1462"/>
      <c r="E6" s="1462" t="s">
        <v>1013</v>
      </c>
      <c r="F6" s="1462"/>
      <c r="G6" s="1462"/>
      <c r="H6" s="1464">
        <f>'Development Budget'!G46+'Development Budget'!G47</f>
        <v>60861900</v>
      </c>
      <c r="I6" s="1465"/>
      <c r="J6" s="1466"/>
      <c r="K6" s="1467"/>
    </row>
    <row r="7" spans="1:11">
      <c r="A7" s="1468" t="s">
        <v>1014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1015</v>
      </c>
      <c r="B8" s="1470"/>
      <c r="C8" s="1470"/>
      <c r="D8" s="1473">
        <f>SUM(H6/1000)*0.9+500</f>
        <v>55275.71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1016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49748.139000000003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1017</v>
      </c>
      <c r="B13" s="1470"/>
      <c r="C13" s="1470"/>
      <c r="D13" s="1473">
        <f>SUM(A14+A15+A16)/100*0.415/12*C6</f>
        <v>453089.39166666672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60861900</v>
      </c>
      <c r="B14" s="1470" t="s">
        <v>1018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1019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1020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1021</v>
      </c>
      <c r="B17" s="1470"/>
      <c r="C17" s="1470"/>
      <c r="D17" s="1473">
        <f>SUM(H6/1000)*0.23</f>
        <v>13998.237000000001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1022</v>
      </c>
      <c r="B19" s="1470"/>
      <c r="C19" s="1470"/>
      <c r="D19" s="1473"/>
      <c r="E19" s="1478">
        <f>SUM(D8:D17)</f>
        <v>572111.47766666673</v>
      </c>
      <c r="F19" s="1470"/>
      <c r="G19" s="1479" t="s">
        <v>1023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1024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1025</v>
      </c>
      <c r="B23" s="1491" t="str">
        <f>B3</f>
        <v>St. James UMC</v>
      </c>
      <c r="C23" s="1491"/>
      <c r="D23" s="1491"/>
      <c r="E23" s="1491" t="s">
        <v>1026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1008</v>
      </c>
      <c r="C24" s="1491"/>
      <c r="D24" s="1491"/>
      <c r="E24" s="1491"/>
      <c r="F24" s="1491"/>
      <c r="G24" s="1491"/>
      <c r="H24" s="1491"/>
      <c r="I24" s="1495" t="s">
        <v>1011</v>
      </c>
      <c r="J24" s="1491"/>
      <c r="K24" s="1493"/>
    </row>
    <row r="25" spans="1:11" ht="16.5" thickBot="1">
      <c r="A25" s="1496" t="s">
        <v>1027</v>
      </c>
      <c r="B25" s="1497"/>
      <c r="C25" s="1498">
        <v>50</v>
      </c>
      <c r="D25" s="1497"/>
      <c r="E25" s="1497" t="s">
        <v>1028</v>
      </c>
      <c r="F25" s="1497"/>
      <c r="G25" s="1497"/>
      <c r="H25" s="1499">
        <f>SUM(H6*0.8)</f>
        <v>48689520</v>
      </c>
      <c r="I25" s="1500"/>
      <c r="J25" s="1501"/>
      <c r="K25" s="1502"/>
    </row>
    <row r="26" spans="1:11">
      <c r="A26" s="1503" t="s">
        <v>1014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1015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1016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1029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1030</v>
      </c>
      <c r="B32" s="1505"/>
      <c r="C32" s="1505"/>
      <c r="D32" s="1508">
        <f>SUM(A33+A34+A35)/100*0.135+500</f>
        <v>67486.795880000005</v>
      </c>
      <c r="E32" s="1505" t="s">
        <v>1031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48689520</v>
      </c>
      <c r="B33" s="1505" t="s">
        <v>1032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159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1033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1034</v>
      </c>
      <c r="B36" s="1505"/>
      <c r="C36" s="1505"/>
      <c r="D36" s="1508"/>
      <c r="E36" s="1511">
        <f>SUM(D27:D34)</f>
        <v>74574.295880000005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334</v>
      </c>
    </row>
    <row r="2" spans="1:4">
      <c r="A2" s="503" t="s">
        <v>335</v>
      </c>
    </row>
    <row r="5" spans="1:4">
      <c r="A5" s="46" t="s">
        <v>336</v>
      </c>
      <c r="B5" s="47" t="s">
        <v>337</v>
      </c>
      <c r="C5" s="47" t="s">
        <v>338</v>
      </c>
    </row>
    <row r="6" spans="1:4">
      <c r="A6" s="487" t="s">
        <v>339</v>
      </c>
      <c r="B6" t="s">
        <v>340</v>
      </c>
      <c r="C6" s="493">
        <f>112*0.1</f>
        <v>11.200000000000001</v>
      </c>
    </row>
    <row r="7" spans="1:4">
      <c r="A7" s="487" t="s">
        <v>341</v>
      </c>
      <c r="B7" t="s">
        <v>342</v>
      </c>
      <c r="C7">
        <v>112</v>
      </c>
    </row>
    <row r="8" spans="1:4">
      <c r="A8" s="491" t="s">
        <v>343</v>
      </c>
      <c r="C8">
        <v>20</v>
      </c>
    </row>
    <row r="9" spans="1:4">
      <c r="A9" s="491" t="s">
        <v>344</v>
      </c>
      <c r="C9" s="493">
        <f>(C7-C8)*0.25</f>
        <v>23</v>
      </c>
    </row>
    <row r="10" spans="1:4">
      <c r="A10" s="491" t="s">
        <v>345</v>
      </c>
      <c r="C10" s="493">
        <f>C7-C9-C8</f>
        <v>69</v>
      </c>
    </row>
    <row r="11" spans="1:4">
      <c r="A11" s="492"/>
    </row>
    <row r="12" spans="1:4">
      <c r="A12" s="495" t="s">
        <v>346</v>
      </c>
    </row>
    <row r="13" spans="1:4">
      <c r="A13" s="497" t="s">
        <v>347</v>
      </c>
      <c r="B13" s="46" t="s">
        <v>348</v>
      </c>
    </row>
    <row r="14" spans="1:4">
      <c r="A14" s="492" t="s">
        <v>349</v>
      </c>
      <c r="B14" s="498" t="s">
        <v>350</v>
      </c>
      <c r="C14" s="334"/>
    </row>
    <row r="15" spans="1:4">
      <c r="A15" s="492" t="s">
        <v>351</v>
      </c>
      <c r="B15" s="498" t="s">
        <v>350</v>
      </c>
      <c r="C15" s="334"/>
    </row>
    <row r="16" spans="1:4">
      <c r="A16" s="492" t="s">
        <v>352</v>
      </c>
      <c r="B16" s="496">
        <f>C16*C8</f>
        <v>140000</v>
      </c>
      <c r="C16" s="48">
        <v>7000</v>
      </c>
      <c r="D16" t="s">
        <v>353</v>
      </c>
    </row>
    <row r="17" spans="1:5">
      <c r="A17" s="492" t="s">
        <v>354</v>
      </c>
      <c r="B17" s="496">
        <v>30000</v>
      </c>
      <c r="C17" s="334"/>
      <c r="E17" s="48"/>
    </row>
    <row r="18" spans="1:5" ht="16.5" thickBot="1">
      <c r="A18" s="500" t="s">
        <v>355</v>
      </c>
      <c r="B18" s="501">
        <f>(B16+B17)*0.15</f>
        <v>25500</v>
      </c>
      <c r="C18" s="334"/>
    </row>
    <row r="19" spans="1:5" ht="16.5" thickTop="1">
      <c r="A19" s="502" t="s">
        <v>356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357</v>
      </c>
      <c r="B21" s="334"/>
      <c r="C21" s="334"/>
    </row>
    <row r="22" spans="1:5">
      <c r="A22" s="492" t="s">
        <v>358</v>
      </c>
      <c r="B22" s="334"/>
      <c r="C22" s="334"/>
    </row>
    <row r="23" spans="1:5">
      <c r="A23" s="491" t="s">
        <v>359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360</v>
      </c>
    </row>
    <row r="39" spans="1:2">
      <c r="A39" s="491" t="s">
        <v>361</v>
      </c>
    </row>
    <row r="40" spans="1:2">
      <c r="A40" s="491" t="s">
        <v>362</v>
      </c>
      <c r="B40" s="489" t="s">
        <v>363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364</v>
      </c>
      <c r="B1" s="35"/>
      <c r="C1" s="35"/>
      <c r="D1" s="36"/>
      <c r="E1" s="36"/>
      <c r="F1" s="690"/>
      <c r="G1" s="690"/>
    </row>
    <row r="2" spans="1:7" ht="28.5">
      <c r="A2" s="34" t="s">
        <v>82</v>
      </c>
      <c r="B2" s="35"/>
      <c r="C2" s="35"/>
      <c r="D2" s="36"/>
      <c r="E2" s="36"/>
      <c r="F2" s="690"/>
      <c r="G2" s="690"/>
    </row>
    <row r="3" spans="1:7" ht="15.75">
      <c r="A3" s="455" t="s">
        <v>365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83</v>
      </c>
      <c r="E8" s="33" t="s">
        <v>84</v>
      </c>
      <c r="F8" s="690"/>
      <c r="G8" s="690"/>
    </row>
    <row r="9" spans="1:7">
      <c r="A9" s="3" t="s">
        <v>87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366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88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89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90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91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92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93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94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95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96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97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98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99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100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367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101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102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103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368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107</v>
      </c>
      <c r="B33" s="690"/>
      <c r="C33" s="690"/>
      <c r="D33" s="717"/>
      <c r="E33" s="717"/>
    </row>
    <row r="34" spans="1:5">
      <c r="A34" s="690"/>
      <c r="B34" s="690" t="s">
        <v>108</v>
      </c>
      <c r="C34" s="690"/>
      <c r="D34" s="717"/>
      <c r="E34" s="717">
        <v>1174500.0000000002</v>
      </c>
    </row>
    <row r="35" spans="1:5">
      <c r="A35" s="690"/>
      <c r="B35" s="690" t="s">
        <v>109</v>
      </c>
      <c r="C35" s="690"/>
      <c r="D35" s="717"/>
      <c r="E35" s="717">
        <v>290000</v>
      </c>
    </row>
    <row r="36" spans="1:5">
      <c r="A36" s="690"/>
      <c r="B36" s="690" t="s">
        <v>110</v>
      </c>
      <c r="C36" s="690"/>
      <c r="D36" s="717"/>
      <c r="E36" s="717">
        <v>50000</v>
      </c>
    </row>
    <row r="37" spans="1:5">
      <c r="A37" s="690"/>
      <c r="B37" s="690" t="s">
        <v>111</v>
      </c>
      <c r="C37" s="690"/>
      <c r="D37" s="717"/>
      <c r="E37" s="717">
        <v>15000</v>
      </c>
    </row>
    <row r="38" spans="1:5">
      <c r="A38" s="690"/>
      <c r="B38" s="690" t="s">
        <v>112</v>
      </c>
      <c r="C38" s="690"/>
      <c r="D38" s="717"/>
      <c r="E38" s="717">
        <v>273642</v>
      </c>
    </row>
    <row r="39" spans="1:5">
      <c r="A39" s="690"/>
      <c r="B39" s="690" t="s">
        <v>113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114</v>
      </c>
      <c r="C40" s="731"/>
      <c r="D40" s="732"/>
      <c r="E40" s="732">
        <v>30000</v>
      </c>
    </row>
    <row r="41" spans="1:5" ht="15.75" thickTop="1">
      <c r="A41" s="3" t="s">
        <v>115</v>
      </c>
      <c r="B41" s="690"/>
      <c r="C41" s="690"/>
      <c r="D41" s="717"/>
      <c r="E41" s="39">
        <f>SUM(E34:E40)</f>
        <v>1983142.0000000002</v>
      </c>
    </row>
    <row r="43" spans="1:5">
      <c r="A43" s="3" t="s">
        <v>116</v>
      </c>
      <c r="B43" s="690"/>
      <c r="C43" s="690"/>
      <c r="D43" s="717"/>
      <c r="E43" s="717"/>
    </row>
    <row r="44" spans="1:5">
      <c r="A44" s="690"/>
      <c r="B44" s="690" t="s">
        <v>109</v>
      </c>
      <c r="C44" s="690"/>
      <c r="D44" s="717"/>
      <c r="E44" s="717">
        <v>187316.58838225438</v>
      </c>
    </row>
    <row r="45" spans="1:5">
      <c r="A45" s="690"/>
      <c r="B45" s="690" t="s">
        <v>110</v>
      </c>
      <c r="C45" s="690"/>
      <c r="D45" s="717"/>
      <c r="E45" s="717">
        <v>50000</v>
      </c>
    </row>
    <row r="46" spans="1:5" ht="15.75" thickBot="1">
      <c r="A46" s="731"/>
      <c r="B46" s="731" t="s">
        <v>114</v>
      </c>
      <c r="C46" s="731"/>
      <c r="D46" s="732"/>
      <c r="E46" s="732">
        <v>20000</v>
      </c>
    </row>
    <row r="47" spans="1:5" ht="15.75" thickTop="1">
      <c r="A47" s="3" t="s">
        <v>117</v>
      </c>
      <c r="B47" s="690"/>
      <c r="C47" s="690"/>
      <c r="D47" s="717"/>
      <c r="E47" s="39">
        <f>SUM(E44:E46)</f>
        <v>257316.58838225438</v>
      </c>
    </row>
    <row r="49" spans="1:5">
      <c r="A49" s="3" t="s">
        <v>118</v>
      </c>
      <c r="B49" s="690"/>
      <c r="C49" s="690"/>
      <c r="D49" s="717"/>
      <c r="E49" s="717"/>
    </row>
    <row r="50" spans="1:5">
      <c r="A50" s="690"/>
      <c r="B50" s="690" t="s">
        <v>119</v>
      </c>
      <c r="C50" s="690"/>
      <c r="D50" s="717"/>
      <c r="E50" s="717">
        <v>50000</v>
      </c>
    </row>
    <row r="51" spans="1:5">
      <c r="A51" s="690"/>
      <c r="B51" s="690" t="s">
        <v>120</v>
      </c>
      <c r="C51" s="690"/>
      <c r="D51" s="717"/>
      <c r="E51" s="717">
        <v>50000</v>
      </c>
    </row>
    <row r="52" spans="1:5">
      <c r="A52" s="690"/>
      <c r="B52" s="690" t="s">
        <v>121</v>
      </c>
      <c r="C52" s="690"/>
      <c r="D52" s="717"/>
      <c r="E52" s="717">
        <v>100000</v>
      </c>
    </row>
    <row r="53" spans="1:5" ht="15.75" thickBot="1">
      <c r="A53" s="731"/>
      <c r="B53" s="731" t="s">
        <v>122</v>
      </c>
      <c r="C53" s="731"/>
      <c r="D53" s="732"/>
      <c r="E53" s="732">
        <v>100000</v>
      </c>
    </row>
    <row r="54" spans="1:5" ht="15.75" thickTop="1">
      <c r="A54" s="3" t="s">
        <v>123</v>
      </c>
      <c r="B54" s="690"/>
      <c r="C54" s="690"/>
      <c r="D54" s="717"/>
      <c r="E54" s="39">
        <f>SUM(E50:E53)</f>
        <v>300000</v>
      </c>
    </row>
    <row r="56" spans="1:5">
      <c r="A56" s="3" t="s">
        <v>124</v>
      </c>
      <c r="B56" s="690"/>
      <c r="C56" s="690"/>
      <c r="D56" s="717"/>
      <c r="E56" s="717"/>
    </row>
    <row r="57" spans="1:5">
      <c r="A57" s="690"/>
      <c r="B57" s="690" t="s">
        <v>125</v>
      </c>
      <c r="C57" s="690"/>
      <c r="D57" s="717"/>
      <c r="E57" s="717">
        <v>646848</v>
      </c>
    </row>
    <row r="58" spans="1:5" ht="15.75" thickBot="1">
      <c r="A58" s="731"/>
      <c r="B58" s="731" t="s">
        <v>126</v>
      </c>
      <c r="C58" s="731"/>
      <c r="D58" s="732"/>
      <c r="E58" s="732">
        <v>0</v>
      </c>
    </row>
    <row r="59" spans="1:5" ht="15.75" thickTop="1">
      <c r="A59" s="3" t="s">
        <v>127</v>
      </c>
      <c r="B59" s="690"/>
      <c r="C59" s="690"/>
      <c r="D59" s="717"/>
      <c r="E59" s="39">
        <f>SUM(E57:E58)</f>
        <v>646848</v>
      </c>
    </row>
    <row r="61" spans="1:5">
      <c r="A61" s="3" t="s">
        <v>128</v>
      </c>
      <c r="B61" s="690"/>
      <c r="C61" s="690"/>
      <c r="D61" s="717"/>
      <c r="E61" s="717"/>
    </row>
    <row r="62" spans="1:5">
      <c r="A62" s="690"/>
      <c r="B62" s="690" t="s">
        <v>129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130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131</v>
      </c>
      <c r="B64" s="690"/>
      <c r="C64" s="690"/>
      <c r="D64" s="717"/>
      <c r="E64" s="39">
        <f>SUM(E62:E63)</f>
        <v>5455553.7294191131</v>
      </c>
    </row>
    <row r="66" spans="1:5">
      <c r="A66" s="3" t="s">
        <v>132</v>
      </c>
      <c r="B66" s="690"/>
      <c r="C66" s="690"/>
      <c r="D66" s="717"/>
      <c r="E66" s="717"/>
    </row>
    <row r="67" spans="1:5">
      <c r="A67" s="690"/>
      <c r="B67" s="690" t="s">
        <v>133</v>
      </c>
      <c r="C67" s="690"/>
      <c r="D67" s="717"/>
      <c r="E67" s="717">
        <v>50000</v>
      </c>
    </row>
    <row r="68" spans="1:5">
      <c r="A68" s="690"/>
      <c r="B68" s="690" t="s">
        <v>369</v>
      </c>
      <c r="C68" s="690"/>
      <c r="D68" s="717"/>
      <c r="E68" s="717">
        <v>1245385</v>
      </c>
    </row>
    <row r="69" spans="1:5">
      <c r="A69" s="690"/>
      <c r="B69" s="690" t="s">
        <v>134</v>
      </c>
      <c r="C69" s="690"/>
      <c r="D69" s="717"/>
      <c r="E69" s="717">
        <v>75000</v>
      </c>
    </row>
    <row r="70" spans="1:5">
      <c r="A70" s="690"/>
      <c r="B70" s="690" t="s">
        <v>370</v>
      </c>
      <c r="C70" s="690"/>
      <c r="D70" s="717"/>
      <c r="E70" s="717">
        <v>90000</v>
      </c>
    </row>
    <row r="71" spans="1:5">
      <c r="A71" s="690"/>
      <c r="B71" s="690" t="s">
        <v>136</v>
      </c>
      <c r="C71" s="690"/>
      <c r="D71" s="717"/>
      <c r="E71" s="717">
        <v>15000</v>
      </c>
    </row>
    <row r="72" spans="1:5">
      <c r="A72" s="690"/>
      <c r="B72" s="690" t="s">
        <v>138</v>
      </c>
      <c r="C72" s="690"/>
      <c r="D72" s="717"/>
      <c r="E72" s="717">
        <v>50000</v>
      </c>
    </row>
    <row r="73" spans="1:5">
      <c r="A73" s="690"/>
      <c r="B73" s="690" t="s">
        <v>140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141</v>
      </c>
      <c r="C74" s="690"/>
      <c r="D74" s="717"/>
      <c r="E74" s="717">
        <v>243341</v>
      </c>
    </row>
    <row r="75" spans="1:5">
      <c r="A75" s="690"/>
      <c r="B75" s="690" t="s">
        <v>142</v>
      </c>
      <c r="C75" s="690"/>
      <c r="D75" s="717"/>
      <c r="E75" s="717">
        <v>100000</v>
      </c>
    </row>
    <row r="76" spans="1:5">
      <c r="A76" s="690"/>
      <c r="B76" s="690" t="s">
        <v>143</v>
      </c>
      <c r="C76" s="690"/>
      <c r="D76" s="717"/>
      <c r="E76" s="717">
        <v>30000</v>
      </c>
    </row>
    <row r="77" spans="1:5">
      <c r="A77" s="690"/>
      <c r="B77" s="690" t="s">
        <v>146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371</v>
      </c>
      <c r="C78" s="731"/>
      <c r="D78" s="732"/>
      <c r="E78" s="732">
        <v>145000</v>
      </c>
    </row>
    <row r="79" spans="1:5" ht="15.75" thickTop="1">
      <c r="A79" s="3" t="s">
        <v>149</v>
      </c>
      <c r="B79" s="690"/>
      <c r="C79" s="690"/>
      <c r="D79" s="717"/>
      <c r="E79" s="39">
        <f>SUM(E67:E78)</f>
        <v>2333226</v>
      </c>
    </row>
    <row r="81" spans="1:5">
      <c r="A81" s="3" t="s">
        <v>150</v>
      </c>
      <c r="B81" s="690"/>
      <c r="C81" s="690"/>
      <c r="D81" s="717"/>
      <c r="E81" s="717"/>
    </row>
    <row r="82" spans="1:5" ht="15.75" thickBot="1">
      <c r="A82" s="731"/>
      <c r="B82" s="731" t="s">
        <v>151</v>
      </c>
      <c r="C82" s="731"/>
      <c r="D82" s="732"/>
      <c r="E82" s="732">
        <v>2500000</v>
      </c>
    </row>
    <row r="83" spans="1:5" ht="15.75" thickTop="1">
      <c r="A83" s="3" t="s">
        <v>152</v>
      </c>
      <c r="B83" s="690"/>
      <c r="C83" s="690"/>
      <c r="D83" s="717"/>
      <c r="E83" s="39">
        <f>SUM(E82)</f>
        <v>2500000</v>
      </c>
    </row>
    <row r="85" spans="1:5">
      <c r="A85" s="37" t="s">
        <v>153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154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364</v>
      </c>
    </row>
    <row r="2" spans="1:3">
      <c r="A2" t="s">
        <v>0</v>
      </c>
    </row>
    <row r="3" spans="1:3">
      <c r="A3" s="455" t="s">
        <v>365</v>
      </c>
    </row>
    <row r="4" spans="1:3">
      <c r="A4" s="455"/>
    </row>
    <row r="5" spans="1:3">
      <c r="A5" s="455"/>
    </row>
    <row r="7" spans="1:3">
      <c r="A7" t="s">
        <v>263</v>
      </c>
      <c r="B7" t="s">
        <v>37</v>
      </c>
      <c r="C7" t="s">
        <v>265</v>
      </c>
    </row>
    <row r="8" spans="1:3">
      <c r="A8" t="s">
        <v>268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269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372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270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272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59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373</v>
      </c>
      <c r="C1" s="53"/>
      <c r="D1" s="53"/>
    </row>
    <row r="2" spans="1:5">
      <c r="A2" t="s">
        <v>374</v>
      </c>
      <c r="C2" s="53"/>
      <c r="D2" s="53"/>
    </row>
    <row r="3" spans="1:5">
      <c r="A3" s="455" t="s">
        <v>365</v>
      </c>
    </row>
    <row r="4" spans="1:5">
      <c r="A4" s="455"/>
    </row>
    <row r="5" spans="1:5">
      <c r="A5" t="s">
        <v>1</v>
      </c>
      <c r="C5" s="53" t="s">
        <v>373</v>
      </c>
      <c r="D5" s="53"/>
    </row>
    <row r="6" spans="1:5">
      <c r="A6" t="s">
        <v>2</v>
      </c>
      <c r="C6" s="53" t="s">
        <v>375</v>
      </c>
      <c r="D6" s="53"/>
    </row>
    <row r="7" spans="1:5">
      <c r="A7" t="s">
        <v>4</v>
      </c>
      <c r="C7" s="53" t="s">
        <v>376</v>
      </c>
      <c r="D7" s="53"/>
    </row>
    <row r="8" spans="1:5">
      <c r="A8" t="s">
        <v>6</v>
      </c>
      <c r="C8" s="53" t="s">
        <v>377</v>
      </c>
      <c r="D8" s="53"/>
    </row>
    <row r="9" spans="1:5">
      <c r="A9" t="s">
        <v>8</v>
      </c>
      <c r="C9" s="53" t="s">
        <v>378</v>
      </c>
      <c r="D9" s="53"/>
    </row>
    <row r="10" spans="1:5">
      <c r="A10" t="s">
        <v>379</v>
      </c>
      <c r="C10">
        <v>110</v>
      </c>
      <c r="D10" s="53"/>
    </row>
    <row r="11" spans="1:5">
      <c r="C11" s="53"/>
      <c r="D11" s="53"/>
    </row>
    <row r="13" spans="1:5">
      <c r="A13" t="s">
        <v>380</v>
      </c>
      <c r="D13" t="s">
        <v>381</v>
      </c>
      <c r="E13" t="s">
        <v>382</v>
      </c>
    </row>
    <row r="14" spans="1:5">
      <c r="A14" t="s">
        <v>87</v>
      </c>
      <c r="C14" s="53"/>
      <c r="D14" s="53"/>
    </row>
    <row r="15" spans="1:5">
      <c r="B15" t="s">
        <v>383</v>
      </c>
      <c r="C15" s="53"/>
      <c r="D15" s="53">
        <v>0</v>
      </c>
      <c r="E15" s="53">
        <v>0</v>
      </c>
    </row>
    <row r="16" spans="1:5">
      <c r="A16" t="s">
        <v>384</v>
      </c>
      <c r="C16" s="53"/>
      <c r="D16" s="53"/>
    </row>
    <row r="17" spans="1:13">
      <c r="B17" t="s">
        <v>385</v>
      </c>
      <c r="C17" s="53"/>
      <c r="D17" s="53">
        <v>815000</v>
      </c>
      <c r="E17" s="53">
        <v>7409.090909090909</v>
      </c>
      <c r="H17" s="53">
        <v>233272</v>
      </c>
      <c r="I17" s="53" t="s">
        <v>386</v>
      </c>
      <c r="J17" s="53"/>
      <c r="K17" s="53"/>
      <c r="L17" s="53"/>
      <c r="M17" s="53"/>
    </row>
    <row r="18" spans="1:13">
      <c r="B18" t="s">
        <v>387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388</v>
      </c>
      <c r="J18" s="53"/>
      <c r="K18" s="53"/>
      <c r="L18" s="53"/>
      <c r="M18" s="53"/>
    </row>
    <row r="19" spans="1:13">
      <c r="B19" t="s">
        <v>389</v>
      </c>
      <c r="C19" s="53"/>
      <c r="D19" s="53">
        <v>580966</v>
      </c>
      <c r="E19" s="53">
        <v>5281.5090909090914</v>
      </c>
      <c r="H19">
        <v>597306</v>
      </c>
      <c r="I19" t="s">
        <v>390</v>
      </c>
      <c r="J19" s="53"/>
      <c r="K19" s="53"/>
      <c r="L19" s="53"/>
      <c r="M19" s="53"/>
    </row>
    <row r="20" spans="1:13">
      <c r="B20" t="s">
        <v>391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392</v>
      </c>
      <c r="J20" s="53"/>
      <c r="K20" s="53"/>
      <c r="L20" s="53"/>
      <c r="M20" s="53"/>
    </row>
    <row r="21" spans="1:13">
      <c r="B21" t="s">
        <v>393</v>
      </c>
      <c r="C21" s="53"/>
      <c r="D21" s="53">
        <v>69798.3</v>
      </c>
      <c r="E21" s="53">
        <v>634.53</v>
      </c>
      <c r="H21" s="53">
        <v>95978</v>
      </c>
      <c r="I21" t="s">
        <v>394</v>
      </c>
      <c r="J21" s="53"/>
      <c r="K21" s="53"/>
      <c r="L21" s="53"/>
      <c r="M21" s="53"/>
    </row>
    <row r="22" spans="1:13">
      <c r="B22" s="458" t="s">
        <v>395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396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397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105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398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399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400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401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402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403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404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405</v>
      </c>
      <c r="C33" s="53"/>
      <c r="D33" s="53"/>
      <c r="H33" s="53"/>
    </row>
    <row r="34" spans="1:8">
      <c r="B34" t="s">
        <v>406</v>
      </c>
      <c r="C34" s="53"/>
      <c r="D34" s="53">
        <v>0</v>
      </c>
      <c r="E34" s="53">
        <v>0</v>
      </c>
    </row>
    <row r="35" spans="1:8">
      <c r="B35" t="s">
        <v>407</v>
      </c>
      <c r="C35" s="53"/>
      <c r="D35" s="53">
        <v>0</v>
      </c>
      <c r="E35" s="53">
        <v>0</v>
      </c>
    </row>
    <row r="36" spans="1:8">
      <c r="B36" t="s">
        <v>408</v>
      </c>
      <c r="C36" s="53"/>
      <c r="D36" s="53">
        <v>0</v>
      </c>
      <c r="E36" s="53">
        <v>0</v>
      </c>
    </row>
    <row r="37" spans="1:8">
      <c r="A37" t="s">
        <v>409</v>
      </c>
      <c r="C37" s="53"/>
      <c r="D37" s="53"/>
    </row>
    <row r="38" spans="1:8">
      <c r="B38" s="459" t="s">
        <v>136</v>
      </c>
      <c r="C38" s="53"/>
      <c r="D38" s="53">
        <v>15000</v>
      </c>
      <c r="E38" s="53">
        <v>136.36363636363637</v>
      </c>
    </row>
    <row r="39" spans="1:8">
      <c r="B39" s="459" t="s">
        <v>137</v>
      </c>
      <c r="C39" s="53"/>
      <c r="D39" s="53">
        <v>10000</v>
      </c>
      <c r="E39" s="53">
        <v>90.909090909090907</v>
      </c>
    </row>
    <row r="40" spans="1:8">
      <c r="A40" t="s">
        <v>410</v>
      </c>
      <c r="C40" s="53"/>
      <c r="D40" s="53"/>
    </row>
    <row r="41" spans="1:8">
      <c r="B41" t="s">
        <v>411</v>
      </c>
      <c r="C41" s="53"/>
      <c r="D41" s="53">
        <v>50000</v>
      </c>
      <c r="E41" s="53">
        <v>454.54545454545456</v>
      </c>
    </row>
    <row r="42" spans="1:8">
      <c r="B42" t="s">
        <v>412</v>
      </c>
      <c r="C42" s="53"/>
      <c r="D42" s="53">
        <v>311346.25</v>
      </c>
      <c r="E42" s="53">
        <v>2830.4204545454545</v>
      </c>
    </row>
    <row r="43" spans="1:8">
      <c r="B43" t="s">
        <v>413</v>
      </c>
      <c r="C43" s="53"/>
      <c r="D43" s="53">
        <v>435884.75</v>
      </c>
      <c r="E43" s="53">
        <v>3962.5886363636364</v>
      </c>
    </row>
    <row r="44" spans="1:8">
      <c r="B44" t="s">
        <v>414</v>
      </c>
      <c r="C44" s="53"/>
      <c r="D44" s="53">
        <v>50000</v>
      </c>
      <c r="E44" s="53">
        <v>454.54545454545456</v>
      </c>
    </row>
    <row r="45" spans="1:8">
      <c r="B45" t="s">
        <v>135</v>
      </c>
      <c r="C45" s="53"/>
      <c r="D45" s="53">
        <v>60000</v>
      </c>
      <c r="E45" s="53">
        <v>545.4545454545455</v>
      </c>
    </row>
    <row r="46" spans="1:8">
      <c r="B46" t="s">
        <v>147</v>
      </c>
      <c r="C46" s="53"/>
      <c r="D46" s="53">
        <v>156250</v>
      </c>
      <c r="E46" s="53">
        <v>1420.4545454545455</v>
      </c>
    </row>
    <row r="47" spans="1:8">
      <c r="B47" t="s">
        <v>415</v>
      </c>
      <c r="C47" s="53"/>
      <c r="D47" s="53">
        <v>50000</v>
      </c>
      <c r="E47" s="53">
        <v>454.54545454545456</v>
      </c>
    </row>
    <row r="48" spans="1:8">
      <c r="B48" t="s">
        <v>416</v>
      </c>
      <c r="C48" s="53"/>
      <c r="D48" s="53">
        <v>35000</v>
      </c>
      <c r="E48" s="53">
        <v>318.18181818181819</v>
      </c>
    </row>
    <row r="49" spans="1:8">
      <c r="B49" t="s">
        <v>417</v>
      </c>
      <c r="C49" s="53"/>
      <c r="D49" s="53">
        <v>10000</v>
      </c>
      <c r="E49" s="53">
        <v>90.909090909090907</v>
      </c>
    </row>
    <row r="50" spans="1:8">
      <c r="A50" t="s">
        <v>150</v>
      </c>
      <c r="C50" s="53"/>
      <c r="D50" s="53"/>
      <c r="E50" s="53">
        <v>0</v>
      </c>
    </row>
    <row r="51" spans="1:8">
      <c r="B51" t="s">
        <v>145</v>
      </c>
      <c r="C51" s="53"/>
      <c r="D51" s="53">
        <v>10000</v>
      </c>
      <c r="E51" s="53">
        <v>90.909090909090907</v>
      </c>
    </row>
    <row r="52" spans="1:8">
      <c r="B52" t="s">
        <v>143</v>
      </c>
      <c r="C52" s="53"/>
      <c r="D52" s="53">
        <v>12000</v>
      </c>
      <c r="E52" s="53">
        <v>109.09090909090909</v>
      </c>
    </row>
    <row r="53" spans="1:8">
      <c r="A53" t="s">
        <v>418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419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420</v>
      </c>
      <c r="D57" t="s">
        <v>381</v>
      </c>
      <c r="E57" t="s">
        <v>382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421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422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423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424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270</v>
      </c>
      <c r="D74" s="53">
        <v>22000</v>
      </c>
      <c r="E74" s="454">
        <v>2.1372149166411889E-3</v>
      </c>
    </row>
    <row r="75" spans="1:5">
      <c r="B75" t="s">
        <v>130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373</v>
      </c>
      <c r="B1" s="181"/>
      <c r="C1" s="182"/>
      <c r="D1" s="182"/>
      <c r="E1" s="183"/>
    </row>
    <row r="2" spans="1:13" ht="21">
      <c r="A2" s="181" t="s">
        <v>374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373</v>
      </c>
    </row>
    <row r="5" spans="1:13">
      <c r="A5" s="63" t="str">
        <f>'Development Budget'!D5</f>
        <v>Housing Type:</v>
      </c>
      <c r="C5" s="162" t="s">
        <v>375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379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380</v>
      </c>
      <c r="B12" s="166"/>
      <c r="C12" s="166"/>
      <c r="D12" s="184" t="s">
        <v>381</v>
      </c>
      <c r="E12" s="189" t="s">
        <v>382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87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383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384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385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386</v>
      </c>
      <c r="J16" s="742"/>
      <c r="K16" s="742"/>
      <c r="L16" s="742"/>
      <c r="M16" s="742"/>
    </row>
    <row r="17" spans="1:13" s="164" customFormat="1" ht="15">
      <c r="A17" s="186"/>
      <c r="B17" s="168" t="s">
        <v>387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388</v>
      </c>
      <c r="J17" s="742"/>
      <c r="K17" s="742"/>
      <c r="L17" s="742"/>
      <c r="M17" s="742"/>
    </row>
    <row r="18" spans="1:13" s="164" customFormat="1" ht="15">
      <c r="A18" s="186"/>
      <c r="B18" s="168" t="s">
        <v>389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390</v>
      </c>
      <c r="J18" s="742"/>
      <c r="K18" s="742"/>
      <c r="L18" s="742"/>
      <c r="M18" s="742"/>
    </row>
    <row r="19" spans="1:13" s="164" customFormat="1" ht="15">
      <c r="A19" s="186"/>
      <c r="B19" s="168" t="s">
        <v>391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392</v>
      </c>
      <c r="J19" s="742"/>
      <c r="K19" s="742"/>
      <c r="L19" s="742"/>
      <c r="M19" s="742"/>
    </row>
    <row r="20" spans="1:13" s="164" customFormat="1" ht="15">
      <c r="A20" s="186"/>
      <c r="B20" s="176" t="s">
        <v>393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394</v>
      </c>
      <c r="J20" s="742"/>
      <c r="K20" s="742"/>
      <c r="L20" s="742"/>
      <c r="M20" s="742"/>
    </row>
    <row r="21" spans="1:13" s="164" customFormat="1" ht="15">
      <c r="A21" s="186"/>
      <c r="B21" s="177" t="s">
        <v>395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396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397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105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398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399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400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401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402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403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404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405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406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407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408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409</v>
      </c>
      <c r="B36" s="690"/>
      <c r="C36" s="740"/>
      <c r="D36" s="740"/>
      <c r="E36" s="739"/>
    </row>
    <row r="37" spans="1:5" s="164" customFormat="1" ht="15">
      <c r="A37" s="186"/>
      <c r="B37" s="178" t="s">
        <v>136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137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410</v>
      </c>
      <c r="B39" s="690"/>
      <c r="C39" s="740"/>
      <c r="D39" s="740"/>
      <c r="E39" s="739"/>
    </row>
    <row r="40" spans="1:5" s="164" customFormat="1" ht="15">
      <c r="A40" s="186"/>
      <c r="B40" s="168" t="s">
        <v>411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412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413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414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135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147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415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416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417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150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145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143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418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419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420</v>
      </c>
      <c r="B56" s="165"/>
      <c r="C56" s="165"/>
      <c r="D56" s="184" t="s">
        <v>381</v>
      </c>
      <c r="E56" s="189" t="s">
        <v>382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421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422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423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424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270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130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454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59" t="s">
        <v>455</v>
      </c>
      <c r="B5" s="1760"/>
      <c r="C5" s="1760"/>
      <c r="D5" s="350"/>
      <c r="E5" s="350" t="s">
        <v>456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457</v>
      </c>
      <c r="Q5" s="350" t="s">
        <v>458</v>
      </c>
      <c r="R5" s="350"/>
      <c r="S5" s="350"/>
      <c r="T5" s="350"/>
      <c r="U5" s="350"/>
      <c r="V5" s="350"/>
      <c r="W5" s="350"/>
      <c r="X5" s="350"/>
      <c r="Y5" s="350" t="s">
        <v>59</v>
      </c>
    </row>
    <row r="6" spans="1:25" s="138" customFormat="1" ht="15">
      <c r="A6" s="1761"/>
      <c r="B6" s="1762"/>
      <c r="C6" s="1762"/>
      <c r="D6" s="399" t="s">
        <v>459</v>
      </c>
      <c r="E6" s="400" t="s">
        <v>460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387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389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391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393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395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396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397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105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398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399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400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401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402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403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462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405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406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407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408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409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136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137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410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411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412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413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414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135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463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415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416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417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150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145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143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464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419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465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466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467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421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422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468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59" t="s">
        <v>469</v>
      </c>
      <c r="B5" s="1760"/>
      <c r="C5" s="1760"/>
      <c r="D5" s="350"/>
      <c r="E5" s="350" t="s">
        <v>470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471</v>
      </c>
      <c r="X5" s="350"/>
      <c r="Y5" s="350" t="s">
        <v>59</v>
      </c>
    </row>
    <row r="6" spans="1:25" s="138" customFormat="1" ht="15">
      <c r="A6" s="1761"/>
      <c r="B6" s="1762"/>
      <c r="C6" s="1762"/>
      <c r="D6" s="399" t="s">
        <v>459</v>
      </c>
      <c r="E6" s="399" t="s">
        <v>472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'Development Budget'!G40</f>
        <v>662148</v>
      </c>
      <c r="E10" s="748">
        <f>'PreDev Flow of Funds'!Y10+'PreDev Flow of Funds'!Y12</f>
        <v>1395966</v>
      </c>
      <c r="F10" s="748">
        <f>(D10-E10)/18</f>
        <v>-40767.666666666664</v>
      </c>
      <c r="G10" s="748">
        <f>$F$10</f>
        <v>-40767.666666666664</v>
      </c>
      <c r="H10" s="748">
        <f t="shared" ref="H10:W10" si="2">$F$10</f>
        <v>-40767.666666666664</v>
      </c>
      <c r="I10" s="748">
        <f t="shared" si="2"/>
        <v>-40767.666666666664</v>
      </c>
      <c r="J10" s="748">
        <f t="shared" si="2"/>
        <v>-40767.666666666664</v>
      </c>
      <c r="K10" s="748">
        <f t="shared" si="2"/>
        <v>-40767.666666666664</v>
      </c>
      <c r="L10" s="748">
        <f t="shared" si="2"/>
        <v>-40767.666666666664</v>
      </c>
      <c r="M10" s="748">
        <f t="shared" si="2"/>
        <v>-40767.666666666664</v>
      </c>
      <c r="N10" s="748">
        <f t="shared" si="2"/>
        <v>-40767.666666666664</v>
      </c>
      <c r="O10" s="748">
        <f t="shared" si="2"/>
        <v>-40767.666666666664</v>
      </c>
      <c r="P10" s="748">
        <f t="shared" si="2"/>
        <v>-40767.666666666664</v>
      </c>
      <c r="Q10" s="748">
        <f t="shared" si="2"/>
        <v>-40767.666666666664</v>
      </c>
      <c r="R10" s="748">
        <f t="shared" si="2"/>
        <v>-40767.666666666664</v>
      </c>
      <c r="S10" s="748">
        <f t="shared" si="2"/>
        <v>-40767.666666666664</v>
      </c>
      <c r="T10" s="748">
        <f t="shared" si="2"/>
        <v>-40767.666666666664</v>
      </c>
      <c r="U10" s="748">
        <f t="shared" si="2"/>
        <v>-40767.666666666664</v>
      </c>
      <c r="V10" s="748">
        <f t="shared" si="2"/>
        <v>-40767.666666666664</v>
      </c>
      <c r="W10" s="748">
        <f t="shared" si="2"/>
        <v>-40767.666666666664</v>
      </c>
      <c r="X10" s="748"/>
      <c r="Y10" s="748">
        <f>SUM(E10:W10)</f>
        <v>662147.99999999977</v>
      </c>
    </row>
    <row r="11" spans="1:25" ht="15">
      <c r="A11" s="402"/>
      <c r="B11" s="403" t="s">
        <v>387</v>
      </c>
      <c r="C11" s="748"/>
      <c r="D11" s="748">
        <f>'Development Budget'!G41</f>
        <v>662148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391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393</v>
      </c>
      <c r="C13" s="748"/>
      <c r="D13" s="748">
        <f>'Development Budget'!G44</f>
        <v>55329000</v>
      </c>
      <c r="E13" s="748">
        <f>'PreDev Flow of Funds'!Y14</f>
        <v>69798.3</v>
      </c>
      <c r="F13" s="748">
        <f>(D13-E13)/18</f>
        <v>3069955.6500000004</v>
      </c>
      <c r="G13" s="748">
        <f>$F$13</f>
        <v>3069955.6500000004</v>
      </c>
      <c r="H13" s="748">
        <f t="shared" ref="H13:W13" si="5">$F$13</f>
        <v>3069955.6500000004</v>
      </c>
      <c r="I13" s="748">
        <f t="shared" si="5"/>
        <v>3069955.6500000004</v>
      </c>
      <c r="J13" s="748">
        <f t="shared" si="5"/>
        <v>3069955.6500000004</v>
      </c>
      <c r="K13" s="748">
        <f t="shared" si="5"/>
        <v>3069955.6500000004</v>
      </c>
      <c r="L13" s="748">
        <f t="shared" si="5"/>
        <v>3069955.6500000004</v>
      </c>
      <c r="M13" s="748">
        <f t="shared" si="5"/>
        <v>3069955.6500000004</v>
      </c>
      <c r="N13" s="748">
        <f t="shared" si="5"/>
        <v>3069955.6500000004</v>
      </c>
      <c r="O13" s="748">
        <f t="shared" si="5"/>
        <v>3069955.6500000004</v>
      </c>
      <c r="P13" s="748">
        <f t="shared" si="5"/>
        <v>3069955.6500000004</v>
      </c>
      <c r="Q13" s="748">
        <f t="shared" si="5"/>
        <v>3069955.6500000004</v>
      </c>
      <c r="R13" s="748">
        <f t="shared" si="5"/>
        <v>3069955.6500000004</v>
      </c>
      <c r="S13" s="748">
        <f t="shared" si="5"/>
        <v>3069955.6500000004</v>
      </c>
      <c r="T13" s="748">
        <f t="shared" si="5"/>
        <v>3069955.6500000004</v>
      </c>
      <c r="U13" s="748">
        <f t="shared" si="5"/>
        <v>3069955.6500000004</v>
      </c>
      <c r="V13" s="748">
        <f t="shared" si="5"/>
        <v>3069955.6500000004</v>
      </c>
      <c r="W13" s="748">
        <f t="shared" si="5"/>
        <v>3069955.6500000004</v>
      </c>
      <c r="X13" s="748"/>
      <c r="Y13" s="748">
        <f t="shared" si="3"/>
        <v>55328999.999999985</v>
      </c>
    </row>
    <row r="14" spans="1:25" ht="15">
      <c r="A14" s="402"/>
      <c r="B14" s="407" t="s">
        <v>395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368</v>
      </c>
      <c r="B15" s="408"/>
      <c r="C15" s="748"/>
      <c r="D15" s="748">
        <f>'Development Budget'!G46</f>
        <v>55329000</v>
      </c>
      <c r="E15" s="748">
        <f>'PreDev Flow of Funds'!Y16+'PreDev Flow of Funds'!Y17+'PreDev Flow of Funds'!Y19</f>
        <v>72500</v>
      </c>
      <c r="F15" s="748">
        <f>(D15-E15)/18</f>
        <v>3069805.5555555555</v>
      </c>
      <c r="G15" s="748">
        <f>$F$15</f>
        <v>3069805.5555555555</v>
      </c>
      <c r="H15" s="748">
        <f t="shared" ref="H15:W15" si="7">$F$15</f>
        <v>3069805.5555555555</v>
      </c>
      <c r="I15" s="748">
        <f t="shared" si="7"/>
        <v>3069805.5555555555</v>
      </c>
      <c r="J15" s="748">
        <f t="shared" si="7"/>
        <v>3069805.5555555555</v>
      </c>
      <c r="K15" s="748">
        <f t="shared" si="7"/>
        <v>3069805.5555555555</v>
      </c>
      <c r="L15" s="748">
        <f t="shared" si="7"/>
        <v>3069805.5555555555</v>
      </c>
      <c r="M15" s="748">
        <f t="shared" si="7"/>
        <v>3069805.5555555555</v>
      </c>
      <c r="N15" s="748">
        <f t="shared" si="7"/>
        <v>3069805.5555555555</v>
      </c>
      <c r="O15" s="748">
        <f t="shared" si="7"/>
        <v>3069805.5555555555</v>
      </c>
      <c r="P15" s="748">
        <f t="shared" si="7"/>
        <v>3069805.5555555555</v>
      </c>
      <c r="Q15" s="748">
        <f t="shared" si="7"/>
        <v>3069805.5555555555</v>
      </c>
      <c r="R15" s="748">
        <f t="shared" si="7"/>
        <v>3069805.5555555555</v>
      </c>
      <c r="S15" s="748">
        <f t="shared" si="7"/>
        <v>3069805.5555555555</v>
      </c>
      <c r="T15" s="748">
        <f t="shared" si="7"/>
        <v>3069805.5555555555</v>
      </c>
      <c r="U15" s="748">
        <f t="shared" si="7"/>
        <v>3069805.5555555555</v>
      </c>
      <c r="V15" s="748">
        <f t="shared" si="7"/>
        <v>3069805.5555555555</v>
      </c>
      <c r="W15" s="748">
        <f t="shared" si="7"/>
        <v>3069805.5555555555</v>
      </c>
      <c r="X15" s="748"/>
      <c r="Y15" s="748">
        <f t="shared" si="3"/>
        <v>55328999.999999978</v>
      </c>
    </row>
    <row r="16" spans="1:25" ht="15">
      <c r="A16" s="404" t="s">
        <v>399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400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401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402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473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474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475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476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462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477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91</v>
      </c>
      <c r="D26" s="748">
        <f>'Development Budget'!G28</f>
        <v>10055000</v>
      </c>
      <c r="E26" s="748">
        <v>0</v>
      </c>
      <c r="F26" s="748">
        <f>D26/2</f>
        <v>5027500</v>
      </c>
      <c r="G26" s="748">
        <f>F26</f>
        <v>5027500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10055000</v>
      </c>
    </row>
    <row r="27" spans="1:25" ht="15">
      <c r="A27" s="402"/>
      <c r="B27" s="430"/>
      <c r="C27" s="751" t="s">
        <v>92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93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478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99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100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367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101</v>
      </c>
      <c r="D33" s="748">
        <f>'Development Budget'!G32</f>
        <v>44143200</v>
      </c>
      <c r="E33" s="748">
        <v>0</v>
      </c>
      <c r="F33" s="748">
        <f>D33</f>
        <v>44143200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44143200</v>
      </c>
    </row>
    <row r="34" spans="1:25" ht="15">
      <c r="A34" s="404" t="s">
        <v>405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107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108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479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109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110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111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112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113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114</v>
      </c>
      <c r="D43" s="748">
        <f>'Development Budget'!G67</f>
        <v>138322.5</v>
      </c>
      <c r="E43" s="748">
        <f>D43</f>
        <v>138322.5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138322.5</v>
      </c>
    </row>
    <row r="44" spans="1:25" ht="15">
      <c r="A44" s="402"/>
      <c r="B44" s="690" t="s">
        <v>116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109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110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114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118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119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120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121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122</v>
      </c>
      <c r="C52" s="748"/>
      <c r="D52" s="749">
        <f>'Development Budget'!G80</f>
        <v>329322.5</v>
      </c>
      <c r="E52" s="748">
        <f>D52</f>
        <v>329322.5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329322.5</v>
      </c>
    </row>
    <row r="53" spans="1:25" ht="15">
      <c r="A53" s="432" t="s">
        <v>124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125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126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128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129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130</v>
      </c>
      <c r="C58" s="748"/>
      <c r="D58" s="748">
        <f>'Development Budget'!G90</f>
        <v>2522699</v>
      </c>
      <c r="E58" s="748">
        <f>'PreDev Flow of Funds'!Y46</f>
        <v>96238.814999999988</v>
      </c>
      <c r="F58" s="748">
        <f>(D58-E58)/18</f>
        <v>134803.34361111111</v>
      </c>
      <c r="G58" s="748">
        <f>$F$58</f>
        <v>134803.34361111111</v>
      </c>
      <c r="H58" s="748">
        <f t="shared" ref="H58:W58" si="18">$F$58</f>
        <v>134803.34361111111</v>
      </c>
      <c r="I58" s="748">
        <f t="shared" si="18"/>
        <v>134803.34361111111</v>
      </c>
      <c r="J58" s="748">
        <f t="shared" si="18"/>
        <v>134803.34361111111</v>
      </c>
      <c r="K58" s="748">
        <f t="shared" si="18"/>
        <v>134803.34361111111</v>
      </c>
      <c r="L58" s="748">
        <f t="shared" si="18"/>
        <v>134803.34361111111</v>
      </c>
      <c r="M58" s="748">
        <f t="shared" si="18"/>
        <v>134803.34361111111</v>
      </c>
      <c r="N58" s="748">
        <f t="shared" si="18"/>
        <v>134803.34361111111</v>
      </c>
      <c r="O58" s="748">
        <f t="shared" si="18"/>
        <v>134803.34361111111</v>
      </c>
      <c r="P58" s="748">
        <f t="shared" si="18"/>
        <v>134803.34361111111</v>
      </c>
      <c r="Q58" s="748">
        <f t="shared" si="18"/>
        <v>134803.34361111111</v>
      </c>
      <c r="R58" s="748">
        <f t="shared" si="18"/>
        <v>134803.34361111111</v>
      </c>
      <c r="S58" s="748">
        <f t="shared" si="18"/>
        <v>134803.34361111111</v>
      </c>
      <c r="T58" s="748">
        <f t="shared" si="18"/>
        <v>134803.34361111111</v>
      </c>
      <c r="U58" s="748">
        <f t="shared" si="18"/>
        <v>134803.34361111111</v>
      </c>
      <c r="V58" s="748">
        <f t="shared" si="18"/>
        <v>134803.34361111111</v>
      </c>
      <c r="W58" s="748">
        <f t="shared" si="18"/>
        <v>134803.34361111111</v>
      </c>
      <c r="X58" s="748"/>
      <c r="Y58" s="748">
        <f t="shared" si="3"/>
        <v>2522699</v>
      </c>
    </row>
    <row r="59" spans="1:25" ht="15">
      <c r="A59" s="404" t="s">
        <v>410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133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369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134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135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136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137</v>
      </c>
      <c r="C65" s="748"/>
      <c r="D65" s="748">
        <f>'Development Budget'!G102</f>
        <v>248962.66357386723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138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139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140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141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142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143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144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145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146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480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371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150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151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481</v>
      </c>
      <c r="B80" s="436"/>
      <c r="C80" s="420"/>
      <c r="D80" s="437" t="e">
        <f t="shared" ref="D80:Y80" si="22">SUM(D7:D79)</f>
        <v>#REF!</v>
      </c>
      <c r="E80" s="437">
        <f t="shared" si="22"/>
        <v>15312798.074999997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431</v>
      </c>
      <c r="C84" s="749"/>
      <c r="D84" s="749">
        <f>GapCalc!D28</f>
        <v>59679904.146163166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466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467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482</v>
      </c>
      <c r="C87" s="749"/>
      <c r="D87" s="749">
        <f>GapCalc!D29-'Construction Flow of Funds'!D86-'Construction Flow of Funds'!D85</f>
        <v>-10837042.559732975</v>
      </c>
      <c r="E87" s="749">
        <f>E80-E84-E85-E86-E88-E89-E90-E91</f>
        <v>471644.99999999627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421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15312798.074999997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483</v>
      </c>
      <c r="C7" s="759" t="s">
        <v>484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386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388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390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392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485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394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486</v>
      </c>
      <c r="D18" s="421" t="s">
        <v>483</v>
      </c>
      <c r="E18" t="s">
        <v>487</v>
      </c>
    </row>
    <row r="19" spans="2:6">
      <c r="B19" t="s">
        <v>386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488</v>
      </c>
    </row>
    <row r="20" spans="2:6">
      <c r="B20" t="s">
        <v>388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489</v>
      </c>
    </row>
    <row r="21" spans="2:6">
      <c r="B21" t="s">
        <v>390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490</v>
      </c>
    </row>
    <row r="22" spans="2:6">
      <c r="B22" t="s">
        <v>491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492</v>
      </c>
      <c r="B2" s="40" t="s">
        <v>493</v>
      </c>
    </row>
    <row r="24" spans="1:18">
      <c r="A24" t="s">
        <v>494</v>
      </c>
    </row>
    <row r="25" spans="1:18">
      <c r="D25" s="48" t="s">
        <v>495</v>
      </c>
      <c r="E25" s="48" t="s">
        <v>496</v>
      </c>
      <c r="F25" t="s">
        <v>497</v>
      </c>
      <c r="G25" t="s">
        <v>498</v>
      </c>
      <c r="H25" t="s">
        <v>499</v>
      </c>
      <c r="M25">
        <v>357</v>
      </c>
      <c r="O25">
        <v>523</v>
      </c>
      <c r="Q25">
        <v>811</v>
      </c>
    </row>
    <row r="26" spans="1:18">
      <c r="B26" t="s">
        <v>500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51</v>
      </c>
      <c r="N26" t="s">
        <v>501</v>
      </c>
      <c r="O26" s="421" t="s">
        <v>502</v>
      </c>
      <c r="Q26" s="421" t="s">
        <v>503</v>
      </c>
    </row>
    <row r="27" spans="1:18">
      <c r="B27" t="s">
        <v>504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505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506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507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508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509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510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511</v>
      </c>
      <c r="B35" s="40" t="s">
        <v>493</v>
      </c>
    </row>
    <row r="37" spans="1:18">
      <c r="L37" t="s">
        <v>512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513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514</v>
      </c>
      <c r="M42" s="55">
        <v>0.15</v>
      </c>
      <c r="N42" t="s">
        <v>515</v>
      </c>
    </row>
    <row r="44" spans="1:18">
      <c r="L44" t="s">
        <v>512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513</v>
      </c>
      <c r="M45" s="55">
        <f>(M44-M30)/M30</f>
        <v>0.21146551724137927</v>
      </c>
      <c r="N45" t="s">
        <v>516</v>
      </c>
      <c r="O45" s="55">
        <f>(O44-O28)/O28</f>
        <v>0.18562638620590957</v>
      </c>
      <c r="P45" t="s">
        <v>517</v>
      </c>
      <c r="Q45" s="55">
        <f>(Q44-Q28)/Q28</f>
        <v>0.18699731903485242</v>
      </c>
      <c r="R45" t="s">
        <v>517</v>
      </c>
    </row>
    <row r="52" spans="1:11">
      <c r="A52" t="s">
        <v>159</v>
      </c>
    </row>
    <row r="53" spans="1:11">
      <c r="D53" s="48" t="s">
        <v>518</v>
      </c>
      <c r="E53" s="48" t="s">
        <v>519</v>
      </c>
      <c r="F53" t="s">
        <v>520</v>
      </c>
    </row>
    <row r="54" spans="1:11">
      <c r="B54" t="s">
        <v>500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504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505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506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507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508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509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510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521</v>
      </c>
      <c r="C65" s="48"/>
      <c r="D65"/>
    </row>
    <row r="66" spans="1:7">
      <c r="A66" t="s">
        <v>522</v>
      </c>
      <c r="C66" s="48"/>
      <c r="D66"/>
    </row>
    <row r="67" spans="1:7">
      <c r="C67" s="48"/>
      <c r="D67"/>
    </row>
    <row r="68" spans="1:7">
      <c r="C68" s="423"/>
      <c r="D68"/>
      <c r="E68" t="s">
        <v>523</v>
      </c>
    </row>
    <row r="69" spans="1:7">
      <c r="B69" t="s">
        <v>524</v>
      </c>
      <c r="C69" s="423" t="s">
        <v>525</v>
      </c>
      <c r="D69" t="s">
        <v>37</v>
      </c>
      <c r="E69" t="s">
        <v>524</v>
      </c>
      <c r="F69" t="s">
        <v>525</v>
      </c>
      <c r="G69" t="s">
        <v>37</v>
      </c>
    </row>
    <row r="70" spans="1:7">
      <c r="A70" t="s">
        <v>526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527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528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529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530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531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532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533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534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941</v>
      </c>
    </row>
    <row r="5" spans="3:6">
      <c r="D5" t="s">
        <v>942</v>
      </c>
    </row>
    <row r="6" spans="3:6">
      <c r="E6" t="s">
        <v>943</v>
      </c>
      <c r="F6" s="1310">
        <f>544</f>
        <v>544</v>
      </c>
    </row>
    <row r="7" spans="3:6">
      <c r="D7" t="s">
        <v>944</v>
      </c>
      <c r="F7" s="1310"/>
    </row>
    <row r="8" spans="3:6">
      <c r="F8" s="1310">
        <v>0</v>
      </c>
    </row>
    <row r="9" spans="3:6">
      <c r="D9" t="s">
        <v>945</v>
      </c>
      <c r="F9" s="1310">
        <v>234</v>
      </c>
    </row>
    <row r="10" spans="3:6">
      <c r="F10" s="1310"/>
    </row>
    <row r="11" spans="3:6">
      <c r="D11" t="s">
        <v>946</v>
      </c>
      <c r="F11" s="1310"/>
    </row>
    <row r="12" spans="3:6">
      <c r="E12" t="s">
        <v>947</v>
      </c>
      <c r="F12" s="1310">
        <v>3437</v>
      </c>
    </row>
    <row r="13" spans="3:6">
      <c r="E13" t="s">
        <v>948</v>
      </c>
      <c r="F13" s="1310">
        <v>426</v>
      </c>
    </row>
    <row r="14" spans="3:6">
      <c r="E14" t="s">
        <v>949</v>
      </c>
      <c r="F14" s="1310">
        <f>950+176+167+200</f>
        <v>1493</v>
      </c>
    </row>
    <row r="15" spans="3:6">
      <c r="E15" t="s">
        <v>950</v>
      </c>
      <c r="F15" s="59">
        <v>1357</v>
      </c>
    </row>
    <row r="16" spans="3:6">
      <c r="F16" s="59"/>
    </row>
    <row r="17" spans="3:6">
      <c r="D17" s="1311" t="s">
        <v>59</v>
      </c>
      <c r="F17" s="1312">
        <f>SUM(F6:F16)</f>
        <v>7491</v>
      </c>
    </row>
    <row r="19" spans="3:6">
      <c r="D19" t="s">
        <v>951</v>
      </c>
    </row>
    <row r="20" spans="3:6">
      <c r="D20" t="s">
        <v>952</v>
      </c>
      <c r="F20" s="1313">
        <v>2379</v>
      </c>
    </row>
    <row r="24" spans="3:6">
      <c r="C24" s="1157" t="s">
        <v>953</v>
      </c>
    </row>
    <row r="27" spans="3:6">
      <c r="D27" t="s">
        <v>954</v>
      </c>
    </row>
    <row r="29" spans="3:6">
      <c r="D29" t="s">
        <v>955</v>
      </c>
      <c r="F29" s="1310">
        <v>37.33</v>
      </c>
    </row>
    <row r="31" spans="3:6">
      <c r="D31" t="s">
        <v>956</v>
      </c>
      <c r="E31" s="1314">
        <v>10000000</v>
      </c>
      <c r="F31" s="1310">
        <v>88992.67</v>
      </c>
    </row>
    <row r="33" spans="4:6">
      <c r="D33" t="s">
        <v>957</v>
      </c>
      <c r="F33" t="s">
        <v>958</v>
      </c>
    </row>
    <row r="34" spans="4:6">
      <c r="E34" t="s">
        <v>959</v>
      </c>
      <c r="F34" s="1310">
        <v>1743.09</v>
      </c>
    </row>
    <row r="35" spans="4:6" ht="31.5">
      <c r="E35" s="1315" t="s">
        <v>960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373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536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537</v>
      </c>
    </row>
    <row r="4" spans="1:16" hidden="1">
      <c r="B4" s="349" t="s">
        <v>538</v>
      </c>
    </row>
    <row r="5" spans="1:16" s="138" customFormat="1" ht="15" hidden="1" customHeight="1">
      <c r="A5" s="1759"/>
      <c r="B5" s="1760"/>
      <c r="C5" s="350" t="s">
        <v>539</v>
      </c>
      <c r="D5" s="350" t="s">
        <v>540</v>
      </c>
      <c r="E5" s="350" t="s">
        <v>541</v>
      </c>
      <c r="F5" s="350" t="s">
        <v>542</v>
      </c>
      <c r="G5" s="350" t="s">
        <v>539</v>
      </c>
      <c r="H5" s="350" t="s">
        <v>540</v>
      </c>
      <c r="I5" s="350" t="s">
        <v>541</v>
      </c>
      <c r="J5" s="350" t="s">
        <v>542</v>
      </c>
      <c r="K5" s="350" t="s">
        <v>539</v>
      </c>
      <c r="L5" s="350" t="s">
        <v>540</v>
      </c>
      <c r="M5" s="350" t="s">
        <v>541</v>
      </c>
      <c r="N5" s="350" t="s">
        <v>542</v>
      </c>
      <c r="O5" s="350" t="s">
        <v>539</v>
      </c>
      <c r="P5" s="350" t="s">
        <v>540</v>
      </c>
    </row>
    <row r="6" spans="1:16" s="138" customFormat="1" ht="15" hidden="1" customHeight="1">
      <c r="A6" s="1761"/>
      <c r="B6" s="1772"/>
      <c r="C6" s="351" t="s">
        <v>543</v>
      </c>
      <c r="D6" s="351" t="s">
        <v>544</v>
      </c>
      <c r="E6" s="351" t="s">
        <v>545</v>
      </c>
      <c r="F6" s="351" t="s">
        <v>546</v>
      </c>
      <c r="G6" s="351" t="s">
        <v>547</v>
      </c>
      <c r="H6" s="351" t="s">
        <v>548</v>
      </c>
      <c r="I6" s="351" t="s">
        <v>549</v>
      </c>
      <c r="J6" s="351" t="s">
        <v>550</v>
      </c>
      <c r="K6" s="351" t="s">
        <v>551</v>
      </c>
      <c r="L6" s="351" t="s">
        <v>552</v>
      </c>
      <c r="M6" s="351" t="s">
        <v>553</v>
      </c>
      <c r="N6" s="351" t="s">
        <v>554</v>
      </c>
      <c r="O6" s="351" t="s">
        <v>555</v>
      </c>
      <c r="P6" s="351" t="s">
        <v>556</v>
      </c>
    </row>
    <row r="7" spans="1:16" ht="15" hidden="1">
      <c r="A7" s="352" t="s">
        <v>557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558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559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385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560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561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562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563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564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565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566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567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568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569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570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571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572</v>
      </c>
      <c r="B24" s="774"/>
      <c r="C24" s="770"/>
      <c r="D24" s="770"/>
      <c r="E24" s="770"/>
      <c r="F24" s="771"/>
      <c r="G24" s="772"/>
      <c r="H24" s="771"/>
      <c r="I24" s="359" t="s">
        <v>573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401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402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574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575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576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577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578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579</v>
      </c>
    </row>
    <row r="32" spans="1:19" hidden="1">
      <c r="B32" s="162" t="s">
        <v>580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581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582</v>
      </c>
    </row>
    <row r="34" spans="1:19" hidden="1">
      <c r="B34" s="371" t="s">
        <v>583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584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585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586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59"/>
      <c r="B39" s="1760"/>
      <c r="C39" s="374" t="s">
        <v>539</v>
      </c>
      <c r="D39" s="350" t="s">
        <v>540</v>
      </c>
      <c r="E39" s="350" t="s">
        <v>541</v>
      </c>
      <c r="F39" s="375" t="s">
        <v>542</v>
      </c>
      <c r="G39" s="350" t="s">
        <v>539</v>
      </c>
      <c r="H39" s="350" t="s">
        <v>540</v>
      </c>
      <c r="I39" s="350" t="s">
        <v>541</v>
      </c>
      <c r="J39" s="375" t="s">
        <v>542</v>
      </c>
      <c r="K39" s="350" t="s">
        <v>539</v>
      </c>
      <c r="L39" s="350" t="s">
        <v>540</v>
      </c>
      <c r="M39" s="350" t="s">
        <v>541</v>
      </c>
      <c r="N39" s="375" t="s">
        <v>542</v>
      </c>
      <c r="O39" s="350" t="s">
        <v>539</v>
      </c>
      <c r="P39" s="350" t="s">
        <v>540</v>
      </c>
    </row>
    <row r="40" spans="1:19" s="138" customFormat="1" ht="15" hidden="1" customHeight="1">
      <c r="A40" s="1761"/>
      <c r="B40" s="1772"/>
      <c r="C40" s="376" t="s">
        <v>543</v>
      </c>
      <c r="D40" s="351" t="s">
        <v>544</v>
      </c>
      <c r="E40" s="351" t="s">
        <v>545</v>
      </c>
      <c r="F40" s="377" t="s">
        <v>546</v>
      </c>
      <c r="G40" s="351" t="s">
        <v>547</v>
      </c>
      <c r="H40" s="351" t="s">
        <v>548</v>
      </c>
      <c r="I40" s="351" t="s">
        <v>549</v>
      </c>
      <c r="J40" s="377" t="s">
        <v>550</v>
      </c>
      <c r="K40" s="351" t="s">
        <v>551</v>
      </c>
      <c r="L40" s="351" t="s">
        <v>552</v>
      </c>
      <c r="M40" s="351" t="s">
        <v>553</v>
      </c>
      <c r="N40" s="377" t="s">
        <v>554</v>
      </c>
      <c r="O40" s="351" t="s">
        <v>555</v>
      </c>
      <c r="P40" s="351" t="s">
        <v>556</v>
      </c>
    </row>
    <row r="41" spans="1:19" ht="15" hidden="1">
      <c r="A41" s="352" t="s">
        <v>557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558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559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385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560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561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562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563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564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565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566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567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568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569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570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571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572</v>
      </c>
      <c r="B58" s="774"/>
      <c r="C58" s="770"/>
      <c r="D58" s="770"/>
      <c r="E58" s="770"/>
      <c r="F58" s="771"/>
      <c r="G58" s="772"/>
      <c r="H58" s="771"/>
      <c r="I58" s="359" t="s">
        <v>573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401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402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574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575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576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577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578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580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581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582</v>
      </c>
    </row>
    <row r="68" spans="1:21" hidden="1">
      <c r="B68" s="371" t="s">
        <v>583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584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585</v>
      </c>
      <c r="U69" s="162"/>
    </row>
    <row r="70" spans="1:21" hidden="1">
      <c r="R70" s="370">
        <f>C118-R69</f>
        <v>593644</v>
      </c>
      <c r="S70" s="368" t="s">
        <v>587</v>
      </c>
    </row>
    <row r="71" spans="1:21" s="368" customFormat="1" ht="15.75" customHeight="1">
      <c r="A71" s="373"/>
      <c r="B71" s="349" t="s">
        <v>588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59"/>
      <c r="B72" s="1760"/>
      <c r="C72" s="374" t="s">
        <v>539</v>
      </c>
      <c r="D72" s="350" t="s">
        <v>540</v>
      </c>
      <c r="E72" s="350" t="s">
        <v>541</v>
      </c>
      <c r="F72" s="375" t="s">
        <v>542</v>
      </c>
      <c r="G72" s="350" t="s">
        <v>539</v>
      </c>
      <c r="H72" s="350" t="s">
        <v>540</v>
      </c>
      <c r="I72" s="350" t="s">
        <v>541</v>
      </c>
      <c r="J72" s="375" t="s">
        <v>542</v>
      </c>
      <c r="K72" s="350" t="s">
        <v>539</v>
      </c>
      <c r="L72" s="350" t="s">
        <v>540</v>
      </c>
      <c r="M72" s="350" t="s">
        <v>541</v>
      </c>
      <c r="N72" s="375" t="s">
        <v>542</v>
      </c>
      <c r="O72" s="350" t="s">
        <v>539</v>
      </c>
      <c r="P72" s="350" t="s">
        <v>540</v>
      </c>
      <c r="Q72" s="138"/>
      <c r="R72" s="138"/>
      <c r="S72" s="138"/>
    </row>
    <row r="73" spans="1:21" ht="15">
      <c r="A73" s="1761"/>
      <c r="B73" s="1762"/>
      <c r="C73" s="381" t="s">
        <v>543</v>
      </c>
      <c r="D73" s="351" t="s">
        <v>544</v>
      </c>
      <c r="E73" s="351" t="s">
        <v>545</v>
      </c>
      <c r="F73" s="382" t="s">
        <v>546</v>
      </c>
      <c r="G73" s="351" t="s">
        <v>547</v>
      </c>
      <c r="H73" s="351" t="s">
        <v>548</v>
      </c>
      <c r="I73" s="351" t="s">
        <v>549</v>
      </c>
      <c r="J73" s="382" t="s">
        <v>550</v>
      </c>
      <c r="K73" s="351" t="s">
        <v>551</v>
      </c>
      <c r="L73" s="351" t="s">
        <v>552</v>
      </c>
      <c r="M73" s="351" t="s">
        <v>553</v>
      </c>
      <c r="N73" s="382" t="s">
        <v>554</v>
      </c>
      <c r="O73" s="351" t="s">
        <v>555</v>
      </c>
      <c r="P73" s="351" t="s">
        <v>556</v>
      </c>
      <c r="Q73" s="138"/>
      <c r="R73" s="138"/>
      <c r="S73" s="138"/>
    </row>
    <row r="74" spans="1:21" ht="15">
      <c r="A74" s="383" t="s">
        <v>557</v>
      </c>
      <c r="B74" s="790"/>
      <c r="C74" s="1763" t="s">
        <v>589</v>
      </c>
      <c r="D74" s="1764"/>
      <c r="E74" s="1764"/>
      <c r="F74" s="1764"/>
      <c r="G74" s="1764"/>
      <c r="H74" s="1764"/>
      <c r="I74" s="1765"/>
      <c r="J74" s="1773" t="s">
        <v>582</v>
      </c>
      <c r="K74" s="1774"/>
      <c r="L74" s="1774"/>
      <c r="M74" s="1774"/>
      <c r="N74" s="1774"/>
      <c r="O74" s="1775"/>
      <c r="P74" s="384" t="s">
        <v>590</v>
      </c>
    </row>
    <row r="75" spans="1:21" ht="15">
      <c r="A75" s="385"/>
      <c r="B75" s="791" t="s">
        <v>558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559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385</v>
      </c>
      <c r="B78" s="793"/>
      <c r="C78" s="1763"/>
      <c r="D78" s="1764"/>
      <c r="E78" s="1764"/>
      <c r="F78" s="1764"/>
      <c r="G78" s="1764"/>
      <c r="H78" s="1764"/>
      <c r="I78" s="1765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560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561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562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563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564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565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566</v>
      </c>
      <c r="B85" s="793"/>
      <c r="C85" s="1763"/>
      <c r="D85" s="1764"/>
      <c r="E85" s="1764"/>
      <c r="F85" s="1764"/>
      <c r="G85" s="1764"/>
      <c r="H85" s="1764"/>
      <c r="I85" s="1765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567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568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569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570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571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572</v>
      </c>
      <c r="B91" s="793"/>
      <c r="C91" s="1763"/>
      <c r="D91" s="1764"/>
      <c r="E91" s="1764"/>
      <c r="F91" s="1764"/>
      <c r="G91" s="1764"/>
      <c r="H91" s="1764"/>
      <c r="I91" s="1765"/>
      <c r="J91" s="391" t="s">
        <v>573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401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402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574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575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576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577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578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591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592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593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-1200899.0774999999</v>
      </c>
      <c r="K103" s="162">
        <f>J103+(C116*0.25)/2</f>
        <v>-2401798.1549999998</v>
      </c>
      <c r="L103" s="162">
        <f>K103+((C116-K103)/4)</f>
        <v>-4203146.7712500002</v>
      </c>
      <c r="M103" s="162">
        <f>L103+((C116-K103)/4)</f>
        <v>-6004495.3875000002</v>
      </c>
      <c r="N103" s="162">
        <f>M103+((C116-K103)/4)</f>
        <v>-7805844.0037500001</v>
      </c>
      <c r="O103" s="162">
        <f>N103+((C116-K103)/4)</f>
        <v>-9607192.620000001</v>
      </c>
      <c r="P103" s="162">
        <f>O103</f>
        <v>-9607192.620000001</v>
      </c>
      <c r="Q103" s="369"/>
    </row>
    <row r="104" spans="1:17">
      <c r="B104" s="371" t="s">
        <v>583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9797222.7408333328</v>
      </c>
      <c r="K104" s="371">
        <f>((C117-1033493)/6)+J104</f>
        <v>19594445.481666666</v>
      </c>
      <c r="L104" s="371">
        <f>((C117-1033493)/6)+K104</f>
        <v>29391668.222499996</v>
      </c>
      <c r="M104" s="371">
        <f>((C117-1033493)/6)+L104</f>
        <v>39188890.963333331</v>
      </c>
      <c r="N104" s="371">
        <f>((C117-1033493)/6)+M104</f>
        <v>48986113.704166666</v>
      </c>
      <c r="O104" s="371">
        <f>((C117-1033493)/6)+N104</f>
        <v>58783336.445</v>
      </c>
      <c r="P104" s="371">
        <f>(286645+100000+646848)+O104</f>
        <v>59816829.445</v>
      </c>
      <c r="Q104" s="369"/>
    </row>
    <row r="105" spans="1:17">
      <c r="B105" s="162" t="s">
        <v>584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594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595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596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597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8596323.6633333322</v>
      </c>
      <c r="K110" s="371">
        <f t="shared" ref="K110:P110" si="9">SUM(K103:K104)</f>
        <v>17192647.326666664</v>
      </c>
      <c r="L110" s="371">
        <f t="shared" si="9"/>
        <v>25188521.451249994</v>
      </c>
      <c r="M110" s="371">
        <f t="shared" si="9"/>
        <v>33184395.575833332</v>
      </c>
      <c r="N110" s="371">
        <f t="shared" si="9"/>
        <v>41180269.700416669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598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599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581</v>
      </c>
      <c r="C114" s="1768">
        <f>'PreDev Flow of Funds'!D47</f>
        <v>14824249.954999998</v>
      </c>
      <c r="D114" s="1767"/>
    </row>
    <row r="115" spans="2:19">
      <c r="B115" s="397" t="s">
        <v>600</v>
      </c>
      <c r="C115" s="1769">
        <f>M102</f>
        <v>1323400.22</v>
      </c>
      <c r="D115" s="1767"/>
    </row>
    <row r="116" spans="2:19">
      <c r="B116" s="397" t="s">
        <v>582</v>
      </c>
      <c r="C116" s="1769">
        <f>'Development Budget'!G37-Predevelopment!D27-Predevelopment!D28-Predevelopment!D29-Timeline!M102-Predevelopment!D17</f>
        <v>-9607192.6199999992</v>
      </c>
      <c r="D116" s="1767"/>
    </row>
    <row r="117" spans="2:19" ht="16.5" thickBot="1">
      <c r="B117" s="398" t="s">
        <v>601</v>
      </c>
      <c r="C117" s="1770">
        <f>C118-C114-C116-C115</f>
        <v>59816829.445</v>
      </c>
      <c r="D117" s="1771"/>
    </row>
    <row r="118" spans="2:19" ht="16.5" thickTop="1">
      <c r="B118" s="368" t="s">
        <v>585</v>
      </c>
      <c r="C118" s="1766">
        <v>66357287</v>
      </c>
      <c r="D118" s="1767"/>
    </row>
  </sheetData>
  <mergeCells count="13">
    <mergeCell ref="A5:B6"/>
    <mergeCell ref="A39:B40"/>
    <mergeCell ref="A72:B73"/>
    <mergeCell ref="C74:I74"/>
    <mergeCell ref="J74:O74"/>
    <mergeCell ref="C78:I78"/>
    <mergeCell ref="C118:D118"/>
    <mergeCell ref="C85:I85"/>
    <mergeCell ref="C91:I91"/>
    <mergeCell ref="C114:D114"/>
    <mergeCell ref="C115:D115"/>
    <mergeCell ref="C116:D116"/>
    <mergeCell ref="C117:D1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51</v>
      </c>
      <c r="F2" s="579">
        <v>0</v>
      </c>
      <c r="K2" s="580"/>
      <c r="L2" s="581"/>
    </row>
    <row r="3" spans="2:13" ht="15.75">
      <c r="B3" s="582"/>
      <c r="C3" s="532" t="s">
        <v>1084</v>
      </c>
      <c r="D3" s="529"/>
      <c r="E3" s="578" t="s">
        <v>52</v>
      </c>
      <c r="F3" s="579">
        <v>53</v>
      </c>
      <c r="K3" s="580"/>
      <c r="L3" s="581"/>
    </row>
    <row r="4" spans="2:13">
      <c r="B4" s="582"/>
      <c r="C4" s="534" t="s">
        <v>602</v>
      </c>
      <c r="D4" s="529"/>
      <c r="E4" s="578" t="s">
        <v>54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55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603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59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604</v>
      </c>
      <c r="F9" s="599" t="s">
        <v>382</v>
      </c>
      <c r="G9" s="599" t="s">
        <v>605</v>
      </c>
      <c r="H9" s="599" t="s">
        <v>606</v>
      </c>
      <c r="I9" s="599" t="s">
        <v>37</v>
      </c>
      <c r="J9" s="600"/>
      <c r="K9" s="601" t="s">
        <v>607</v>
      </c>
      <c r="L9" s="594" t="s">
        <v>608</v>
      </c>
      <c r="M9" s="594" t="s">
        <v>609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610</v>
      </c>
      <c r="M10" s="594"/>
    </row>
    <row r="11" spans="2:13">
      <c r="B11" s="606"/>
      <c r="C11" s="607" t="s">
        <v>165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167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169</v>
      </c>
      <c r="E13" s="618"/>
      <c r="F13" s="619">
        <f>+E13/$F$7</f>
        <v>0</v>
      </c>
      <c r="G13" s="618"/>
      <c r="H13" s="619" t="s">
        <v>1085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172</v>
      </c>
      <c r="E14" s="618">
        <f>65*12*99</f>
        <v>77220</v>
      </c>
      <c r="F14" s="619">
        <f>+E14/$F$7</f>
        <v>772.2</v>
      </c>
      <c r="G14" s="618"/>
      <c r="H14" s="619" t="s">
        <v>1085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175</v>
      </c>
      <c r="E15" s="618">
        <v>118000</v>
      </c>
      <c r="F15" s="619">
        <f t="shared" ref="F15:F22" si="1">+E15/$F$7</f>
        <v>1180</v>
      </c>
      <c r="G15" s="618"/>
      <c r="H15" s="619" t="s">
        <v>1085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611</v>
      </c>
    </row>
    <row r="16" spans="2:13" hidden="1" outlineLevel="1">
      <c r="B16" s="615"/>
      <c r="C16" s="568"/>
      <c r="D16" s="623" t="s">
        <v>178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181</v>
      </c>
      <c r="E17" s="618">
        <v>3000</v>
      </c>
      <c r="F17" s="619">
        <f t="shared" si="1"/>
        <v>30</v>
      </c>
      <c r="G17" s="618"/>
      <c r="H17" s="619" t="s">
        <v>1085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183</v>
      </c>
      <c r="E18" s="618">
        <v>12500</v>
      </c>
      <c r="F18" s="619">
        <f t="shared" si="1"/>
        <v>125</v>
      </c>
      <c r="G18" s="618"/>
      <c r="H18" s="619" t="s">
        <v>1085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184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186</v>
      </c>
      <c r="E20" s="618"/>
      <c r="F20" s="619">
        <f t="shared" si="1"/>
        <v>0</v>
      </c>
      <c r="G20" s="618"/>
      <c r="H20" s="619" t="s">
        <v>1085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188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612</v>
      </c>
    </row>
    <row r="22" spans="2:14">
      <c r="B22" s="627"/>
      <c r="C22" s="628"/>
      <c r="D22" s="629" t="s">
        <v>190</v>
      </c>
      <c r="E22" s="630">
        <v>50000</v>
      </c>
      <c r="F22" s="631">
        <f t="shared" si="1"/>
        <v>500</v>
      </c>
      <c r="G22" s="630"/>
      <c r="H22" s="631" t="s">
        <v>1085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613</v>
      </c>
    </row>
    <row r="23" spans="2:14">
      <c r="B23" s="633"/>
      <c r="C23" s="634"/>
      <c r="D23" s="635" t="s">
        <v>192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194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196</v>
      </c>
      <c r="E25" s="618">
        <v>27000</v>
      </c>
      <c r="F25" s="619">
        <f t="shared" ref="F25:F30" si="3">+E25/$F$7</f>
        <v>270</v>
      </c>
      <c r="G25" s="618"/>
      <c r="H25" s="619" t="s">
        <v>1085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197</v>
      </c>
      <c r="E26" s="618">
        <v>70000</v>
      </c>
      <c r="F26" s="619">
        <f t="shared" si="3"/>
        <v>700</v>
      </c>
      <c r="G26" s="618"/>
      <c r="H26" s="619" t="s">
        <v>1085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199</v>
      </c>
      <c r="E27" s="618">
        <v>0</v>
      </c>
      <c r="F27" s="619">
        <f t="shared" si="3"/>
        <v>0</v>
      </c>
      <c r="G27" s="618"/>
      <c r="H27" s="619" t="s">
        <v>1085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200</v>
      </c>
      <c r="E28" s="618">
        <v>27000</v>
      </c>
      <c r="F28" s="619">
        <f>+E28/$F$7</f>
        <v>270</v>
      </c>
      <c r="G28" s="618"/>
      <c r="H28" s="619" t="s">
        <v>1085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201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203</v>
      </c>
      <c r="E30" s="648"/>
      <c r="F30" s="631">
        <f t="shared" si="3"/>
        <v>0</v>
      </c>
      <c r="G30" s="648"/>
      <c r="H30" s="631" t="s">
        <v>1085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192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205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207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1085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614</v>
      </c>
    </row>
    <row r="34" spans="2:13" hidden="1" outlineLevel="1">
      <c r="B34" s="615"/>
      <c r="C34" s="568"/>
      <c r="D34" s="623" t="s">
        <v>208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211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615</v>
      </c>
    </row>
    <row r="36" spans="2:13" hidden="1" outlineLevel="1">
      <c r="B36" s="615"/>
      <c r="C36" s="568"/>
      <c r="D36" s="623" t="s">
        <v>212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214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616</v>
      </c>
    </row>
    <row r="38" spans="2:13">
      <c r="B38" s="615"/>
      <c r="C38" s="568"/>
      <c r="D38" s="623" t="s">
        <v>215</v>
      </c>
      <c r="E38" s="618">
        <v>27419</v>
      </c>
      <c r="F38" s="619">
        <f t="shared" si="5"/>
        <v>274.19</v>
      </c>
      <c r="G38" s="618"/>
      <c r="H38" s="619" t="s">
        <v>1085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616</v>
      </c>
    </row>
    <row r="39" spans="2:13">
      <c r="B39" s="615"/>
      <c r="C39" s="568"/>
      <c r="D39" s="623" t="s">
        <v>217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616</v>
      </c>
    </row>
    <row r="40" spans="2:13" hidden="1" outlineLevel="1">
      <c r="B40" s="615"/>
      <c r="C40" s="568"/>
      <c r="D40" s="623" t="s">
        <v>219</v>
      </c>
      <c r="E40" s="618"/>
      <c r="F40" s="619">
        <f t="shared" si="5"/>
        <v>0</v>
      </c>
      <c r="G40" s="618"/>
      <c r="H40" s="619" t="s">
        <v>1085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221</v>
      </c>
      <c r="E41" s="618">
        <v>19200</v>
      </c>
      <c r="F41" s="619">
        <f t="shared" si="5"/>
        <v>192</v>
      </c>
      <c r="G41" s="618"/>
      <c r="H41" s="619" t="s">
        <v>1085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616</v>
      </c>
    </row>
    <row r="42" spans="2:13">
      <c r="B42" s="615"/>
      <c r="C42" s="568"/>
      <c r="D42" s="623" t="s">
        <v>223</v>
      </c>
      <c r="E42" s="618">
        <v>6500</v>
      </c>
      <c r="F42" s="619">
        <f t="shared" si="5"/>
        <v>65</v>
      </c>
      <c r="G42" s="618"/>
      <c r="H42" s="619" t="s">
        <v>1085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616</v>
      </c>
    </row>
    <row r="43" spans="2:13" hidden="1" outlineLevel="1">
      <c r="B43" s="615"/>
      <c r="C43" s="568"/>
      <c r="D43" s="623" t="s">
        <v>225</v>
      </c>
      <c r="E43" s="618"/>
      <c r="F43" s="619">
        <f t="shared" si="5"/>
        <v>0</v>
      </c>
      <c r="G43" s="618"/>
      <c r="H43" s="619" t="s">
        <v>1085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228</v>
      </c>
      <c r="E44" s="618">
        <v>90000</v>
      </c>
      <c r="F44" s="619">
        <f t="shared" si="5"/>
        <v>900</v>
      </c>
      <c r="G44" s="618"/>
      <c r="H44" s="619" t="s">
        <v>1085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229</v>
      </c>
      <c r="E45" s="630">
        <v>17000</v>
      </c>
      <c r="F45" s="631">
        <f t="shared" si="5"/>
        <v>170</v>
      </c>
      <c r="G45" s="630"/>
      <c r="H45" s="631" t="s">
        <v>1085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617</v>
      </c>
    </row>
    <row r="46" spans="2:13">
      <c r="B46" s="654"/>
      <c r="C46" s="568"/>
      <c r="D46" s="655" t="s">
        <v>192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231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232</v>
      </c>
      <c r="E48" s="618">
        <v>10000</v>
      </c>
      <c r="F48" s="619">
        <f t="shared" ref="F48:F56" si="7">+E48/$F$7</f>
        <v>100</v>
      </c>
      <c r="G48" s="659"/>
      <c r="H48" s="619" t="s">
        <v>1085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235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618</v>
      </c>
    </row>
    <row r="50" spans="2:13">
      <c r="B50" s="615"/>
      <c r="C50" s="568"/>
      <c r="D50" s="623" t="s">
        <v>238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619</v>
      </c>
    </row>
    <row r="51" spans="2:13" hidden="1" outlineLevel="1">
      <c r="B51" s="615"/>
      <c r="C51" s="568"/>
      <c r="D51" s="623" t="s">
        <v>240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241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243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245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247</v>
      </c>
      <c r="E55" s="618">
        <v>180000</v>
      </c>
      <c r="F55" s="619">
        <f t="shared" si="7"/>
        <v>1800</v>
      </c>
      <c r="G55" s="659"/>
      <c r="H55" s="619" t="s">
        <v>1085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620</v>
      </c>
    </row>
    <row r="56" spans="2:13">
      <c r="B56" s="633"/>
      <c r="C56" s="634"/>
      <c r="D56" s="635" t="s">
        <v>192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230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251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253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254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621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622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623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624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625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626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627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626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customXml/itemProps2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2024-05-23T19:23:35Z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