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engi\Desktop\Makine Dinamiği\Cihan Mızrak\Ders Notları-2021\"/>
    </mc:Choice>
  </mc:AlternateContent>
  <xr:revisionPtr revIDLastSave="0" documentId="13_ncr:1_{C5B1D73D-800E-4ED9-A7B5-0F6B4D4BB78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ınav Sorusu 1 (3 Kütleli)" sheetId="5" r:id="rId1"/>
    <sheet name="Sınav Sorusu 1 (4 Kütleli)" sheetId="6" r:id="rId2"/>
    <sheet name="Sınav Sorusu 1 (5 Kütleli)" sheetId="7" r:id="rId3"/>
    <sheet name="Sınav Sorusu 2.1" sheetId="11" r:id="rId4"/>
  </sheets>
  <externalReferences>
    <externalReference r:id="rId5"/>
  </externalReferences>
  <definedNames>
    <definedName name="_d">#REF!</definedName>
    <definedName name="_e">'[1]Krank Biyel'!$C$3</definedName>
    <definedName name="_l">'[1]Krank Biyel'!$B$3</definedName>
    <definedName name="_r">'[1]Krank Biyel'!$A$3</definedName>
    <definedName name="_r1">#REF!</definedName>
    <definedName name="_r2">#REF!</definedName>
    <definedName name="_r3">#REF!</definedName>
    <definedName name="_r4">#REF!</definedName>
    <definedName name="_x">'[1]Sürgü Kızak'!$B$3</definedName>
    <definedName name="e_">'[1]Sürgü Kızak'!$A$3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1" l="1"/>
  <c r="J7" i="11"/>
  <c r="H3" i="11"/>
  <c r="O3" i="11" s="1"/>
  <c r="H7" i="11" s="1"/>
  <c r="A7" i="11" l="1"/>
  <c r="V7" i="11"/>
  <c r="L7" i="11"/>
  <c r="D7" i="11"/>
  <c r="F7" i="11" s="1"/>
  <c r="N7" i="11"/>
  <c r="P7" i="11" s="1"/>
  <c r="G7" i="11"/>
  <c r="I7" i="11" s="1"/>
  <c r="U7" i="11"/>
  <c r="K7" i="11"/>
  <c r="M7" i="11" s="1"/>
  <c r="B7" i="11"/>
  <c r="E7" i="11"/>
  <c r="O7" i="11"/>
  <c r="P3" i="11"/>
  <c r="Q3" i="11"/>
  <c r="K3" i="11"/>
  <c r="T3" i="11" s="1"/>
  <c r="L3" i="11"/>
  <c r="P10" i="6"/>
  <c r="L10" i="6"/>
  <c r="H10" i="6"/>
  <c r="D10" i="6"/>
  <c r="T10" i="6" s="1"/>
  <c r="W7" i="11" l="1"/>
  <c r="R3" i="11"/>
  <c r="C7" i="11"/>
  <c r="X3" i="11"/>
  <c r="M3" i="11"/>
  <c r="N3" i="11" s="1"/>
  <c r="U3" i="11"/>
  <c r="G19" i="11" s="1"/>
  <c r="S10" i="6"/>
  <c r="U10" i="6" s="1"/>
  <c r="S3" i="5"/>
  <c r="G13" i="11" l="1"/>
  <c r="G22" i="11" s="1"/>
  <c r="R7" i="11"/>
  <c r="S7" i="11"/>
  <c r="V3" i="11"/>
  <c r="S3" i="11"/>
  <c r="V10" i="6"/>
  <c r="W10" i="6" s="1"/>
  <c r="T3" i="7"/>
  <c r="X3" i="7" s="1"/>
  <c r="P3" i="6"/>
  <c r="L3" i="6"/>
  <c r="H3" i="6"/>
  <c r="D3" i="6"/>
  <c r="T3" i="6" s="1"/>
  <c r="L3" i="5"/>
  <c r="H3" i="5"/>
  <c r="D3" i="5"/>
  <c r="T7" i="11" l="1"/>
  <c r="W3" i="11"/>
  <c r="G26" i="11" s="1"/>
  <c r="G24" i="11"/>
  <c r="P3" i="5"/>
  <c r="W3" i="7"/>
  <c r="Y3" i="7" s="1"/>
  <c r="O3" i="5"/>
  <c r="S3" i="6"/>
  <c r="U3" i="6" s="1"/>
  <c r="Q3" i="5" l="1"/>
  <c r="V3" i="6"/>
  <c r="W3" i="6" s="1"/>
  <c r="Z3" i="7"/>
  <c r="AA3" i="7" s="1"/>
  <c r="R3" i="5"/>
</calcChain>
</file>

<file path=xl/sharedStrings.xml><?xml version="1.0" encoding="utf-8"?>
<sst xmlns="http://schemas.openxmlformats.org/spreadsheetml/2006/main" count="250" uniqueCount="86">
  <si>
    <t>r1</t>
  </si>
  <si>
    <t>r2</t>
  </si>
  <si>
    <t>s</t>
  </si>
  <si>
    <t>teta</t>
  </si>
  <si>
    <t>teta_dot</t>
  </si>
  <si>
    <t>r4</t>
  </si>
  <si>
    <t>fi_dot</t>
  </si>
  <si>
    <t>fi_ddot</t>
  </si>
  <si>
    <t>m2</t>
  </si>
  <si>
    <t>m3</t>
  </si>
  <si>
    <t>m4</t>
  </si>
  <si>
    <t>IG2</t>
  </si>
  <si>
    <t>IG4</t>
  </si>
  <si>
    <t>A</t>
  </si>
  <si>
    <t>B</t>
  </si>
  <si>
    <t>C</t>
  </si>
  <si>
    <t>D</t>
  </si>
  <si>
    <t>M</t>
  </si>
  <si>
    <t>N</t>
  </si>
  <si>
    <t>R2Gx</t>
  </si>
  <si>
    <t>R2Gy</t>
  </si>
  <si>
    <t>R3Gx</t>
  </si>
  <si>
    <t>R3Gy</t>
  </si>
  <si>
    <t>R4Gx</t>
  </si>
  <si>
    <t>R4Gy</t>
  </si>
  <si>
    <t>Tork =</t>
  </si>
  <si>
    <t>cm</t>
  </si>
  <si>
    <t>derece</t>
  </si>
  <si>
    <t>rad</t>
  </si>
  <si>
    <t>rad/s</t>
  </si>
  <si>
    <t>(cm/s^2)</t>
  </si>
  <si>
    <t>cm/s</t>
  </si>
  <si>
    <t>z1_s</t>
  </si>
  <si>
    <t>z2_s</t>
  </si>
  <si>
    <t>s_dot</t>
  </si>
  <si>
    <t>z1_t</t>
  </si>
  <si>
    <t>z2_t</t>
  </si>
  <si>
    <t>=</t>
  </si>
  <si>
    <t>+</t>
  </si>
  <si>
    <t>T</t>
  </si>
  <si>
    <t>T =</t>
  </si>
  <si>
    <t>kg</t>
  </si>
  <si>
    <t>fi</t>
  </si>
  <si>
    <t>hız</t>
  </si>
  <si>
    <t>V2Gx</t>
  </si>
  <si>
    <t>V2Gy</t>
  </si>
  <si>
    <t>V2G</t>
  </si>
  <si>
    <t>V3Gx</t>
  </si>
  <si>
    <t>V3Gy</t>
  </si>
  <si>
    <t>V3G</t>
  </si>
  <si>
    <t>V4Gx</t>
  </si>
  <si>
    <t>V4Gy</t>
  </si>
  <si>
    <t>V4G</t>
  </si>
  <si>
    <t>R4G</t>
  </si>
  <si>
    <t>R3G</t>
  </si>
  <si>
    <t>R2G</t>
  </si>
  <si>
    <t>kuvvet</t>
  </si>
  <si>
    <t>F2</t>
  </si>
  <si>
    <t>F3</t>
  </si>
  <si>
    <t>F4</t>
  </si>
  <si>
    <t xml:space="preserve">konum </t>
  </si>
  <si>
    <t>radyan</t>
  </si>
  <si>
    <t>m1</t>
  </si>
  <si>
    <t>teta1</t>
  </si>
  <si>
    <t>teta2</t>
  </si>
  <si>
    <t>r3</t>
  </si>
  <si>
    <t>teta3</t>
  </si>
  <si>
    <t>(rad/s)</t>
  </si>
  <si>
    <t>(cm)</t>
  </si>
  <si>
    <t>rd</t>
  </si>
  <si>
    <t>w</t>
  </si>
  <si>
    <t>(radyan)</t>
  </si>
  <si>
    <t>(derece)</t>
  </si>
  <si>
    <t>teta_d</t>
  </si>
  <si>
    <t>md</t>
  </si>
  <si>
    <t>(kg)</t>
  </si>
  <si>
    <t>(md*cos(teta_d)</t>
  </si>
  <si>
    <t>Ax</t>
  </si>
  <si>
    <t>(md*sin(teta_d)</t>
  </si>
  <si>
    <t>Ay</t>
  </si>
  <si>
    <t>teta4</t>
  </si>
  <si>
    <t>m5</t>
  </si>
  <si>
    <t>r5</t>
  </si>
  <si>
    <t>teta5</t>
  </si>
  <si>
    <t>m</t>
  </si>
  <si>
    <t>K=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</si>
</sst>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rgb="FF04394F"/>
      <name val="Courier New"/>
      <family val="3"/>
      <charset val="162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5" fillId="0" borderId="0" xfId="2"/>
    <xf numFmtId="0" fontId="5" fillId="0" borderId="3" xfId="2" applyBorder="1" applyAlignment="1">
      <alignment horizontal="center"/>
    </xf>
    <xf numFmtId="164" fontId="5" fillId="0" borderId="3" xfId="2" applyNumberForma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3" fillId="10" borderId="3" xfId="2" applyFont="1" applyFill="1" applyBorder="1" applyAlignment="1">
      <alignment horizontal="center"/>
    </xf>
    <xf numFmtId="0" fontId="3" fillId="12" borderId="3" xfId="2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3" fillId="6" borderId="3" xfId="2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17" borderId="3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0" fontId="3" fillId="9" borderId="3" xfId="2" applyFont="1" applyFill="1" applyBorder="1" applyAlignment="1">
      <alignment horizontal="center"/>
    </xf>
    <xf numFmtId="0" fontId="2" fillId="0" borderId="0" xfId="5"/>
    <xf numFmtId="0" fontId="2" fillId="0" borderId="3" xfId="5" applyBorder="1" applyAlignment="1">
      <alignment horizontal="center"/>
    </xf>
    <xf numFmtId="0" fontId="2" fillId="0" borderId="0" xfId="6"/>
    <xf numFmtId="0" fontId="2" fillId="0" borderId="0" xfId="6" applyAlignment="1">
      <alignment horizontal="right"/>
    </xf>
    <xf numFmtId="164" fontId="2" fillId="0" borderId="0" xfId="6" applyNumberFormat="1" applyAlignment="1">
      <alignment horizontal="left"/>
    </xf>
    <xf numFmtId="0" fontId="2" fillId="0" borderId="0" xfId="6" applyAlignment="1">
      <alignment horizontal="left"/>
    </xf>
    <xf numFmtId="0" fontId="2" fillId="0" borderId="0" xfId="6" applyAlignment="1">
      <alignment horizontal="center"/>
    </xf>
    <xf numFmtId="0" fontId="6" fillId="0" borderId="0" xfId="6" applyFont="1" applyAlignment="1">
      <alignment horizontal="right"/>
    </xf>
    <xf numFmtId="164" fontId="2" fillId="0" borderId="3" xfId="5" applyNumberFormat="1" applyBorder="1" applyAlignment="1">
      <alignment horizontal="center"/>
    </xf>
    <xf numFmtId="0" fontId="2" fillId="11" borderId="3" xfId="6" applyFill="1" applyBorder="1" applyAlignment="1">
      <alignment horizontal="center"/>
    </xf>
    <xf numFmtId="0" fontId="2" fillId="3" borderId="3" xfId="6" applyFill="1" applyBorder="1" applyAlignment="1">
      <alignment horizontal="center"/>
    </xf>
    <xf numFmtId="0" fontId="2" fillId="8" borderId="3" xfId="6" applyFill="1" applyBorder="1" applyAlignment="1">
      <alignment horizontal="center"/>
    </xf>
    <xf numFmtId="0" fontId="2" fillId="16" borderId="3" xfId="6" applyFill="1" applyBorder="1" applyAlignment="1">
      <alignment horizontal="center"/>
    </xf>
    <xf numFmtId="0" fontId="2" fillId="5" borderId="3" xfId="6" applyFill="1" applyBorder="1" applyAlignment="1">
      <alignment horizontal="center"/>
    </xf>
    <xf numFmtId="0" fontId="2" fillId="15" borderId="3" xfId="6" applyFill="1" applyBorder="1" applyAlignment="1">
      <alignment horizontal="center"/>
    </xf>
    <xf numFmtId="0" fontId="2" fillId="13" borderId="3" xfId="6" applyFill="1" applyBorder="1" applyAlignment="1">
      <alignment horizontal="center"/>
    </xf>
    <xf numFmtId="0" fontId="2" fillId="12" borderId="3" xfId="6" applyFill="1" applyBorder="1" applyAlignment="1">
      <alignment horizontal="center"/>
    </xf>
    <xf numFmtId="0" fontId="2" fillId="14" borderId="3" xfId="6" applyFill="1" applyBorder="1" applyAlignment="1">
      <alignment horizontal="center"/>
    </xf>
    <xf numFmtId="0" fontId="2" fillId="0" borderId="3" xfId="6" applyBorder="1" applyAlignment="1">
      <alignment horizontal="center"/>
    </xf>
    <xf numFmtId="0" fontId="2" fillId="4" borderId="3" xfId="6" applyFill="1" applyBorder="1" applyAlignment="1">
      <alignment horizontal="center"/>
    </xf>
    <xf numFmtId="0" fontId="2" fillId="2" borderId="3" xfId="5" applyFill="1" applyBorder="1" applyAlignment="1">
      <alignment horizontal="center"/>
    </xf>
    <xf numFmtId="0" fontId="2" fillId="3" borderId="3" xfId="5" applyFill="1" applyBorder="1" applyAlignment="1">
      <alignment horizontal="center"/>
    </xf>
    <xf numFmtId="0" fontId="2" fillId="2" borderId="3" xfId="6" applyFill="1" applyBorder="1" applyAlignment="1">
      <alignment horizontal="center"/>
    </xf>
    <xf numFmtId="0" fontId="2" fillId="7" borderId="3" xfId="6" applyFill="1" applyBorder="1" applyAlignment="1">
      <alignment horizontal="center"/>
    </xf>
    <xf numFmtId="0" fontId="2" fillId="6" borderId="3" xfId="6" applyFill="1" applyBorder="1" applyAlignment="1">
      <alignment horizontal="center"/>
    </xf>
    <xf numFmtId="0" fontId="2" fillId="0" borderId="3" xfId="7" applyBorder="1" applyAlignment="1">
      <alignment horizontal="center"/>
    </xf>
    <xf numFmtId="2" fontId="5" fillId="0" borderId="3" xfId="2" applyNumberFormat="1" applyBorder="1" applyAlignment="1">
      <alignment horizontal="center"/>
    </xf>
    <xf numFmtId="0" fontId="1" fillId="0" borderId="0" xfId="9"/>
    <xf numFmtId="0" fontId="1" fillId="0" borderId="0" xfId="9" applyAlignment="1">
      <alignment horizontal="right"/>
    </xf>
    <xf numFmtId="2" fontId="1" fillId="0" borderId="0" xfId="9" applyNumberFormat="1" applyAlignment="1">
      <alignment horizontal="left"/>
    </xf>
    <xf numFmtId="0" fontId="1" fillId="0" borderId="0" xfId="9" applyAlignment="1">
      <alignment horizontal="left"/>
    </xf>
    <xf numFmtId="164" fontId="1" fillId="0" borderId="0" xfId="9" applyNumberFormat="1" applyAlignment="1">
      <alignment horizontal="left"/>
    </xf>
    <xf numFmtId="1" fontId="2" fillId="0" borderId="3" xfId="6" applyNumberFormat="1" applyBorder="1" applyAlignment="1">
      <alignment horizontal="center"/>
    </xf>
    <xf numFmtId="2" fontId="1" fillId="0" borderId="0" xfId="9" applyNumberFormat="1"/>
    <xf numFmtId="0" fontId="7" fillId="0" borderId="0" xfId="9" applyFont="1" applyAlignment="1">
      <alignment horizontal="center" vertical="center"/>
    </xf>
    <xf numFmtId="16" fontId="1" fillId="0" borderId="0" xfId="9" applyNumberFormat="1"/>
    <xf numFmtId="2" fontId="1" fillId="0" borderId="0" xfId="9" applyNumberFormat="1" applyFont="1" applyAlignment="1">
      <alignment vertical="center"/>
    </xf>
    <xf numFmtId="2" fontId="2" fillId="0" borderId="0" xfId="6" applyNumberFormat="1"/>
    <xf numFmtId="0" fontId="2" fillId="0" borderId="3" xfId="6" applyBorder="1" applyAlignment="1">
      <alignment horizontal="center"/>
    </xf>
    <xf numFmtId="0" fontId="1" fillId="0" borderId="3" xfId="6" applyFont="1" applyBorder="1" applyAlignment="1">
      <alignment horizontal="center"/>
    </xf>
    <xf numFmtId="0" fontId="1" fillId="0" borderId="4" xfId="5" applyFont="1" applyBorder="1" applyAlignment="1">
      <alignment horizontal="center"/>
    </xf>
    <xf numFmtId="0" fontId="2" fillId="0" borderId="1" xfId="5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4" xfId="5" applyBorder="1" applyAlignment="1">
      <alignment horizontal="center"/>
    </xf>
  </cellXfs>
  <cellStyles count="11">
    <cellStyle name="Normal" xfId="0" builtinId="0"/>
    <cellStyle name="Normal 2" xfId="2" xr:uid="{A36F1604-E394-4998-B4DC-7BABBDCC9281}"/>
    <cellStyle name="Normal 2 2" xfId="4" xr:uid="{DF3E1F8A-CF6E-4D68-A2B9-AB4D229F5809}"/>
    <cellStyle name="Normal 2 3" xfId="6" xr:uid="{7C6A38CA-CB9D-4B90-905B-E48C036D48EE}"/>
    <cellStyle name="Normal 2 3 2" xfId="9" xr:uid="{431A7547-BC94-491D-B602-E9AF92243562}"/>
    <cellStyle name="Normal 3" xfId="1" xr:uid="{DB865D19-9BE2-4B8C-A467-5C35F92A03B6}"/>
    <cellStyle name="Normal 3 2" xfId="3" xr:uid="{2ACEA45A-3A6E-41E7-86D9-F60D94649ABE}"/>
    <cellStyle name="Normal 3 2 2" xfId="7" xr:uid="{3068357E-39C0-4050-9F95-CD241F3F59ED}"/>
    <cellStyle name="Normal 3 2 2 2" xfId="10" xr:uid="{82022C29-A071-4D6F-AFFF-4BB1535193EF}"/>
    <cellStyle name="Normal 4" xfId="5" xr:uid="{684024BC-438F-476C-B201-8707FDAB5358}"/>
    <cellStyle name="Normal 4 2" xfId="8" xr:uid="{96C965A5-F144-44FA-A8D8-C457A0A87892}"/>
  </cellStyles>
  <dxfs count="0"/>
  <tableStyles count="0" defaultTableStyle="TableStyleMedium2" defaultPivotStyle="PivotStyleLight16"/>
  <colors>
    <mruColors>
      <color rgb="FFFFFFA7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98849</xdr:colOff>
      <xdr:row>7</xdr:row>
      <xdr:rowOff>68580</xdr:rowOff>
    </xdr:from>
    <xdr:ext cx="1961016" cy="670751"/>
    <xdr:pic>
      <xdr:nvPicPr>
        <xdr:cNvPr id="6" name="Resim 5">
          <a:extLst>
            <a:ext uri="{FF2B5EF4-FFF2-40B4-BE49-F238E27FC236}">
              <a16:creationId xmlns:a16="http://schemas.microsoft.com/office/drawing/2014/main" id="{F725C98D-B3BD-4D66-ADAA-DE839DDD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7249" y="1348740"/>
          <a:ext cx="1961016" cy="670751"/>
        </a:xfrm>
        <a:prstGeom prst="rect">
          <a:avLst/>
        </a:prstGeom>
      </xdr:spPr>
    </xdr:pic>
    <xdr:clientData/>
  </xdr:oneCellAnchor>
  <xdr:oneCellAnchor>
    <xdr:from>
      <xdr:col>4</xdr:col>
      <xdr:colOff>494226</xdr:colOff>
      <xdr:row>11</xdr:row>
      <xdr:rowOff>45721</xdr:rowOff>
    </xdr:from>
    <xdr:ext cx="570885" cy="563880"/>
    <xdr:pic>
      <xdr:nvPicPr>
        <xdr:cNvPr id="7" name="Resim 6">
          <a:extLst>
            <a:ext uri="{FF2B5EF4-FFF2-40B4-BE49-F238E27FC236}">
              <a16:creationId xmlns:a16="http://schemas.microsoft.com/office/drawing/2014/main" id="{33FA35C4-1534-408D-9FED-85C42DE1A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2626" y="2057401"/>
          <a:ext cx="570885" cy="563880"/>
        </a:xfrm>
        <a:prstGeom prst="rect">
          <a:avLst/>
        </a:prstGeom>
      </xdr:spPr>
    </xdr:pic>
    <xdr:clientData/>
  </xdr:oneCellAnchor>
  <xdr:oneCellAnchor>
    <xdr:from>
      <xdr:col>5</xdr:col>
      <xdr:colOff>202109</xdr:colOff>
      <xdr:row>14</xdr:row>
      <xdr:rowOff>91440</xdr:rowOff>
    </xdr:from>
    <xdr:ext cx="304734" cy="510540"/>
    <xdr:pic>
      <xdr:nvPicPr>
        <xdr:cNvPr id="8" name="Resim 7">
          <a:extLst>
            <a:ext uri="{FF2B5EF4-FFF2-40B4-BE49-F238E27FC236}">
              <a16:creationId xmlns:a16="http://schemas.microsoft.com/office/drawing/2014/main" id="{ACB4C20A-EF97-4BE1-B713-7FA1A72921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1161"/>
        <a:stretch/>
      </xdr:blipFill>
      <xdr:spPr>
        <a:xfrm>
          <a:off x="3250109" y="2651760"/>
          <a:ext cx="304734" cy="510540"/>
        </a:xfrm>
        <a:prstGeom prst="rect">
          <a:avLst/>
        </a:prstGeom>
      </xdr:spPr>
    </xdr:pic>
    <xdr:clientData/>
  </xdr:oneCellAnchor>
  <xdr:oneCellAnchor>
    <xdr:from>
      <xdr:col>2</xdr:col>
      <xdr:colOff>342900</xdr:colOff>
      <xdr:row>17</xdr:row>
      <xdr:rowOff>22860</xdr:rowOff>
    </xdr:from>
    <xdr:ext cx="1951363" cy="588635"/>
    <xdr:pic>
      <xdr:nvPicPr>
        <xdr:cNvPr id="9" name="Resim 8">
          <a:extLst>
            <a:ext uri="{FF2B5EF4-FFF2-40B4-BE49-F238E27FC236}">
              <a16:creationId xmlns:a16="http://schemas.microsoft.com/office/drawing/2014/main" id="{7202F3DC-2AE2-46C8-8D7F-BC3FCA19B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2100" y="3131820"/>
          <a:ext cx="1951363" cy="58863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kine%20Teorisi%20I%20Mekanizmalar/Makine%20Teorisi%20I%20Mekanizmalar%20Form&#252;l%20Ka&#287;&#305;d&#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ç Çubuk"/>
      <sheetName val="Krank Biyel"/>
      <sheetName val="Kol Kızak"/>
      <sheetName val="İskoç "/>
      <sheetName val="Sürgü Kızak"/>
      <sheetName val="Sayısal Yol"/>
    </sheetNames>
    <sheetDataSet>
      <sheetData sheetId="0" refreshError="1"/>
      <sheetData sheetId="1">
        <row r="3">
          <cell r="A3">
            <v>20</v>
          </cell>
          <cell r="B3">
            <v>35</v>
          </cell>
          <cell r="C3">
            <v>8</v>
          </cell>
        </row>
      </sheetData>
      <sheetData sheetId="2" refreshError="1"/>
      <sheetData sheetId="3" refreshError="1"/>
      <sheetData sheetId="4">
        <row r="3">
          <cell r="A3">
            <v>40</v>
          </cell>
          <cell r="B3">
            <v>30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F0DC-5FB6-414D-B825-8DCA30C8FB93}">
  <dimension ref="A1:S3"/>
  <sheetViews>
    <sheetView workbookViewId="0">
      <selection activeCell="K23" sqref="K23"/>
    </sheetView>
  </sheetViews>
  <sheetFormatPr defaultRowHeight="14.4" x14ac:dyDescent="0.3"/>
  <cols>
    <col min="1" max="2" width="8.88671875" style="1"/>
    <col min="3" max="4" width="15.109375" style="1" customWidth="1"/>
    <col min="5" max="6" width="8.88671875" style="1"/>
    <col min="7" max="8" width="13" style="1" customWidth="1"/>
    <col min="9" max="10" width="8.88671875" style="1"/>
    <col min="11" max="11" width="13.44140625" style="1" customWidth="1"/>
    <col min="12" max="12" width="13.109375" style="1" customWidth="1"/>
    <col min="13" max="14" width="8.88671875" style="1"/>
    <col min="15" max="15" width="16.88671875" style="1" customWidth="1"/>
    <col min="16" max="16" width="17.21875" style="1" customWidth="1"/>
    <col min="17" max="17" width="8.88671875" style="1"/>
    <col min="18" max="18" width="13.44140625" style="1" customWidth="1"/>
    <col min="19" max="19" width="17.33203125" style="1" customWidth="1"/>
    <col min="20" max="20" width="17.5546875" style="1" customWidth="1"/>
    <col min="21" max="21" width="8.88671875" style="1"/>
    <col min="22" max="22" width="15.109375" style="1" customWidth="1"/>
    <col min="23" max="23" width="14.5546875" style="1" customWidth="1"/>
    <col min="24" max="16384" width="8.88671875" style="1"/>
  </cols>
  <sheetData>
    <row r="1" spans="1:19" x14ac:dyDescent="0.3">
      <c r="A1" s="4" t="s">
        <v>41</v>
      </c>
      <c r="B1" s="4" t="s">
        <v>26</v>
      </c>
      <c r="C1" s="4" t="s">
        <v>27</v>
      </c>
      <c r="D1" s="4" t="s">
        <v>61</v>
      </c>
      <c r="E1" s="4" t="s">
        <v>41</v>
      </c>
      <c r="F1" s="4" t="s">
        <v>26</v>
      </c>
      <c r="G1" s="4" t="s">
        <v>27</v>
      </c>
      <c r="H1" s="4" t="s">
        <v>61</v>
      </c>
      <c r="I1" s="4" t="s">
        <v>41</v>
      </c>
      <c r="J1" s="4" t="s">
        <v>26</v>
      </c>
      <c r="K1" s="4" t="s">
        <v>27</v>
      </c>
      <c r="L1" s="4" t="s">
        <v>61</v>
      </c>
      <c r="M1" s="4" t="s">
        <v>67</v>
      </c>
      <c r="N1" s="4" t="s">
        <v>68</v>
      </c>
      <c r="O1" s="4" t="s">
        <v>76</v>
      </c>
      <c r="P1" s="4" t="s">
        <v>78</v>
      </c>
      <c r="Q1" s="4" t="s">
        <v>75</v>
      </c>
      <c r="R1" s="4" t="s">
        <v>71</v>
      </c>
      <c r="S1" s="4" t="s">
        <v>72</v>
      </c>
    </row>
    <row r="2" spans="1:19" x14ac:dyDescent="0.3">
      <c r="A2" s="8" t="s">
        <v>62</v>
      </c>
      <c r="B2" s="8" t="s">
        <v>0</v>
      </c>
      <c r="C2" s="8" t="s">
        <v>63</v>
      </c>
      <c r="D2" s="8" t="s">
        <v>63</v>
      </c>
      <c r="E2" s="9" t="s">
        <v>8</v>
      </c>
      <c r="F2" s="9" t="s">
        <v>1</v>
      </c>
      <c r="G2" s="9" t="s">
        <v>64</v>
      </c>
      <c r="H2" s="9" t="s">
        <v>64</v>
      </c>
      <c r="I2" s="7" t="s">
        <v>9</v>
      </c>
      <c r="J2" s="7" t="s">
        <v>65</v>
      </c>
      <c r="K2" s="7" t="s">
        <v>66</v>
      </c>
      <c r="L2" s="7" t="s">
        <v>66</v>
      </c>
      <c r="M2" s="10" t="s">
        <v>70</v>
      </c>
      <c r="N2" s="6" t="s">
        <v>69</v>
      </c>
      <c r="O2" s="11" t="s">
        <v>77</v>
      </c>
      <c r="P2" s="11" t="s">
        <v>79</v>
      </c>
      <c r="Q2" s="11" t="s">
        <v>74</v>
      </c>
      <c r="R2" s="11" t="s">
        <v>73</v>
      </c>
      <c r="S2" s="11" t="s">
        <v>73</v>
      </c>
    </row>
    <row r="3" spans="1:19" x14ac:dyDescent="0.3">
      <c r="A3" s="2">
        <v>2</v>
      </c>
      <c r="B3" s="2">
        <v>90</v>
      </c>
      <c r="C3" s="2">
        <v>30</v>
      </c>
      <c r="D3" s="3">
        <f>RADIANS(C3)</f>
        <v>0.52359877559829882</v>
      </c>
      <c r="E3" s="2">
        <v>4</v>
      </c>
      <c r="F3" s="2">
        <v>30</v>
      </c>
      <c r="G3" s="2">
        <v>120</v>
      </c>
      <c r="H3" s="3">
        <f>RADIANS(G3)</f>
        <v>2.0943951023931953</v>
      </c>
      <c r="I3" s="2">
        <v>8</v>
      </c>
      <c r="J3" s="2">
        <v>60</v>
      </c>
      <c r="K3" s="2">
        <v>240</v>
      </c>
      <c r="L3" s="3">
        <f>RADIANS(K3)</f>
        <v>4.1887902047863905</v>
      </c>
      <c r="M3" s="2">
        <v>1</v>
      </c>
      <c r="N3" s="2">
        <v>90</v>
      </c>
      <c r="O3" s="3">
        <f>((-A3*B3*COS(D3)*(M3^2)/N3)+(-E3*F3*COS(H3)*(M3^2)/N3)+(-I3*J3*COS(L3)*(M3^2)/N3))</f>
        <v>1.6012825257644581</v>
      </c>
      <c r="P3" s="3">
        <f>((-A3*B3*SIN(D3)*(M3^2))-(E3*F3*SIN(H3)*(M3^2))-(I3*J3*SIN(L3)*(M3^2)))/N3</f>
        <v>2.4641016151377535</v>
      </c>
      <c r="Q3" s="3">
        <f>SQRT((O3^2)+(P3^2))</f>
        <v>2.9386906092753433</v>
      </c>
      <c r="R3" s="3">
        <f>ATAN(P3/O3)</f>
        <v>0.99453053021455529</v>
      </c>
      <c r="S3" s="3">
        <f>DEGREES(R3)</f>
        <v>56.98240197820202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EFE-C274-4065-864D-52C5C7718C26}">
  <dimension ref="A1:W10"/>
  <sheetViews>
    <sheetView topLeftCell="H1" workbookViewId="0">
      <selection activeCell="O21" sqref="O21"/>
    </sheetView>
  </sheetViews>
  <sheetFormatPr defaultRowHeight="14.4" x14ac:dyDescent="0.3"/>
  <cols>
    <col min="1" max="2" width="8.88671875" style="1"/>
    <col min="3" max="4" width="12.88671875" style="1" customWidth="1"/>
    <col min="5" max="6" width="8.88671875" style="1"/>
    <col min="7" max="8" width="13" style="1" customWidth="1"/>
    <col min="9" max="10" width="8.88671875" style="1"/>
    <col min="11" max="12" width="13.109375" style="1" customWidth="1"/>
    <col min="13" max="14" width="8.88671875" style="1"/>
    <col min="15" max="16" width="13.5546875" style="1" customWidth="1"/>
    <col min="17" max="18" width="8.88671875" style="1"/>
    <col min="19" max="19" width="18.44140625" style="1" customWidth="1"/>
    <col min="20" max="20" width="18.109375" style="1" customWidth="1"/>
    <col min="21" max="21" width="18.33203125" style="1" customWidth="1"/>
    <col min="22" max="22" width="14" style="1" customWidth="1"/>
    <col min="23" max="23" width="14.33203125" style="1" customWidth="1"/>
    <col min="24" max="16384" width="8.88671875" style="1"/>
  </cols>
  <sheetData>
    <row r="1" spans="1:23" x14ac:dyDescent="0.3">
      <c r="A1" s="4" t="s">
        <v>41</v>
      </c>
      <c r="B1" s="4" t="s">
        <v>26</v>
      </c>
      <c r="C1" s="4" t="s">
        <v>27</v>
      </c>
      <c r="D1" s="4" t="s">
        <v>61</v>
      </c>
      <c r="E1" s="4" t="s">
        <v>41</v>
      </c>
      <c r="F1" s="4" t="s">
        <v>26</v>
      </c>
      <c r="G1" s="4" t="s">
        <v>27</v>
      </c>
      <c r="H1" s="4" t="s">
        <v>61</v>
      </c>
      <c r="I1" s="4" t="s">
        <v>41</v>
      </c>
      <c r="J1" s="4" t="s">
        <v>26</v>
      </c>
      <c r="K1" s="4" t="s">
        <v>27</v>
      </c>
      <c r="L1" s="4" t="s">
        <v>61</v>
      </c>
      <c r="M1" s="4" t="s">
        <v>41</v>
      </c>
      <c r="N1" s="4" t="s">
        <v>26</v>
      </c>
      <c r="O1" s="4" t="s">
        <v>27</v>
      </c>
      <c r="P1" s="4" t="s">
        <v>61</v>
      </c>
      <c r="Q1" s="4" t="s">
        <v>67</v>
      </c>
      <c r="R1" s="4" t="s">
        <v>68</v>
      </c>
      <c r="S1" s="4" t="s">
        <v>76</v>
      </c>
      <c r="T1" s="4" t="s">
        <v>78</v>
      </c>
      <c r="U1" s="4" t="s">
        <v>75</v>
      </c>
      <c r="V1" s="4" t="s">
        <v>71</v>
      </c>
      <c r="W1" s="4" t="s">
        <v>72</v>
      </c>
    </row>
    <row r="2" spans="1:23" x14ac:dyDescent="0.3">
      <c r="A2" s="8" t="s">
        <v>62</v>
      </c>
      <c r="B2" s="8" t="s">
        <v>0</v>
      </c>
      <c r="C2" s="8" t="s">
        <v>63</v>
      </c>
      <c r="D2" s="8" t="s">
        <v>63</v>
      </c>
      <c r="E2" s="9" t="s">
        <v>8</v>
      </c>
      <c r="F2" s="9" t="s">
        <v>1</v>
      </c>
      <c r="G2" s="9" t="s">
        <v>64</v>
      </c>
      <c r="H2" s="9" t="s">
        <v>64</v>
      </c>
      <c r="I2" s="7" t="s">
        <v>9</v>
      </c>
      <c r="J2" s="7" t="s">
        <v>65</v>
      </c>
      <c r="K2" s="7" t="s">
        <v>66</v>
      </c>
      <c r="L2" s="7" t="s">
        <v>66</v>
      </c>
      <c r="M2" s="12" t="s">
        <v>10</v>
      </c>
      <c r="N2" s="12" t="s">
        <v>5</v>
      </c>
      <c r="O2" s="12" t="s">
        <v>80</v>
      </c>
      <c r="P2" s="12" t="s">
        <v>80</v>
      </c>
      <c r="Q2" s="10" t="s">
        <v>70</v>
      </c>
      <c r="R2" s="6" t="s">
        <v>69</v>
      </c>
      <c r="S2" s="11" t="s">
        <v>77</v>
      </c>
      <c r="T2" s="11" t="s">
        <v>79</v>
      </c>
      <c r="U2" s="11" t="s">
        <v>74</v>
      </c>
      <c r="V2" s="11" t="s">
        <v>73</v>
      </c>
      <c r="W2" s="11" t="s">
        <v>73</v>
      </c>
    </row>
    <row r="3" spans="1:23" x14ac:dyDescent="0.3">
      <c r="A3" s="2">
        <v>6.9</v>
      </c>
      <c r="B3" s="2">
        <v>86</v>
      </c>
      <c r="C3" s="2">
        <v>23</v>
      </c>
      <c r="D3" s="3">
        <f>RADIANS(C3)</f>
        <v>0.4014257279586958</v>
      </c>
      <c r="E3" s="2">
        <v>2.9</v>
      </c>
      <c r="F3" s="2">
        <v>35</v>
      </c>
      <c r="G3" s="2">
        <v>164</v>
      </c>
      <c r="H3" s="3">
        <f>RADIANS(G3)</f>
        <v>2.8623399732707004</v>
      </c>
      <c r="I3" s="2">
        <v>4.8</v>
      </c>
      <c r="J3" s="2">
        <v>73</v>
      </c>
      <c r="K3" s="2">
        <v>223</v>
      </c>
      <c r="L3" s="3">
        <f>RADIANS(K3)</f>
        <v>3.8920842319473548</v>
      </c>
      <c r="M3" s="2">
        <v>2.2999999999999998</v>
      </c>
      <c r="N3" s="2">
        <v>21</v>
      </c>
      <c r="O3" s="2">
        <v>194</v>
      </c>
      <c r="P3" s="3">
        <f>RADIANS(O3)</f>
        <v>3.3859387488689991</v>
      </c>
      <c r="Q3" s="2">
        <v>1</v>
      </c>
      <c r="R3" s="2">
        <v>50</v>
      </c>
      <c r="S3" s="3">
        <f>((-A3*B3*COS(D3)*(Q3^2)/R3)+(-E3*F3*COS(H3)*(Q3^2)/R3)+(-I3*J3*COS(L3)*(Q3^2)/R3)+(-M3*N3*COS(P3)*(Q3^2)/R3))</f>
        <v>-2.9105579454890145</v>
      </c>
      <c r="T3" s="3">
        <f>((-A3*B3*SIN(D3)*(Q3^2))-(E3*F3*SIN(H3)*(Q3^2))-(I3*J3*SIN(L3)*(Q3^2))-(M3*N3*SIN(P3)*(Q3^2)))/R3</f>
        <v>-0.18359980675194193</v>
      </c>
      <c r="U3" s="3">
        <f>SQRT((S3^2)+(T3^2))</f>
        <v>2.916342991331538</v>
      </c>
      <c r="V3" s="3">
        <f>ATAN(T3/S3)</f>
        <v>6.299715220118686E-2</v>
      </c>
      <c r="W3" s="39">
        <f>DEGREES(V3)</f>
        <v>3.6094709424712912</v>
      </c>
    </row>
    <row r="8" spans="1:23" x14ac:dyDescent="0.3">
      <c r="A8" s="4" t="s">
        <v>41</v>
      </c>
      <c r="B8" s="4" t="s">
        <v>26</v>
      </c>
      <c r="C8" s="4" t="s">
        <v>27</v>
      </c>
      <c r="D8" s="4" t="s">
        <v>61</v>
      </c>
      <c r="E8" s="4" t="s">
        <v>41</v>
      </c>
      <c r="F8" s="4" t="s">
        <v>26</v>
      </c>
      <c r="G8" s="4" t="s">
        <v>27</v>
      </c>
      <c r="H8" s="4" t="s">
        <v>61</v>
      </c>
      <c r="I8" s="4" t="s">
        <v>41</v>
      </c>
      <c r="J8" s="4" t="s">
        <v>26</v>
      </c>
      <c r="K8" s="4" t="s">
        <v>27</v>
      </c>
      <c r="L8" s="4" t="s">
        <v>61</v>
      </c>
      <c r="M8" s="4" t="s">
        <v>41</v>
      </c>
      <c r="N8" s="4" t="s">
        <v>26</v>
      </c>
      <c r="O8" s="4" t="s">
        <v>27</v>
      </c>
      <c r="P8" s="4" t="s">
        <v>61</v>
      </c>
      <c r="Q8" s="4" t="s">
        <v>67</v>
      </c>
      <c r="R8" s="4" t="s">
        <v>68</v>
      </c>
      <c r="S8" s="4" t="s">
        <v>76</v>
      </c>
      <c r="T8" s="4" t="s">
        <v>78</v>
      </c>
      <c r="U8" s="4" t="s">
        <v>75</v>
      </c>
      <c r="V8" s="4" t="s">
        <v>71</v>
      </c>
      <c r="W8" s="4" t="s">
        <v>72</v>
      </c>
    </row>
    <row r="9" spans="1:23" x14ac:dyDescent="0.3">
      <c r="A9" s="8" t="s">
        <v>62</v>
      </c>
      <c r="B9" s="8" t="s">
        <v>0</v>
      </c>
      <c r="C9" s="8" t="s">
        <v>63</v>
      </c>
      <c r="D9" s="8" t="s">
        <v>63</v>
      </c>
      <c r="E9" s="9" t="s">
        <v>8</v>
      </c>
      <c r="F9" s="9" t="s">
        <v>1</v>
      </c>
      <c r="G9" s="9" t="s">
        <v>64</v>
      </c>
      <c r="H9" s="9" t="s">
        <v>64</v>
      </c>
      <c r="I9" s="7" t="s">
        <v>9</v>
      </c>
      <c r="J9" s="7" t="s">
        <v>65</v>
      </c>
      <c r="K9" s="7" t="s">
        <v>66</v>
      </c>
      <c r="L9" s="7" t="s">
        <v>66</v>
      </c>
      <c r="M9" s="12" t="s">
        <v>10</v>
      </c>
      <c r="N9" s="12" t="s">
        <v>5</v>
      </c>
      <c r="O9" s="12" t="s">
        <v>80</v>
      </c>
      <c r="P9" s="12" t="s">
        <v>80</v>
      </c>
      <c r="Q9" s="10" t="s">
        <v>70</v>
      </c>
      <c r="R9" s="6" t="s">
        <v>69</v>
      </c>
      <c r="S9" s="11" t="s">
        <v>77</v>
      </c>
      <c r="T9" s="11" t="s">
        <v>79</v>
      </c>
      <c r="U9" s="11" t="s">
        <v>74</v>
      </c>
      <c r="V9" s="11" t="s">
        <v>73</v>
      </c>
      <c r="W9" s="11" t="s">
        <v>73</v>
      </c>
    </row>
    <row r="10" spans="1:23" x14ac:dyDescent="0.3">
      <c r="A10" s="2">
        <v>4.5999999999999996</v>
      </c>
      <c r="B10" s="2">
        <v>149</v>
      </c>
      <c r="C10" s="2">
        <v>29</v>
      </c>
      <c r="D10" s="3">
        <f>RADIANS(C10)</f>
        <v>0.50614548307835561</v>
      </c>
      <c r="E10" s="2">
        <v>9.3000000000000007</v>
      </c>
      <c r="F10" s="2">
        <v>64</v>
      </c>
      <c r="G10" s="2">
        <v>96</v>
      </c>
      <c r="H10" s="3">
        <f>RADIANS(G10)</f>
        <v>1.6755160819145565</v>
      </c>
      <c r="I10" s="2">
        <v>10.5</v>
      </c>
      <c r="J10" s="2">
        <v>81</v>
      </c>
      <c r="K10" s="2">
        <v>250</v>
      </c>
      <c r="L10" s="3">
        <f>RADIANS(K10)</f>
        <v>4.3633231299858242</v>
      </c>
      <c r="M10" s="2">
        <v>7.5</v>
      </c>
      <c r="N10" s="2">
        <v>84</v>
      </c>
      <c r="O10" s="2">
        <v>240</v>
      </c>
      <c r="P10" s="3">
        <f>RADIANS(O10)</f>
        <v>4.1887902047863905</v>
      </c>
      <c r="Q10" s="2">
        <v>1</v>
      </c>
      <c r="R10" s="2">
        <v>74</v>
      </c>
      <c r="S10" s="3">
        <f>((-A10*B10*COS(D10)*(Q10^2)/R10)+(-E10*F10*COS(H10)*(Q10^2)/R10)+(-I10*J10*COS(L10)*(Q10^2)/R10)+(-M10*N10*COS(P10)*(Q10^2)/R10))</f>
        <v>0.92755575624387898</v>
      </c>
      <c r="T10" s="3">
        <f>((-A10*B10*SIN(D10)*(Q10^2))-(E10*F10*SIN(H10)*(Q10^2))-(I10*J10*SIN(L10)*(Q10^2))-(M10*N10*SIN(P10)*(Q10^2)))/R10</f>
        <v>5.6834680070618306</v>
      </c>
      <c r="U10" s="3">
        <f>SQRT((S10^2)+(T10^2))</f>
        <v>5.758660284149129</v>
      </c>
      <c r="V10" s="3">
        <f>ATAN(T10/S10)</f>
        <v>1.4090201455209588</v>
      </c>
      <c r="W10" s="39">
        <f>DEGREES(V10)</f>
        <v>80.73090758726002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F15C-46E6-455F-AAED-E02D295D1A98}">
  <dimension ref="A1:AA3"/>
  <sheetViews>
    <sheetView workbookViewId="0">
      <selection activeCell="H23" sqref="H23"/>
    </sheetView>
  </sheetViews>
  <sheetFormatPr defaultRowHeight="14.4" x14ac:dyDescent="0.3"/>
  <cols>
    <col min="1" max="2" width="8.88671875" style="1"/>
    <col min="3" max="3" width="13.44140625" style="1" customWidth="1"/>
    <col min="4" max="4" width="15.88671875" style="1" customWidth="1"/>
    <col min="5" max="7" width="8.88671875" style="1"/>
    <col min="8" max="8" width="14.6640625" style="1" customWidth="1"/>
    <col min="9" max="10" width="8.88671875" style="1"/>
    <col min="11" max="11" width="9.88671875" style="1" customWidth="1"/>
    <col min="12" max="12" width="11.21875" style="1" customWidth="1"/>
    <col min="13" max="14" width="8.88671875" style="1"/>
    <col min="15" max="15" width="12.33203125" style="1" customWidth="1"/>
    <col min="16" max="19" width="13.44140625" style="1" customWidth="1"/>
    <col min="20" max="20" width="16" style="1" customWidth="1"/>
    <col min="21" max="22" width="8.88671875" style="1"/>
    <col min="23" max="23" width="21.109375" style="1" customWidth="1"/>
    <col min="24" max="24" width="18.5546875" style="1" customWidth="1"/>
    <col min="25" max="25" width="8.88671875" style="1"/>
    <col min="26" max="26" width="17" style="1" customWidth="1"/>
    <col min="27" max="27" width="14.33203125" style="1" customWidth="1"/>
    <col min="28" max="16384" width="8.88671875" style="1"/>
  </cols>
  <sheetData>
    <row r="1" spans="1:27" x14ac:dyDescent="0.3">
      <c r="A1" s="4" t="s">
        <v>41</v>
      </c>
      <c r="B1" s="4" t="s">
        <v>26</v>
      </c>
      <c r="C1" s="4" t="s">
        <v>27</v>
      </c>
      <c r="D1" s="4" t="s">
        <v>61</v>
      </c>
      <c r="E1" s="4" t="s">
        <v>41</v>
      </c>
      <c r="F1" s="4" t="s">
        <v>26</v>
      </c>
      <c r="G1" s="4" t="s">
        <v>27</v>
      </c>
      <c r="H1" s="4" t="s">
        <v>61</v>
      </c>
      <c r="I1" s="4" t="s">
        <v>41</v>
      </c>
      <c r="J1" s="4" t="s">
        <v>26</v>
      </c>
      <c r="K1" s="4" t="s">
        <v>27</v>
      </c>
      <c r="L1" s="4" t="s">
        <v>61</v>
      </c>
      <c r="M1" s="4" t="s">
        <v>41</v>
      </c>
      <c r="N1" s="4" t="s">
        <v>26</v>
      </c>
      <c r="O1" s="4" t="s">
        <v>27</v>
      </c>
      <c r="P1" s="4" t="s">
        <v>61</v>
      </c>
      <c r="Q1" s="4" t="s">
        <v>41</v>
      </c>
      <c r="R1" s="4" t="s">
        <v>26</v>
      </c>
      <c r="S1" s="4" t="s">
        <v>27</v>
      </c>
      <c r="T1" s="4" t="s">
        <v>61</v>
      </c>
      <c r="U1" s="4" t="s">
        <v>67</v>
      </c>
      <c r="V1" s="4" t="s">
        <v>68</v>
      </c>
      <c r="W1" s="4" t="s">
        <v>76</v>
      </c>
      <c r="X1" s="4" t="s">
        <v>78</v>
      </c>
      <c r="Y1" s="4" t="s">
        <v>75</v>
      </c>
      <c r="Z1" s="4" t="s">
        <v>71</v>
      </c>
      <c r="AA1" s="4" t="s">
        <v>72</v>
      </c>
    </row>
    <row r="2" spans="1:27" x14ac:dyDescent="0.3">
      <c r="A2" s="8" t="s">
        <v>62</v>
      </c>
      <c r="B2" s="8" t="s">
        <v>0</v>
      </c>
      <c r="C2" s="8" t="s">
        <v>63</v>
      </c>
      <c r="D2" s="8" t="s">
        <v>63</v>
      </c>
      <c r="E2" s="9" t="s">
        <v>8</v>
      </c>
      <c r="F2" s="9" t="s">
        <v>1</v>
      </c>
      <c r="G2" s="9" t="s">
        <v>64</v>
      </c>
      <c r="H2" s="9" t="s">
        <v>64</v>
      </c>
      <c r="I2" s="7" t="s">
        <v>9</v>
      </c>
      <c r="J2" s="7" t="s">
        <v>65</v>
      </c>
      <c r="K2" s="7" t="s">
        <v>66</v>
      </c>
      <c r="L2" s="7" t="s">
        <v>66</v>
      </c>
      <c r="M2" s="12" t="s">
        <v>10</v>
      </c>
      <c r="N2" s="12" t="s">
        <v>5</v>
      </c>
      <c r="O2" s="12" t="s">
        <v>80</v>
      </c>
      <c r="P2" s="12" t="s">
        <v>80</v>
      </c>
      <c r="Q2" s="5" t="s">
        <v>81</v>
      </c>
      <c r="R2" s="5" t="s">
        <v>82</v>
      </c>
      <c r="S2" s="5" t="s">
        <v>83</v>
      </c>
      <c r="T2" s="5" t="s">
        <v>83</v>
      </c>
      <c r="U2" s="10" t="s">
        <v>70</v>
      </c>
      <c r="V2" s="6" t="s">
        <v>69</v>
      </c>
      <c r="W2" s="11" t="s">
        <v>77</v>
      </c>
      <c r="X2" s="11" t="s">
        <v>79</v>
      </c>
      <c r="Y2" s="11" t="s">
        <v>74</v>
      </c>
      <c r="Z2" s="11" t="s">
        <v>73</v>
      </c>
      <c r="AA2" s="11" t="s">
        <v>73</v>
      </c>
    </row>
    <row r="3" spans="1:27" x14ac:dyDescent="0.3">
      <c r="A3" s="2">
        <v>2</v>
      </c>
      <c r="B3" s="2">
        <v>90</v>
      </c>
      <c r="C3" s="2">
        <v>30</v>
      </c>
      <c r="D3" s="3">
        <v>0.52359877559829882</v>
      </c>
      <c r="E3" s="2">
        <v>4</v>
      </c>
      <c r="F3" s="2">
        <v>30</v>
      </c>
      <c r="G3" s="2">
        <v>120</v>
      </c>
      <c r="H3" s="3">
        <v>2.0943951023931953</v>
      </c>
      <c r="I3" s="2">
        <v>8</v>
      </c>
      <c r="J3" s="2">
        <v>60</v>
      </c>
      <c r="K3" s="2">
        <v>240</v>
      </c>
      <c r="L3" s="3">
        <v>4.1887902047863905</v>
      </c>
      <c r="M3" s="2">
        <v>10</v>
      </c>
      <c r="N3" s="2">
        <v>50</v>
      </c>
      <c r="O3" s="2">
        <v>290</v>
      </c>
      <c r="P3" s="3">
        <v>5.0614548307835561</v>
      </c>
      <c r="Q3" s="2">
        <v>12</v>
      </c>
      <c r="R3" s="2">
        <v>60</v>
      </c>
      <c r="S3" s="2">
        <v>320</v>
      </c>
      <c r="T3" s="3">
        <f>RADIANS(S3)</f>
        <v>5.5850536063818543</v>
      </c>
      <c r="U3" s="2">
        <v>1</v>
      </c>
      <c r="V3" s="2">
        <v>90</v>
      </c>
      <c r="W3" s="3">
        <f>((-A3*B3*COS(D3)*(U3^2)/V3)+(-E3*F3*COS(H3)*(U3^2)/V3)+(-I3*J3*COS(L3)*(U3^2)/V3)+(-M3*N3*COS(P3)*(U3^2)/V3)+(-Q3*R3*COS(T3)*(U3^2)/V3))</f>
        <v>-6.4271849265521919</v>
      </c>
      <c r="X3" s="3">
        <f>((-A3*B3*SIN(D3)*(U3^2)/V3)+(-E3*F3*SIN(H3)*(U3^2)/V3)+(-I3*J3*SIN(L3)*(U3^2)/V3)+(-M3*N3*SIN(P3)*(U3^2)/V3)+(-Q3*R3*SIN(T3)*(U3^2)/V3))</f>
        <v>12.826917052551781</v>
      </c>
      <c r="Y3" s="3">
        <f>SQRT((W3^2)+(X3^2))</f>
        <v>14.347073121481726</v>
      </c>
      <c r="Z3" s="3">
        <f>ATAN(X3/W3)</f>
        <v>-1.106292984569891</v>
      </c>
      <c r="AA3" s="3">
        <f>DEGREES(Z3)</f>
        <v>-63.38591892078626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6DF8-71C2-4734-AA79-4525B188A727}">
  <dimension ref="A1:X31"/>
  <sheetViews>
    <sheetView tabSelected="1" zoomScale="85" zoomScaleNormal="85" workbookViewId="0">
      <selection activeCell="L30" sqref="L30"/>
    </sheetView>
  </sheetViews>
  <sheetFormatPr defaultRowHeight="14.4" x14ac:dyDescent="0.3"/>
  <cols>
    <col min="1" max="20" width="8.88671875" style="40"/>
    <col min="21" max="21" width="14.88671875" style="40" customWidth="1"/>
    <col min="22" max="22" width="14.5546875" style="40" customWidth="1"/>
    <col min="23" max="23" width="12.6640625" style="40" customWidth="1"/>
    <col min="24" max="24" width="13.5546875" style="40" customWidth="1"/>
    <col min="25" max="25" width="13.6640625" style="40" customWidth="1"/>
    <col min="26" max="26" width="11" style="40" customWidth="1"/>
    <col min="27" max="27" width="16.44140625" style="40" customWidth="1"/>
    <col min="28" max="28" width="14.6640625" style="40" customWidth="1"/>
    <col min="29" max="29" width="24.33203125" style="40" customWidth="1"/>
    <col min="30" max="35" width="8.88671875" style="40"/>
    <col min="36" max="36" width="13.33203125" style="40" customWidth="1"/>
    <col min="37" max="37" width="12" style="40" customWidth="1"/>
    <col min="38" max="40" width="12.109375" style="40" customWidth="1"/>
    <col min="41" max="43" width="13.44140625" style="40" customWidth="1"/>
    <col min="44" max="47" width="14.109375" style="40" customWidth="1"/>
    <col min="48" max="16384" width="8.88671875" style="40"/>
  </cols>
  <sheetData>
    <row r="1" spans="1:24" x14ac:dyDescent="0.3">
      <c r="A1" s="52" t="s">
        <v>84</v>
      </c>
      <c r="B1" s="51"/>
      <c r="C1" s="51"/>
      <c r="D1" s="53" t="s">
        <v>41</v>
      </c>
      <c r="E1" s="54"/>
      <c r="F1" s="55"/>
      <c r="G1" s="38" t="s">
        <v>27</v>
      </c>
      <c r="H1" s="38" t="s">
        <v>28</v>
      </c>
      <c r="I1" s="38" t="s">
        <v>29</v>
      </c>
      <c r="J1" s="38" t="s">
        <v>30</v>
      </c>
      <c r="K1" s="31"/>
      <c r="L1" s="51"/>
      <c r="M1" s="51"/>
      <c r="N1" s="31" t="s">
        <v>31</v>
      </c>
      <c r="O1" s="31"/>
      <c r="P1" s="51"/>
      <c r="Q1" s="51"/>
      <c r="R1" s="14" t="s">
        <v>29</v>
      </c>
      <c r="S1" s="56"/>
      <c r="T1" s="54"/>
      <c r="U1" s="54"/>
      <c r="V1" s="54"/>
      <c r="W1" s="54"/>
      <c r="X1" s="55"/>
    </row>
    <row r="2" spans="1:24" x14ac:dyDescent="0.3">
      <c r="A2" s="37" t="s">
        <v>0</v>
      </c>
      <c r="B2" s="37" t="s">
        <v>1</v>
      </c>
      <c r="C2" s="37" t="s">
        <v>5</v>
      </c>
      <c r="D2" s="36" t="s">
        <v>8</v>
      </c>
      <c r="E2" s="36" t="s">
        <v>9</v>
      </c>
      <c r="F2" s="36" t="s">
        <v>10</v>
      </c>
      <c r="G2" s="24" t="s">
        <v>42</v>
      </c>
      <c r="H2" s="24" t="s">
        <v>42</v>
      </c>
      <c r="I2" s="24" t="s">
        <v>6</v>
      </c>
      <c r="J2" s="24" t="s">
        <v>7</v>
      </c>
      <c r="K2" s="35" t="s">
        <v>2</v>
      </c>
      <c r="L2" s="34" t="s">
        <v>32</v>
      </c>
      <c r="M2" s="34" t="s">
        <v>33</v>
      </c>
      <c r="N2" s="35" t="s">
        <v>34</v>
      </c>
      <c r="O2" s="35" t="s">
        <v>3</v>
      </c>
      <c r="P2" s="34" t="s">
        <v>35</v>
      </c>
      <c r="Q2" s="34" t="s">
        <v>36</v>
      </c>
      <c r="R2" s="33" t="s">
        <v>4</v>
      </c>
      <c r="S2" s="32" t="s">
        <v>13</v>
      </c>
      <c r="T2" s="32" t="s">
        <v>14</v>
      </c>
      <c r="U2" s="32" t="s">
        <v>15</v>
      </c>
      <c r="V2" s="32" t="s">
        <v>16</v>
      </c>
      <c r="W2" s="32" t="s">
        <v>17</v>
      </c>
      <c r="X2" s="32" t="s">
        <v>18</v>
      </c>
    </row>
    <row r="3" spans="1:24" x14ac:dyDescent="0.3">
      <c r="A3" s="14">
        <v>0.5</v>
      </c>
      <c r="B3" s="14">
        <v>0.42</v>
      </c>
      <c r="C3" s="14">
        <v>0.8</v>
      </c>
      <c r="D3" s="31">
        <v>20</v>
      </c>
      <c r="E3" s="45">
        <v>30</v>
      </c>
      <c r="F3" s="31">
        <v>50</v>
      </c>
      <c r="G3" s="14">
        <v>133</v>
      </c>
      <c r="H3" s="21">
        <f>RADIANS(G3)</f>
        <v>2.3212879051524582</v>
      </c>
      <c r="I3" s="14">
        <v>5.2</v>
      </c>
      <c r="J3" s="14">
        <v>0</v>
      </c>
      <c r="K3" s="21">
        <f>SQRT(A3^2+B3^2-2*A3*B3*COS(H3))</f>
        <v>0.84429811750722816</v>
      </c>
      <c r="L3" s="14">
        <f>A3*B3*SIN(H3)</f>
        <v>0.1535842773400258</v>
      </c>
      <c r="M3" s="21">
        <f>K3</f>
        <v>0.84429811750722816</v>
      </c>
      <c r="N3" s="21">
        <f>((L3/M3)*I3)</f>
        <v>0.94591972386021217</v>
      </c>
      <c r="O3" s="21">
        <f>ATAN((B3*SIN(H3))/(B3*COS(H3)-A3))</f>
        <v>-0.37236060439422075</v>
      </c>
      <c r="P3" s="21">
        <f>(B3^2-A3*B3*COS(H3))*COS(O3)^2</f>
        <v>0.27731430041135646</v>
      </c>
      <c r="Q3" s="21">
        <f>(B3*COS(H3)-A3)^2</f>
        <v>0.61848679024201747</v>
      </c>
      <c r="R3" s="21">
        <f>(P3/Q3)*I3</f>
        <v>2.3315524032045651</v>
      </c>
      <c r="S3" s="21">
        <f>(N3*(A3-B3*COS(H3))/K3^2)</f>
        <v>1.0435850610262414</v>
      </c>
      <c r="T3" s="21">
        <f>(B3*SIN(H3))/K3</f>
        <v>0.36381527840777389</v>
      </c>
      <c r="U3" s="21">
        <f>(B3*COS(H3))/K3</f>
        <v>-0.33926323568262257</v>
      </c>
      <c r="V3" s="21">
        <f>(N3*B3*SIN(H3))/(K3^2)</f>
        <v>0.40760489754930845</v>
      </c>
      <c r="W3" s="21">
        <f>(K3*S3)/(B3*SIN(H3))</f>
        <v>2.8684475967954359</v>
      </c>
      <c r="X3" s="14">
        <f>(K3*T3)/(B3*SIN(H3))</f>
        <v>1</v>
      </c>
    </row>
    <row r="4" spans="1:24" x14ac:dyDescent="0.3">
      <c r="G4" s="48"/>
    </row>
    <row r="5" spans="1:24" x14ac:dyDescent="0.3">
      <c r="A5" s="51" t="s">
        <v>60</v>
      </c>
      <c r="B5" s="51"/>
      <c r="C5" s="51"/>
      <c r="D5" s="51"/>
      <c r="E5" s="51"/>
      <c r="F5" s="51"/>
      <c r="G5" s="51"/>
      <c r="H5" s="51"/>
      <c r="I5" s="51"/>
      <c r="J5" s="51" t="s">
        <v>43</v>
      </c>
      <c r="K5" s="51"/>
      <c r="L5" s="51"/>
      <c r="M5" s="51"/>
      <c r="N5" s="51"/>
      <c r="O5" s="51"/>
      <c r="P5" s="51"/>
      <c r="Q5" s="51"/>
      <c r="R5" s="51"/>
      <c r="S5" s="51"/>
      <c r="T5" s="51"/>
      <c r="U5" s="51" t="s">
        <v>56</v>
      </c>
      <c r="V5" s="51"/>
      <c r="W5" s="51"/>
    </row>
    <row r="6" spans="1:24" x14ac:dyDescent="0.3">
      <c r="A6" s="30" t="s">
        <v>19</v>
      </c>
      <c r="B6" s="30" t="s">
        <v>20</v>
      </c>
      <c r="C6" s="30" t="s">
        <v>55</v>
      </c>
      <c r="D6" s="29" t="s">
        <v>21</v>
      </c>
      <c r="E6" s="29" t="s">
        <v>22</v>
      </c>
      <c r="F6" s="29" t="s">
        <v>54</v>
      </c>
      <c r="G6" s="28" t="s">
        <v>23</v>
      </c>
      <c r="H6" s="28" t="s">
        <v>24</v>
      </c>
      <c r="I6" s="28" t="s">
        <v>53</v>
      </c>
      <c r="J6" s="27" t="s">
        <v>11</v>
      </c>
      <c r="K6" s="27" t="s">
        <v>44</v>
      </c>
      <c r="L6" s="27" t="s">
        <v>45</v>
      </c>
      <c r="M6" s="27" t="s">
        <v>46</v>
      </c>
      <c r="N6" s="26" t="s">
        <v>47</v>
      </c>
      <c r="O6" s="26" t="s">
        <v>48</v>
      </c>
      <c r="P6" s="26" t="s">
        <v>49</v>
      </c>
      <c r="Q6" s="25" t="s">
        <v>12</v>
      </c>
      <c r="R6" s="25" t="s">
        <v>50</v>
      </c>
      <c r="S6" s="25" t="s">
        <v>51</v>
      </c>
      <c r="T6" s="25" t="s">
        <v>52</v>
      </c>
      <c r="U6" s="24" t="s">
        <v>57</v>
      </c>
      <c r="V6" s="23" t="s">
        <v>58</v>
      </c>
      <c r="W6" s="22" t="s">
        <v>59</v>
      </c>
    </row>
    <row r="7" spans="1:24" x14ac:dyDescent="0.3">
      <c r="A7" s="21">
        <f>(B3*COS(H3))/2</f>
        <v>-0.14321965561312466</v>
      </c>
      <c r="B7" s="14">
        <f>B3*SIN(H3)/2</f>
        <v>0.1535842773400258</v>
      </c>
      <c r="C7" s="14">
        <f>SQRT((A7)^2+(B7)^2)</f>
        <v>0.21</v>
      </c>
      <c r="D7" s="21">
        <f>B3*COS(H3)</f>
        <v>-0.28643931122624933</v>
      </c>
      <c r="E7" s="14">
        <f>B3*SIN(H3)</f>
        <v>0.30716855468005161</v>
      </c>
      <c r="F7" s="14">
        <f>SQRT((D7)^2+(E7)^2)</f>
        <v>0.42</v>
      </c>
      <c r="G7" s="21">
        <f>A3-(C3*COS(O3)/2)</f>
        <v>0.12741155290115092</v>
      </c>
      <c r="H7" s="21">
        <f>C3*SIN(O3)/2</f>
        <v>-0.14552611136310953</v>
      </c>
      <c r="I7" s="21">
        <f>SQRT((G7)^2+(H7)^2)</f>
        <v>0.19342066306667169</v>
      </c>
      <c r="J7" s="14">
        <f>((D3*(B3^2))/(12))</f>
        <v>0.29399999999999998</v>
      </c>
      <c r="K7" s="14">
        <f>(-B3*I3*SIN(H3)/2)</f>
        <v>-0.79863824216813428</v>
      </c>
      <c r="L7" s="14">
        <f>(B3*I3*COS(H3)/2)</f>
        <v>-0.74474220918824829</v>
      </c>
      <c r="M7" s="14">
        <f>SQRT((K7)^2+(L7)^2)</f>
        <v>1.0920000000000001</v>
      </c>
      <c r="N7" s="14">
        <f>(-B3*I3*SIN(H3))</f>
        <v>-1.5972764843362686</v>
      </c>
      <c r="O7" s="14">
        <f>B3*I3*COS(H3)</f>
        <v>-1.4894844183764966</v>
      </c>
      <c r="P7" s="14">
        <f>SQRT((N7)^2+(O7)^2)</f>
        <v>2.1840000000000002</v>
      </c>
      <c r="Q7" s="21">
        <f>((F3*(C3^2))/(12))</f>
        <v>2.6666666666666674</v>
      </c>
      <c r="R7" s="14">
        <f>(C3*R3*SIN(O3))/2</f>
        <v>-0.33930175467767326</v>
      </c>
      <c r="S7" s="14">
        <f>C3*R3*COS(O3)/2</f>
        <v>0.86870948923957858</v>
      </c>
      <c r="T7" s="21">
        <f>SQRT((R7)^2+(S7)^2)</f>
        <v>0.93262096128182614</v>
      </c>
      <c r="U7" s="21">
        <f>(-D3*9.81*B3/2)*COS(H3)</f>
        <v>28.099696431295062</v>
      </c>
      <c r="V7" s="21">
        <f>-E3*9.81*B3*COS(H3)</f>
        <v>84.299089293885174</v>
      </c>
      <c r="W7" s="21">
        <f>(-F3*9.81*B3*COS(H3))/K3</f>
        <v>166.40861710232636</v>
      </c>
    </row>
    <row r="8" spans="1:24" x14ac:dyDescent="0.3">
      <c r="B8" s="13"/>
      <c r="C8" s="15"/>
      <c r="D8" s="15"/>
      <c r="E8" s="15"/>
      <c r="F8" s="15"/>
      <c r="G8" s="15"/>
      <c r="H8" s="15"/>
      <c r="I8" s="15"/>
      <c r="J8" s="15"/>
      <c r="K8" s="13"/>
    </row>
    <row r="9" spans="1:24" x14ac:dyDescent="0.3">
      <c r="B9" s="13"/>
      <c r="C9" s="15"/>
      <c r="D9" s="15"/>
      <c r="E9" s="15"/>
      <c r="F9" s="15"/>
      <c r="G9" s="15"/>
      <c r="H9" s="15"/>
      <c r="I9" s="15"/>
      <c r="J9" s="15"/>
      <c r="K9" s="15"/>
    </row>
    <row r="10" spans="1:24" x14ac:dyDescent="0.3">
      <c r="B10" s="13"/>
      <c r="C10" s="15"/>
      <c r="D10" s="15"/>
      <c r="E10" s="15"/>
      <c r="F10" s="15"/>
      <c r="G10" s="15"/>
      <c r="H10" s="15"/>
      <c r="I10" s="15"/>
      <c r="J10" s="15"/>
      <c r="K10" s="15"/>
    </row>
    <row r="11" spans="1:24" x14ac:dyDescent="0.3">
      <c r="B11" s="13"/>
      <c r="C11" s="15"/>
      <c r="D11" s="15"/>
      <c r="E11" s="15"/>
      <c r="F11" s="15"/>
      <c r="G11" s="15"/>
      <c r="H11" s="15"/>
      <c r="I11" s="15"/>
      <c r="J11" s="15"/>
      <c r="K11" s="15"/>
    </row>
    <row r="12" spans="1:24" x14ac:dyDescent="0.3">
      <c r="B12" s="13"/>
      <c r="C12" s="15"/>
      <c r="D12" s="15"/>
      <c r="E12" s="15"/>
      <c r="F12" s="15"/>
      <c r="G12" s="15"/>
      <c r="H12" s="15"/>
      <c r="I12" s="15"/>
      <c r="J12" s="15"/>
      <c r="K12" s="15"/>
    </row>
    <row r="13" spans="1:24" x14ac:dyDescent="0.3">
      <c r="B13" s="13"/>
      <c r="C13" s="15"/>
      <c r="D13" s="15"/>
      <c r="E13" s="15"/>
      <c r="F13" s="20" t="s">
        <v>37</v>
      </c>
      <c r="G13" s="50">
        <f>(D3*(B3^2)/4+E3*(B3^2)+F3*(C3^2)*(T3^2)/4+F3*(C3^2)/4*(U3^2)+J7+Q7*(X3^2))*J3</f>
        <v>0</v>
      </c>
      <c r="H13" s="15"/>
      <c r="I13" s="15"/>
    </row>
    <row r="14" spans="1:24" x14ac:dyDescent="0.3">
      <c r="B14" s="13"/>
      <c r="C14" s="15"/>
      <c r="D14" s="15"/>
      <c r="E14" s="15"/>
      <c r="G14" s="17"/>
      <c r="H14" s="15"/>
      <c r="I14" s="15"/>
    </row>
    <row r="15" spans="1:24" x14ac:dyDescent="0.3">
      <c r="B15" s="13"/>
      <c r="C15" s="15"/>
      <c r="D15" s="15"/>
      <c r="E15" s="15"/>
      <c r="F15" s="15"/>
      <c r="G15" s="18"/>
      <c r="H15" s="15"/>
      <c r="I15" s="15"/>
      <c r="J15" s="15"/>
      <c r="K15" s="15"/>
    </row>
    <row r="16" spans="1:24" x14ac:dyDescent="0.3">
      <c r="B16" s="13"/>
      <c r="C16" s="15"/>
      <c r="D16" s="15"/>
      <c r="E16" s="15"/>
      <c r="F16" s="20" t="s">
        <v>37</v>
      </c>
      <c r="G16" s="49">
        <v>0</v>
      </c>
      <c r="H16" s="15"/>
      <c r="I16" s="15"/>
      <c r="J16" s="15"/>
      <c r="K16" s="15"/>
    </row>
    <row r="17" spans="2:22" x14ac:dyDescent="0.3">
      <c r="B17" s="13"/>
      <c r="C17" s="15"/>
      <c r="D17" s="15"/>
      <c r="E17" s="15"/>
      <c r="H17" s="15"/>
      <c r="I17" s="15"/>
      <c r="J17" s="15"/>
      <c r="K17" s="15"/>
    </row>
    <row r="18" spans="2:22" x14ac:dyDescent="0.3">
      <c r="B18" s="13"/>
      <c r="C18" s="15"/>
      <c r="D18" s="15"/>
      <c r="E18" s="15"/>
      <c r="F18" s="15"/>
      <c r="G18" s="18"/>
      <c r="H18" s="15"/>
      <c r="I18" s="15"/>
      <c r="J18" s="15"/>
      <c r="K18" s="15"/>
    </row>
    <row r="19" spans="2:22" x14ac:dyDescent="0.3">
      <c r="B19" s="13"/>
      <c r="C19" s="15"/>
      <c r="D19" s="15"/>
      <c r="E19" s="15"/>
      <c r="F19" s="20" t="s">
        <v>37</v>
      </c>
      <c r="G19" s="18">
        <f>-((D3*9.81*B3/2*COS(H3))+(E3*9.81*B3*COS(H3))+(F3*9.81*C3/2*U3))</f>
        <v>178.9622325661108</v>
      </c>
      <c r="H19" s="19" t="s">
        <v>38</v>
      </c>
      <c r="I19" s="19" t="s">
        <v>39</v>
      </c>
      <c r="J19" s="15"/>
      <c r="K19" s="15"/>
    </row>
    <row r="20" spans="2:22" x14ac:dyDescent="0.3">
      <c r="B20" s="13"/>
      <c r="C20" s="15"/>
      <c r="D20" s="15"/>
      <c r="E20" s="15"/>
      <c r="G20" s="17"/>
      <c r="J20" s="15"/>
      <c r="K20" s="15"/>
    </row>
    <row r="21" spans="2:22" x14ac:dyDescent="0.3">
      <c r="B21" s="13"/>
      <c r="C21" s="15"/>
      <c r="D21" s="15"/>
      <c r="E21" s="15"/>
      <c r="F21" s="15"/>
      <c r="G21" s="18"/>
      <c r="H21" s="15"/>
      <c r="I21" s="15"/>
      <c r="J21" s="15"/>
      <c r="K21" s="15"/>
    </row>
    <row r="22" spans="2:22" x14ac:dyDescent="0.3">
      <c r="B22" s="13"/>
      <c r="C22" s="15"/>
      <c r="D22" s="15"/>
      <c r="E22" s="15"/>
      <c r="F22" s="16" t="s">
        <v>40</v>
      </c>
      <c r="G22" s="17">
        <f>G13-G16-G19</f>
        <v>-178.9622325661108</v>
      </c>
      <c r="H22" s="15"/>
      <c r="I22" s="15"/>
      <c r="J22" s="15"/>
      <c r="K22" s="15"/>
    </row>
    <row r="23" spans="2:22" x14ac:dyDescent="0.3">
      <c r="B23" s="13"/>
      <c r="C23" s="15"/>
      <c r="D23" s="15"/>
      <c r="E23" s="15"/>
      <c r="F23" s="16"/>
      <c r="G23" s="13"/>
      <c r="H23" s="15"/>
      <c r="I23" s="15"/>
      <c r="J23" s="15"/>
      <c r="K23" s="15"/>
    </row>
    <row r="24" spans="2:22" x14ac:dyDescent="0.3">
      <c r="B24" s="13"/>
      <c r="C24" s="15"/>
      <c r="D24" s="15"/>
      <c r="E24" s="15"/>
      <c r="F24" s="16" t="s">
        <v>25</v>
      </c>
      <c r="G24" s="44">
        <f>(D3*(B3^2)/4+E3*(B3^2)+F3*(C3^2)*(T3^2)/4+F3*(C3^2)/4*(U3^2)+J7+Q7*(X3^2))*J3-G16+(D3*9.81*B3/2*COS(H3))+(E3*9.81*B3*COS(H3))+(F3*9.81*C3/2*U3)</f>
        <v>-178.9622325661108</v>
      </c>
      <c r="H24" s="15"/>
      <c r="I24" s="15"/>
      <c r="J24" s="15"/>
      <c r="K24" s="15"/>
    </row>
    <row r="25" spans="2:22" x14ac:dyDescent="0.3">
      <c r="B25" s="13"/>
      <c r="C25" s="15"/>
      <c r="D25" s="15"/>
      <c r="E25" s="15"/>
      <c r="F25" s="15"/>
      <c r="G25" s="15"/>
      <c r="H25" s="15"/>
      <c r="I25" s="15"/>
      <c r="J25" s="15"/>
      <c r="K25" s="15"/>
    </row>
    <row r="26" spans="2:22" x14ac:dyDescent="0.3">
      <c r="B26" s="13"/>
      <c r="C26" s="15"/>
      <c r="D26" s="15"/>
      <c r="E26" s="15"/>
      <c r="F26" s="41" t="s">
        <v>85</v>
      </c>
      <c r="G26" s="42">
        <f>(0.5*D3*(B3^2/4)*I3^2)+(0.5*E3*(B3^2)*I3^2)+(0.5*F3*(C3^2/4)*(S3^2-2*S3*T3*I3+T3^2*I3^2))+(0.5*F3*(C3^2/4)*(U3^2*I3^2-2*U3*V3*I3+V3^2))+(0.5*J7*I3^2)+(0.5*Q7*(W3^2-2*W3*X3*I3+X3^2*I3^2))</f>
        <v>116.44008858074122</v>
      </c>
      <c r="H26" s="15"/>
      <c r="I26" s="15"/>
      <c r="J26" s="15"/>
      <c r="K26" s="15"/>
      <c r="N26" s="46"/>
    </row>
    <row r="27" spans="2:22" x14ac:dyDescent="0.3">
      <c r="B27" s="13"/>
      <c r="C27" s="13"/>
      <c r="D27" s="13"/>
      <c r="E27" s="13"/>
      <c r="F27" s="41"/>
      <c r="G27" s="43"/>
      <c r="H27" s="13"/>
      <c r="I27" s="13"/>
      <c r="J27" s="13"/>
      <c r="K27" s="15"/>
    </row>
    <row r="28" spans="2:22" x14ac:dyDescent="0.3">
      <c r="F28" s="41"/>
      <c r="G28" s="43"/>
      <c r="U28" s="48"/>
    </row>
    <row r="29" spans="2:22" x14ac:dyDescent="0.3">
      <c r="U29" s="48"/>
    </row>
    <row r="30" spans="2:22" x14ac:dyDescent="0.3">
      <c r="U30" s="48"/>
    </row>
    <row r="31" spans="2:22" ht="15.6" x14ac:dyDescent="0.3">
      <c r="V31" s="47"/>
    </row>
  </sheetData>
  <mergeCells count="8">
    <mergeCell ref="A5:I5"/>
    <mergeCell ref="J5:T5"/>
    <mergeCell ref="U5:W5"/>
    <mergeCell ref="A1:C1"/>
    <mergeCell ref="D1:F1"/>
    <mergeCell ref="L1:M1"/>
    <mergeCell ref="P1:Q1"/>
    <mergeCell ref="S1:X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Sınav Sorusu 1 (3 Kütleli)</vt:lpstr>
      <vt:lpstr>Sınav Sorusu 1 (4 Kütleli)</vt:lpstr>
      <vt:lpstr>Sınav Sorusu 1 (5 Kütleli)</vt:lpstr>
      <vt:lpstr>Sınav Sorusu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2015-06-05T18:19:34Z</dcterms:created>
  <dcterms:modified xsi:type="dcterms:W3CDTF">2021-06-14T07:29:21Z</dcterms:modified>
</cp:coreProperties>
</file>