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24D7A048-09F0-48B8-8BF9-E18B3973A8F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ummary" sheetId="6" r:id="rId1"/>
    <sheet name="Architecture" sheetId="1" r:id="rId2"/>
    <sheet name="MBI Sizing" sheetId="8" r:id="rId3"/>
    <sheet name="Final sizing" sheetId="2" r:id="rId4"/>
    <sheet name="Remote Server Sizing" sheetId="17" r:id="rId5"/>
    <sheet name="PO so Main server and BI se" sheetId="16" state="hidden" r:id="rId6"/>
    <sheet name="RS so Main server and BI serve" sheetId="13" state="hidden" r:id="rId7"/>
    <sheet name="RS Main server and BI server " sheetId="12" state="hidden" r:id="rId8"/>
    <sheet name="Main server and BI server" sheetId="10" state="hidden" r:id="rId9"/>
    <sheet name="Poller Sizing" sheetId="11" r:id="rId10"/>
    <sheet name="AVV config" sheetId="15" state="hidden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2" l="1"/>
  <c r="C18" i="2" l="1"/>
  <c r="B22" i="17" l="1"/>
  <c r="F18" i="2"/>
  <c r="H18" i="2"/>
  <c r="E18" i="2"/>
  <c r="D18" i="2"/>
  <c r="K34" i="10" l="1"/>
  <c r="K33" i="10"/>
  <c r="G8" i="10"/>
  <c r="B10" i="11" l="1"/>
  <c r="C22" i="17"/>
  <c r="B15" i="11"/>
  <c r="C27" i="17"/>
  <c r="B27" i="17"/>
  <c r="C12" i="1" l="1"/>
  <c r="C11" i="1"/>
  <c r="C20" i="17"/>
  <c r="D8" i="13" s="1"/>
  <c r="G8" i="13" s="1"/>
  <c r="J8" i="13" s="1"/>
  <c r="H8" i="13" l="1"/>
  <c r="I8" i="13"/>
  <c r="K8" i="13"/>
  <c r="B24" i="17"/>
  <c r="I8" i="1"/>
  <c r="B20" i="11"/>
  <c r="B13" i="11"/>
  <c r="B12" i="11"/>
  <c r="D33" i="16"/>
  <c r="C8" i="11"/>
  <c r="D8" i="16" s="1"/>
  <c r="G33" i="16" s="1"/>
  <c r="C30" i="17"/>
  <c r="C28" i="17"/>
  <c r="B25" i="17"/>
  <c r="B29" i="17" s="1"/>
  <c r="C16" i="17"/>
  <c r="E12" i="17"/>
  <c r="E11" i="17"/>
  <c r="E10" i="17"/>
  <c r="E9" i="17"/>
  <c r="J65" i="16"/>
  <c r="J64" i="16"/>
  <c r="J63" i="16"/>
  <c r="J62" i="16"/>
  <c r="J61" i="16"/>
  <c r="G61" i="16" s="1"/>
  <c r="H61" i="16"/>
  <c r="J60" i="16"/>
  <c r="J59" i="16"/>
  <c r="H59" i="16"/>
  <c r="G59" i="16" s="1"/>
  <c r="J58" i="16"/>
  <c r="G32" i="16"/>
  <c r="K31" i="16"/>
  <c r="I31" i="16"/>
  <c r="G31" i="16"/>
  <c r="J31" i="16" s="1"/>
  <c r="K30" i="16"/>
  <c r="I30" i="16"/>
  <c r="G30" i="16"/>
  <c r="J30" i="16" s="1"/>
  <c r="K29" i="16"/>
  <c r="J29" i="16"/>
  <c r="I29" i="16"/>
  <c r="G29" i="16"/>
  <c r="K28" i="16"/>
  <c r="J28" i="16"/>
  <c r="I28" i="16"/>
  <c r="G28" i="16"/>
  <c r="K27" i="16"/>
  <c r="I27" i="16"/>
  <c r="G27" i="16"/>
  <c r="J27" i="16" s="1"/>
  <c r="K26" i="16"/>
  <c r="I26" i="16"/>
  <c r="G26" i="16"/>
  <c r="J26" i="16" s="1"/>
  <c r="K25" i="16"/>
  <c r="J25" i="16"/>
  <c r="I25" i="16"/>
  <c r="G25" i="16"/>
  <c r="K24" i="16"/>
  <c r="J24" i="16"/>
  <c r="I24" i="16"/>
  <c r="G24" i="16"/>
  <c r="K23" i="16"/>
  <c r="I23" i="16"/>
  <c r="G23" i="16"/>
  <c r="J23" i="16" s="1"/>
  <c r="K22" i="16"/>
  <c r="I22" i="16"/>
  <c r="G22" i="16"/>
  <c r="J22" i="16" s="1"/>
  <c r="K21" i="16"/>
  <c r="J21" i="16"/>
  <c r="I21" i="16"/>
  <c r="G21" i="16"/>
  <c r="K20" i="16"/>
  <c r="J20" i="16"/>
  <c r="I20" i="16"/>
  <c r="G20" i="16"/>
  <c r="K19" i="16"/>
  <c r="I19" i="16"/>
  <c r="G19" i="16"/>
  <c r="J19" i="16" s="1"/>
  <c r="K18" i="16"/>
  <c r="I18" i="16"/>
  <c r="G18" i="16"/>
  <c r="J18" i="16" s="1"/>
  <c r="K17" i="16"/>
  <c r="J17" i="16"/>
  <c r="I17" i="16"/>
  <c r="G17" i="16"/>
  <c r="K16" i="16"/>
  <c r="J16" i="16"/>
  <c r="I16" i="16"/>
  <c r="G16" i="16"/>
  <c r="K15" i="16"/>
  <c r="I15" i="16"/>
  <c r="G15" i="16"/>
  <c r="J15" i="16" s="1"/>
  <c r="K14" i="16"/>
  <c r="I14" i="16"/>
  <c r="G14" i="16"/>
  <c r="J14" i="16" s="1"/>
  <c r="K13" i="16"/>
  <c r="J13" i="16"/>
  <c r="I13" i="16"/>
  <c r="G13" i="16"/>
  <c r="K12" i="16"/>
  <c r="J12" i="16"/>
  <c r="I12" i="16"/>
  <c r="G12" i="16"/>
  <c r="K11" i="16"/>
  <c r="I11" i="16"/>
  <c r="G11" i="16"/>
  <c r="J11" i="16" s="1"/>
  <c r="K10" i="16"/>
  <c r="I10" i="16"/>
  <c r="G10" i="16"/>
  <c r="J10" i="16" s="1"/>
  <c r="K9" i="16"/>
  <c r="J9" i="16"/>
  <c r="I9" i="16"/>
  <c r="G9" i="16"/>
  <c r="C18" i="17" l="1"/>
  <c r="C19" i="17" s="1"/>
  <c r="C24" i="17" s="1"/>
  <c r="G8" i="16"/>
  <c r="G74" i="16"/>
  <c r="H60" i="16"/>
  <c r="G60" i="16" s="1"/>
  <c r="G55" i="16"/>
  <c r="G45" i="16"/>
  <c r="G53" i="16" s="1"/>
  <c r="H63" i="16" s="1"/>
  <c r="G63" i="16" s="1"/>
  <c r="G44" i="16"/>
  <c r="G52" i="16" s="1"/>
  <c r="H62" i="16" s="1"/>
  <c r="G62" i="16" s="1"/>
  <c r="K8" i="16"/>
  <c r="G71" i="16" s="1"/>
  <c r="G35" i="16"/>
  <c r="H58" i="16"/>
  <c r="G58" i="16" s="1"/>
  <c r="G54" i="16"/>
  <c r="H64" i="16" s="1"/>
  <c r="G64" i="16" s="1"/>
  <c r="G10" i="13"/>
  <c r="C32" i="17" l="1"/>
  <c r="C25" i="17"/>
  <c r="C29" i="17" s="1"/>
  <c r="C35" i="17" s="1"/>
  <c r="J8" i="16"/>
  <c r="G70" i="16" s="1"/>
  <c r="G34" i="16"/>
  <c r="H65" i="16"/>
  <c r="G65" i="16" s="1"/>
  <c r="H66" i="16"/>
  <c r="G66" i="16" s="1"/>
  <c r="G73" i="16"/>
  <c r="C23" i="2"/>
  <c r="G79" i="16" l="1"/>
  <c r="H70" i="16"/>
  <c r="D33" i="13"/>
  <c r="I8" i="16"/>
  <c r="H8" i="16" l="1"/>
  <c r="G72" i="16" s="1"/>
  <c r="G75" i="16" s="1"/>
  <c r="G77" i="16" l="1"/>
  <c r="H77" i="16" s="1"/>
  <c r="J65" i="13"/>
  <c r="J64" i="13"/>
  <c r="J63" i="13"/>
  <c r="J62" i="13"/>
  <c r="J61" i="13"/>
  <c r="H61" i="13"/>
  <c r="G61" i="13"/>
  <c r="J60" i="13"/>
  <c r="J59" i="13"/>
  <c r="H59" i="13"/>
  <c r="G59" i="13" s="1"/>
  <c r="J58" i="13"/>
  <c r="H58" i="13"/>
  <c r="G58" i="13" s="1"/>
  <c r="G32" i="13"/>
  <c r="K31" i="13"/>
  <c r="I31" i="13"/>
  <c r="G31" i="13"/>
  <c r="J31" i="13" s="1"/>
  <c r="K30" i="13"/>
  <c r="I30" i="13"/>
  <c r="G30" i="13"/>
  <c r="J30" i="13" s="1"/>
  <c r="K29" i="13"/>
  <c r="J29" i="13"/>
  <c r="I29" i="13"/>
  <c r="G29" i="13"/>
  <c r="K28" i="13"/>
  <c r="J28" i="13"/>
  <c r="I28" i="13"/>
  <c r="G28" i="13"/>
  <c r="K27" i="13"/>
  <c r="I27" i="13"/>
  <c r="G27" i="13"/>
  <c r="J27" i="13" s="1"/>
  <c r="K26" i="13"/>
  <c r="I26" i="13"/>
  <c r="G26" i="13"/>
  <c r="J26" i="13" s="1"/>
  <c r="K25" i="13"/>
  <c r="J25" i="13"/>
  <c r="I25" i="13"/>
  <c r="G25" i="13"/>
  <c r="K24" i="13"/>
  <c r="J24" i="13"/>
  <c r="I24" i="13"/>
  <c r="G24" i="13"/>
  <c r="K23" i="13"/>
  <c r="I23" i="13"/>
  <c r="G23" i="13"/>
  <c r="J23" i="13" s="1"/>
  <c r="K22" i="13"/>
  <c r="I22" i="13"/>
  <c r="G22" i="13"/>
  <c r="J22" i="13" s="1"/>
  <c r="K21" i="13"/>
  <c r="J21" i="13"/>
  <c r="I21" i="13"/>
  <c r="G21" i="13"/>
  <c r="K20" i="13"/>
  <c r="J20" i="13"/>
  <c r="I20" i="13"/>
  <c r="G20" i="13"/>
  <c r="K19" i="13"/>
  <c r="I19" i="13"/>
  <c r="G19" i="13"/>
  <c r="J19" i="13" s="1"/>
  <c r="K18" i="13"/>
  <c r="I18" i="13"/>
  <c r="G18" i="13"/>
  <c r="J18" i="13" s="1"/>
  <c r="K17" i="13"/>
  <c r="J17" i="13"/>
  <c r="I17" i="13"/>
  <c r="G17" i="13"/>
  <c r="K16" i="13"/>
  <c r="J16" i="13"/>
  <c r="I16" i="13"/>
  <c r="G16" i="13"/>
  <c r="K15" i="13"/>
  <c r="I15" i="13"/>
  <c r="G15" i="13"/>
  <c r="J15" i="13" s="1"/>
  <c r="K14" i="13"/>
  <c r="I14" i="13"/>
  <c r="G14" i="13"/>
  <c r="J14" i="13" s="1"/>
  <c r="K13" i="13"/>
  <c r="J13" i="13"/>
  <c r="I13" i="13"/>
  <c r="G13" i="13"/>
  <c r="K12" i="13"/>
  <c r="J12" i="13"/>
  <c r="I12" i="13"/>
  <c r="G12" i="13"/>
  <c r="K11" i="13"/>
  <c r="I11" i="13"/>
  <c r="G11" i="13"/>
  <c r="J11" i="13" s="1"/>
  <c r="K10" i="13"/>
  <c r="I10" i="13"/>
  <c r="J10" i="13"/>
  <c r="K9" i="13"/>
  <c r="J9" i="13"/>
  <c r="I9" i="13"/>
  <c r="G9" i="13"/>
  <c r="B18" i="11" l="1"/>
  <c r="B16" i="11"/>
  <c r="J65" i="12"/>
  <c r="J64" i="12"/>
  <c r="J63" i="12"/>
  <c r="J62" i="12"/>
  <c r="J61" i="12"/>
  <c r="H61" i="12"/>
  <c r="G61" i="12"/>
  <c r="J60" i="12"/>
  <c r="J59" i="12"/>
  <c r="H59" i="12"/>
  <c r="G59" i="12" s="1"/>
  <c r="J58" i="12"/>
  <c r="D33" i="12"/>
  <c r="G32" i="12"/>
  <c r="K31" i="12"/>
  <c r="I31" i="12"/>
  <c r="G31" i="12"/>
  <c r="J31" i="12" s="1"/>
  <c r="K30" i="12"/>
  <c r="J30" i="12"/>
  <c r="I30" i="12"/>
  <c r="G30" i="12"/>
  <c r="K29" i="12"/>
  <c r="J29" i="12"/>
  <c r="I29" i="12"/>
  <c r="G29" i="12"/>
  <c r="K28" i="12"/>
  <c r="J28" i="12"/>
  <c r="I28" i="12"/>
  <c r="G28" i="12"/>
  <c r="K27" i="12"/>
  <c r="I27" i="12"/>
  <c r="G27" i="12"/>
  <c r="J27" i="12" s="1"/>
  <c r="K26" i="12"/>
  <c r="J26" i="12"/>
  <c r="I26" i="12"/>
  <c r="G26" i="12"/>
  <c r="K25" i="12"/>
  <c r="J25" i="12"/>
  <c r="I25" i="12"/>
  <c r="G25" i="12"/>
  <c r="K24" i="12"/>
  <c r="J24" i="12"/>
  <c r="I24" i="12"/>
  <c r="G24" i="12"/>
  <c r="K23" i="12"/>
  <c r="I23" i="12"/>
  <c r="G23" i="12"/>
  <c r="J23" i="12" s="1"/>
  <c r="K22" i="12"/>
  <c r="J22" i="12"/>
  <c r="I22" i="12"/>
  <c r="G22" i="12"/>
  <c r="K21" i="12"/>
  <c r="J21" i="12"/>
  <c r="I21" i="12"/>
  <c r="G21" i="12"/>
  <c r="K20" i="12"/>
  <c r="J20" i="12"/>
  <c r="I20" i="12"/>
  <c r="G20" i="12"/>
  <c r="K19" i="12"/>
  <c r="I19" i="12"/>
  <c r="G19" i="12"/>
  <c r="J19" i="12" s="1"/>
  <c r="K18" i="12"/>
  <c r="J18" i="12"/>
  <c r="I18" i="12"/>
  <c r="G18" i="12"/>
  <c r="K17" i="12"/>
  <c r="J17" i="12"/>
  <c r="I17" i="12"/>
  <c r="G17" i="12"/>
  <c r="K16" i="12"/>
  <c r="J16" i="12"/>
  <c r="I16" i="12"/>
  <c r="G16" i="12"/>
  <c r="K15" i="12"/>
  <c r="I15" i="12"/>
  <c r="G15" i="12"/>
  <c r="J15" i="12" s="1"/>
  <c r="K14" i="12"/>
  <c r="J14" i="12"/>
  <c r="I14" i="12"/>
  <c r="G14" i="12"/>
  <c r="K13" i="12"/>
  <c r="J13" i="12"/>
  <c r="I13" i="12"/>
  <c r="G13" i="12"/>
  <c r="K12" i="12"/>
  <c r="J12" i="12"/>
  <c r="I12" i="12"/>
  <c r="G12" i="12"/>
  <c r="K11" i="12"/>
  <c r="I11" i="12"/>
  <c r="G11" i="12"/>
  <c r="J11" i="12" s="1"/>
  <c r="K10" i="12"/>
  <c r="J10" i="12"/>
  <c r="I10" i="12"/>
  <c r="G10" i="12"/>
  <c r="K9" i="12"/>
  <c r="J9" i="12"/>
  <c r="I9" i="12"/>
  <c r="G9" i="12"/>
  <c r="B17" i="11" l="1"/>
  <c r="B24" i="11" s="1"/>
  <c r="H58" i="12"/>
  <c r="G58" i="12" s="1"/>
  <c r="G71" i="13" l="1"/>
  <c r="G33" i="13"/>
  <c r="G55" i="13" s="1"/>
  <c r="G35" i="13"/>
  <c r="G54" i="13"/>
  <c r="F17" i="2"/>
  <c r="H64" i="13" l="1"/>
  <c r="G64" i="13" s="1"/>
  <c r="F23" i="2"/>
  <c r="F30" i="2"/>
  <c r="G70" i="13"/>
  <c r="H66" i="13"/>
  <c r="G66" i="13" s="1"/>
  <c r="G34" i="13"/>
  <c r="G44" i="13"/>
  <c r="G52" i="13" s="1"/>
  <c r="H62" i="13" s="1"/>
  <c r="G62" i="13" s="1"/>
  <c r="H60" i="13"/>
  <c r="G60" i="13" s="1"/>
  <c r="G74" i="13"/>
  <c r="G45" i="13"/>
  <c r="G53" i="13" s="1"/>
  <c r="H63" i="13" s="1"/>
  <c r="G63" i="13" s="1"/>
  <c r="H65" i="13"/>
  <c r="G65" i="13" s="1"/>
  <c r="G79" i="13" l="1"/>
  <c r="H70" i="13"/>
  <c r="B31" i="17" s="1"/>
  <c r="G73" i="13"/>
  <c r="E17" i="2"/>
  <c r="E23" i="2" s="1"/>
  <c r="B23" i="11" l="1"/>
  <c r="E24" i="1"/>
  <c r="E23" i="1"/>
  <c r="H8" i="10" s="1"/>
  <c r="E22" i="1"/>
  <c r="E21" i="1"/>
  <c r="I16" i="10" s="1"/>
  <c r="D33" i="10"/>
  <c r="H58" i="10" s="1"/>
  <c r="G58" i="10" s="1"/>
  <c r="G9" i="10"/>
  <c r="J9" i="10"/>
  <c r="K9" i="10"/>
  <c r="G10" i="10"/>
  <c r="J10" i="10" s="1"/>
  <c r="K10" i="10"/>
  <c r="G11" i="10"/>
  <c r="J11" i="10"/>
  <c r="K11" i="10"/>
  <c r="G12" i="10"/>
  <c r="J12" i="10"/>
  <c r="K12" i="10"/>
  <c r="G13" i="10"/>
  <c r="J13" i="10"/>
  <c r="K13" i="10"/>
  <c r="G14" i="10"/>
  <c r="J14" i="10" s="1"/>
  <c r="K14" i="10"/>
  <c r="G15" i="10"/>
  <c r="J15" i="10"/>
  <c r="K15" i="10"/>
  <c r="G16" i="10"/>
  <c r="J16" i="10"/>
  <c r="K16" i="10"/>
  <c r="G17" i="10"/>
  <c r="J17" i="10"/>
  <c r="K17" i="10"/>
  <c r="G18" i="10"/>
  <c r="J18" i="10" s="1"/>
  <c r="K18" i="10"/>
  <c r="G19" i="10"/>
  <c r="J19" i="10"/>
  <c r="K19" i="10"/>
  <c r="G20" i="10"/>
  <c r="J20" i="10"/>
  <c r="K20" i="10"/>
  <c r="G21" i="10"/>
  <c r="J21" i="10"/>
  <c r="K21" i="10"/>
  <c r="G22" i="10"/>
  <c r="J22" i="10" s="1"/>
  <c r="K22" i="10"/>
  <c r="G23" i="10"/>
  <c r="J23" i="10"/>
  <c r="K23" i="10"/>
  <c r="G24" i="10"/>
  <c r="J24" i="10"/>
  <c r="K24" i="10"/>
  <c r="G25" i="10"/>
  <c r="J25" i="10"/>
  <c r="K25" i="10"/>
  <c r="G26" i="10"/>
  <c r="J26" i="10" s="1"/>
  <c r="K26" i="10"/>
  <c r="G27" i="10"/>
  <c r="J27" i="10" s="1"/>
  <c r="K27" i="10"/>
  <c r="G28" i="10"/>
  <c r="J28" i="10"/>
  <c r="K28" i="10"/>
  <c r="G29" i="10"/>
  <c r="J29" i="10"/>
  <c r="K29" i="10"/>
  <c r="G30" i="10"/>
  <c r="J30" i="10" s="1"/>
  <c r="K30" i="10"/>
  <c r="G31" i="10"/>
  <c r="J31" i="10" s="1"/>
  <c r="K31" i="10"/>
  <c r="G32" i="10"/>
  <c r="J58" i="10"/>
  <c r="G59" i="10"/>
  <c r="H59" i="10"/>
  <c r="J59" i="10"/>
  <c r="J60" i="10"/>
  <c r="H61" i="10"/>
  <c r="G61" i="10" s="1"/>
  <c r="J61" i="10"/>
  <c r="J62" i="10"/>
  <c r="J63" i="10"/>
  <c r="J64" i="10"/>
  <c r="J65" i="10"/>
  <c r="H11" i="10" l="1"/>
  <c r="H22" i="16"/>
  <c r="H17" i="16"/>
  <c r="H13" i="16"/>
  <c r="H9" i="16"/>
  <c r="H26" i="16"/>
  <c r="H30" i="16"/>
  <c r="H18" i="16"/>
  <c r="H14" i="16"/>
  <c r="H10" i="16"/>
  <c r="H28" i="16"/>
  <c r="H11" i="16"/>
  <c r="H29" i="16"/>
  <c r="H16" i="16"/>
  <c r="H15" i="16"/>
  <c r="H31" i="16"/>
  <c r="H20" i="16"/>
  <c r="H24" i="16"/>
  <c r="H19" i="16"/>
  <c r="H25" i="16"/>
  <c r="H21" i="16"/>
  <c r="H23" i="16"/>
  <c r="H12" i="16"/>
  <c r="H27" i="16"/>
  <c r="H22" i="13"/>
  <c r="H17" i="13"/>
  <c r="H13" i="13"/>
  <c r="H9" i="13"/>
  <c r="H26" i="13"/>
  <c r="H18" i="13"/>
  <c r="H14" i="13"/>
  <c r="H30" i="13"/>
  <c r="H10" i="13"/>
  <c r="H24" i="13"/>
  <c r="H12" i="13"/>
  <c r="H11" i="13"/>
  <c r="H27" i="13"/>
  <c r="H25" i="13"/>
  <c r="H16" i="13"/>
  <c r="H15" i="13"/>
  <c r="H31" i="13"/>
  <c r="H19" i="13"/>
  <c r="H28" i="13"/>
  <c r="H20" i="13"/>
  <c r="H29" i="13"/>
  <c r="H21" i="13"/>
  <c r="H23" i="13"/>
  <c r="H30" i="12"/>
  <c r="H26" i="12"/>
  <c r="H22" i="12"/>
  <c r="H18" i="12"/>
  <c r="H14" i="12"/>
  <c r="H10" i="12"/>
  <c r="H16" i="12"/>
  <c r="H24" i="12"/>
  <c r="H25" i="12"/>
  <c r="H11" i="12"/>
  <c r="H15" i="12"/>
  <c r="H27" i="12"/>
  <c r="H13" i="12"/>
  <c r="H19" i="12"/>
  <c r="H20" i="12"/>
  <c r="H9" i="12"/>
  <c r="H28" i="12"/>
  <c r="H23" i="12"/>
  <c r="H29" i="12"/>
  <c r="H17" i="12"/>
  <c r="H12" i="12"/>
  <c r="H21" i="12"/>
  <c r="H31" i="12"/>
  <c r="I28" i="10"/>
  <c r="I21" i="10"/>
  <c r="I20" i="10"/>
  <c r="I10" i="10"/>
  <c r="I29" i="10"/>
  <c r="I25" i="10"/>
  <c r="I24" i="10"/>
  <c r="I17" i="10"/>
  <c r="H30" i="10"/>
  <c r="H26" i="10"/>
  <c r="H22" i="10"/>
  <c r="H18" i="10"/>
  <c r="H14" i="10"/>
  <c r="I13" i="10"/>
  <c r="H10" i="10"/>
  <c r="I9" i="10"/>
  <c r="H29" i="10"/>
  <c r="H25" i="10"/>
  <c r="H21" i="10"/>
  <c r="H17" i="10"/>
  <c r="H13" i="10"/>
  <c r="I12" i="10"/>
  <c r="H9" i="10"/>
  <c r="I31" i="10"/>
  <c r="H28" i="10"/>
  <c r="I27" i="10"/>
  <c r="H24" i="10"/>
  <c r="I23" i="10"/>
  <c r="H20" i="10"/>
  <c r="I19" i="10"/>
  <c r="H16" i="10"/>
  <c r="I15" i="10"/>
  <c r="H12" i="10"/>
  <c r="I11" i="10"/>
  <c r="H31" i="10"/>
  <c r="I30" i="10"/>
  <c r="H27" i="10"/>
  <c r="I26" i="10"/>
  <c r="H23" i="10"/>
  <c r="I22" i="10"/>
  <c r="H19" i="10"/>
  <c r="I18" i="10"/>
  <c r="H15" i="10"/>
  <c r="I14" i="10"/>
  <c r="G72" i="13" l="1"/>
  <c r="C44" i="8"/>
  <c r="C50" i="8" s="1"/>
  <c r="C45" i="8"/>
  <c r="C46" i="8"/>
  <c r="C47" i="8"/>
  <c r="C48" i="8"/>
  <c r="C43" i="8"/>
  <c r="D17" i="2"/>
  <c r="G75" i="13" l="1"/>
  <c r="G77" i="13" s="1"/>
  <c r="H77" i="13" s="1"/>
  <c r="B33" i="17" s="1"/>
  <c r="B35" i="17" s="1"/>
  <c r="B36" i="17" s="1"/>
  <c r="C31" i="2"/>
  <c r="D31" i="2"/>
  <c r="C30" i="2"/>
  <c r="B30" i="2"/>
  <c r="D23" i="2"/>
  <c r="D30" i="2"/>
  <c r="N17" i="2"/>
  <c r="M12" i="1"/>
  <c r="B7" i="1"/>
  <c r="O23" i="2" l="1"/>
  <c r="O21" i="2"/>
  <c r="O20" i="2"/>
  <c r="C14" i="1"/>
  <c r="L3" i="2"/>
  <c r="D7" i="1"/>
  <c r="M3" i="2" s="1"/>
  <c r="D26" i="2"/>
  <c r="D24" i="2"/>
  <c r="I9" i="1"/>
  <c r="A17" i="2"/>
  <c r="M8" i="1"/>
  <c r="M9" i="1"/>
  <c r="M10" i="1"/>
  <c r="M11" i="1"/>
  <c r="M7" i="1"/>
  <c r="E24" i="2" l="1"/>
  <c r="E26" i="2"/>
  <c r="C15" i="1"/>
  <c r="N3" i="2" s="1"/>
  <c r="D8" i="12" l="1"/>
  <c r="G8" i="12" s="1"/>
  <c r="H8" i="12" s="1"/>
  <c r="E21" i="2"/>
  <c r="E25" i="2" s="1"/>
  <c r="E20" i="2"/>
  <c r="F28" i="2"/>
  <c r="F24" i="2"/>
  <c r="F26" i="2"/>
  <c r="B5" i="8"/>
  <c r="C33" i="8"/>
  <c r="C34" i="8"/>
  <c r="C35" i="8"/>
  <c r="C36" i="8"/>
  <c r="C37" i="8"/>
  <c r="C38" i="8"/>
  <c r="F19" i="8"/>
  <c r="F20" i="8"/>
  <c r="F21" i="8"/>
  <c r="B23" i="8"/>
  <c r="F23" i="8"/>
  <c r="B24" i="8"/>
  <c r="F24" i="8"/>
  <c r="B25" i="8"/>
  <c r="F25" i="8"/>
  <c r="B26" i="8"/>
  <c r="F26" i="8"/>
  <c r="E28" i="2" l="1"/>
  <c r="G33" i="12"/>
  <c r="G55" i="12" s="1"/>
  <c r="I8" i="12"/>
  <c r="K8" i="12"/>
  <c r="G71" i="12" s="1"/>
  <c r="G35" i="12"/>
  <c r="G54" i="12"/>
  <c r="D8" i="10"/>
  <c r="K8" i="10" s="1"/>
  <c r="C21" i="2"/>
  <c r="D23" i="8"/>
  <c r="C23" i="8" s="1"/>
  <c r="C20" i="2"/>
  <c r="D20" i="2" s="1"/>
  <c r="B6" i="8"/>
  <c r="B13" i="8"/>
  <c r="D25" i="8"/>
  <c r="C25" i="8" s="1"/>
  <c r="J8" i="10" l="1"/>
  <c r="G70" i="10" s="1"/>
  <c r="G72" i="10"/>
  <c r="I8" i="10"/>
  <c r="G71" i="10"/>
  <c r="H64" i="12"/>
  <c r="G64" i="12" s="1"/>
  <c r="G54" i="10"/>
  <c r="H66" i="12"/>
  <c r="G66" i="12" s="1"/>
  <c r="G72" i="12"/>
  <c r="G75" i="12" s="1"/>
  <c r="G34" i="12"/>
  <c r="J8" i="12"/>
  <c r="G70" i="12" s="1"/>
  <c r="H60" i="12"/>
  <c r="G60" i="12" s="1"/>
  <c r="G45" i="12"/>
  <c r="G53" i="12" s="1"/>
  <c r="H63" i="12" s="1"/>
  <c r="G63" i="12" s="1"/>
  <c r="G74" i="12"/>
  <c r="G44" i="12"/>
  <c r="G52" i="12" s="1"/>
  <c r="H62" i="12" s="1"/>
  <c r="G62" i="12" s="1"/>
  <c r="H65" i="12"/>
  <c r="G65" i="12" s="1"/>
  <c r="G35" i="10"/>
  <c r="G33" i="10"/>
  <c r="G55" i="10" s="1"/>
  <c r="G34" i="10"/>
  <c r="C25" i="2"/>
  <c r="D21" i="2"/>
  <c r="D25" i="2" s="1"/>
  <c r="D19" i="8"/>
  <c r="C19" i="8" s="1"/>
  <c r="D21" i="8"/>
  <c r="C21" i="8" s="1"/>
  <c r="D24" i="8"/>
  <c r="C24" i="8" s="1"/>
  <c r="D20" i="8"/>
  <c r="C20" i="8" s="1"/>
  <c r="D18" i="8"/>
  <c r="C18" i="8" s="1"/>
  <c r="D26" i="8"/>
  <c r="C26" i="8" s="1"/>
  <c r="G75" i="10" l="1"/>
  <c r="H70" i="10"/>
  <c r="H66" i="10"/>
  <c r="G66" i="10" s="1"/>
  <c r="G73" i="12"/>
  <c r="G77" i="12" s="1"/>
  <c r="H70" i="12"/>
  <c r="G79" i="12"/>
  <c r="C27" i="2"/>
  <c r="H64" i="10"/>
  <c r="G64" i="10" s="1"/>
  <c r="G44" i="10"/>
  <c r="G52" i="10" s="1"/>
  <c r="H62" i="10" s="1"/>
  <c r="G62" i="10" s="1"/>
  <c r="H65" i="10"/>
  <c r="G65" i="10" s="1"/>
  <c r="G74" i="10"/>
  <c r="G45" i="10"/>
  <c r="G53" i="10" s="1"/>
  <c r="H63" i="10" s="1"/>
  <c r="G63" i="10" s="1"/>
  <c r="H60" i="10"/>
  <c r="G60" i="10" s="1"/>
  <c r="C22" i="8"/>
  <c r="C27" i="8" s="1"/>
  <c r="F27" i="2" l="1"/>
  <c r="H77" i="12"/>
  <c r="G73" i="10"/>
  <c r="G79" i="10"/>
  <c r="E32" i="2"/>
  <c r="E33" i="2" s="1"/>
  <c r="I10" i="1"/>
  <c r="K17" i="2" s="1"/>
  <c r="I11" i="1"/>
  <c r="G77" i="10" l="1"/>
  <c r="H77" i="10" s="1"/>
  <c r="C29" i="2" s="1"/>
  <c r="C32" i="2" s="1"/>
  <c r="C33" i="2" s="1"/>
  <c r="D29" i="2"/>
  <c r="D32" i="2" s="1"/>
  <c r="D33" i="2" s="1"/>
  <c r="L23" i="2"/>
  <c r="L28" i="2"/>
  <c r="L27" i="2"/>
  <c r="F29" i="2"/>
  <c r="L21" i="2"/>
  <c r="L25" i="2" s="1"/>
  <c r="L20" i="2"/>
  <c r="H17" i="2"/>
  <c r="O24" i="2"/>
  <c r="O26" i="2"/>
  <c r="O25" i="2"/>
  <c r="L24" i="2"/>
  <c r="L26" i="2"/>
  <c r="I20" i="2" l="1"/>
  <c r="I21" i="2"/>
  <c r="I25" i="2" s="1"/>
  <c r="I23" i="2"/>
  <c r="I27" i="2"/>
  <c r="L29" i="2"/>
  <c r="O27" i="2"/>
  <c r="I26" i="2"/>
  <c r="I24" i="2"/>
  <c r="I28" i="2" l="1"/>
  <c r="I29" i="2" s="1"/>
  <c r="F21" i="2"/>
  <c r="F25" i="2" s="1"/>
  <c r="F32" i="2" s="1"/>
  <c r="F20" i="2"/>
  <c r="F33" i="2" l="1"/>
  <c r="L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24" authorId="0" shapeId="0" xr:uid="{861BC7A7-3F4F-49D3-BE5F-C22908BA8AD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H24" authorId="0" shapeId="0" xr:uid="{C1D048C7-8BB8-4A9C-BB80-C66ECC179D2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K24" authorId="0" shapeId="0" xr:uid="{45A9DEBF-F037-4CF2-BF75-33D5DC788CA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N24" authorId="0" shapeId="0" xr:uid="{105D9EED-7F93-4835-9782-17389E80FF0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L25" authorId="0" shapeId="0" xr:uid="{57799D8C-06BA-44C5-B5C4-F39BB71A003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10G Max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8" authorId="0" shapeId="0" xr:uid="{20D54E43-264D-4E4B-BBAF-5E411B0C2B13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6" authorId="0" shapeId="0" xr:uid="{A4DA9238-B508-4B64-A63D-D4AABDAF3D2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  <comment ref="F16" authorId="0" shapeId="0" xr:uid="{A1620AC3-C8B3-4910-AC07-9AF614C2CB0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/boot et vg_free
</t>
        </r>
      </text>
    </comment>
  </commentList>
</comments>
</file>

<file path=xl/sharedStrings.xml><?xml version="1.0" encoding="utf-8"?>
<sst xmlns="http://schemas.openxmlformats.org/spreadsheetml/2006/main" count="779" uniqueCount="281">
  <si>
    <t>X</t>
  </si>
  <si>
    <t>/var/backup/</t>
  </si>
  <si>
    <t>/var/lib/mysql</t>
  </si>
  <si>
    <t>/var/lib/centreon</t>
  </si>
  <si>
    <t>swap</t>
  </si>
  <si>
    <t>Mémoire</t>
  </si>
  <si>
    <t>CPU</t>
  </si>
  <si>
    <t>1er niveau</t>
  </si>
  <si>
    <t>Quantité service</t>
  </si>
  <si>
    <t>2ème niveau</t>
  </si>
  <si>
    <t>3ème niveau</t>
  </si>
  <si>
    <t>4ème niveau</t>
  </si>
  <si>
    <t>5ème niveau</t>
  </si>
  <si>
    <t>6ème niveau</t>
  </si>
  <si>
    <t>Limite de service supervisé BI</t>
  </si>
  <si>
    <t>/var/log/</t>
  </si>
  <si>
    <t>EMS</t>
  </si>
  <si>
    <t>BAM</t>
  </si>
  <si>
    <t>EPP</t>
  </si>
  <si>
    <t>MBI</t>
  </si>
  <si>
    <t>MAP</t>
  </si>
  <si>
    <t>MariaDB 
&gt;= 10.1</t>
  </si>
  <si>
    <t>MySQL
 &gt;= 5.6</t>
  </si>
  <si>
    <t>Central</t>
  </si>
  <si>
    <t>Simple
(1 central)</t>
  </si>
  <si>
    <t>Poller</t>
  </si>
  <si>
    <t>Redhat</t>
  </si>
  <si>
    <t>Centos</t>
  </si>
  <si>
    <t>PARAMETRES expert Central</t>
  </si>
  <si>
    <t>Limite Haute
Central</t>
  </si>
  <si>
    <t>Limite Basse
Central</t>
  </si>
  <si>
    <t>DETAILS</t>
  </si>
  <si>
    <t>/var/lib/mysql
GB</t>
  </si>
  <si>
    <t>/var/lib/Centreon
GB</t>
  </si>
  <si>
    <t>2.5</t>
  </si>
  <si>
    <t>Seuil MAP</t>
  </si>
  <si>
    <t>Parameters</t>
  </si>
  <si>
    <t>Values</t>
  </si>
  <si>
    <t>Total monitored hosts</t>
  </si>
  <si>
    <t>Total monitored services</t>
  </si>
  <si>
    <t>Average number of host groups associated to one host</t>
  </si>
  <si>
    <t>Average number of host categories associated  to one host</t>
  </si>
  <si>
    <t>Average number of service categories associated to one service</t>
  </si>
  <si>
    <t>Number of timeperiods on which statistics will be calculated</t>
  </si>
  <si>
    <t>Average number of service alarms by month (by service)</t>
  </si>
  <si>
    <t>Average number of host alarms by month (by host)</t>
  </si>
  <si>
    <t>Average number of metrics by service</t>
  </si>
  <si>
    <t>Average service check interval in minutes</t>
  </si>
  <si>
    <t>Type of data processed</t>
  </si>
  <si>
    <t>Data retention duration
 (in DAYS)</t>
  </si>
  <si>
    <t>Size Estimated (MB)</t>
  </si>
  <si>
    <t>Raw performance data imported from Centreon (&lt;= 1024 days)</t>
  </si>
  <si>
    <t>Performance data agregated by hour (&lt;= 1024 days)</t>
  </si>
  <si>
    <t>Performance data agregated by day (&lt;= 1024 days)</t>
  </si>
  <si>
    <t>Raw log data imported from Centreon</t>
  </si>
  <si>
    <t>Availability data agregated by day (&lt;= 1024 days)</t>
  </si>
  <si>
    <t>Host events</t>
  </si>
  <si>
    <t>Services events</t>
  </si>
  <si>
    <t>Host availability</t>
  </si>
  <si>
    <t>Service availability</t>
  </si>
  <si>
    <t>Total in MB</t>
  </si>
  <si>
    <t>-</t>
  </si>
  <si>
    <t>Index/Line (worst case)</t>
  </si>
  <si>
    <t>Avg row size</t>
  </si>
  <si>
    <t>Rows estimated</t>
  </si>
  <si>
    <t>Coef (between 2 and 2,8)</t>
  </si>
  <si>
    <t>(days * hostgroup * hostcategory * services * servicecategory * metrics * 4131) / 1024 / 1024 / 1024</t>
  </si>
  <si>
    <t>(days * 24 * hostgroup * hostcategory * services * servicecategory * metrics * 3105) / 1024 / 1024 / 1024</t>
  </si>
  <si>
    <t>(months * months_incidents * hostgroup * hostcategory * hosts * 39) / 1024 / 1024 / 1024</t>
  </si>
  <si>
    <t>(months * months_incidents * hostgroup * hostcategory * services * servicecategory * 39) / 1024 / 1024 / 1024</t>
  </si>
  <si>
    <t>(days * hosts * hostgroup * hostcategory * liveservices * 71) / 1024 / 1024 / 1024</t>
  </si>
  <si>
    <t>Rappel formule</t>
  </si>
  <si>
    <t>Seuil Poller</t>
  </si>
  <si>
    <t>Seuil MBI</t>
  </si>
  <si>
    <t>*</t>
  </si>
  <si>
    <r>
      <t xml:space="preserve">Environnement OS client </t>
    </r>
    <r>
      <rPr>
        <b/>
        <sz val="11"/>
        <color rgb="FFFF0000"/>
        <rFont val="Calibri"/>
        <family val="2"/>
      </rPr>
      <t>*</t>
    </r>
  </si>
  <si>
    <t>Nombre de service</t>
  </si>
  <si>
    <t>Nombre de métric</t>
  </si>
  <si>
    <t>Nombre de service par remote serveur</t>
  </si>
  <si>
    <t>Coefficient BBD</t>
  </si>
  <si>
    <t xml:space="preserve">Coefficient Lib/centreon </t>
  </si>
  <si>
    <t>Architecture</t>
  </si>
  <si>
    <t>/var/backup</t>
  </si>
  <si>
    <t>CONSULTER CENTREON</t>
  </si>
  <si>
    <t>Serveur Base de données</t>
  </si>
  <si>
    <t>/Var/lib/centreon/broker</t>
  </si>
  <si>
    <t>Serveur MAP</t>
  </si>
  <si>
    <t>Coefficient /var/lib/mysql</t>
  </si>
  <si>
    <t>Coefficient /var/lib/centreon</t>
  </si>
  <si>
    <t>Remote server</t>
  </si>
  <si>
    <t>Serveur MBI</t>
  </si>
  <si>
    <t>Disk space required for Reporting Server (in GB)</t>
  </si>
  <si>
    <t>Total disk space required for Central Server (in GB)</t>
  </si>
  <si>
    <t>MySQL storage space estimated for maintenance requirements</t>
  </si>
  <si>
    <t>Space for Maintenance</t>
  </si>
  <si>
    <t>/var/lib/mysql/centreon_storage/log_archive_*</t>
  </si>
  <si>
    <t>MySQL reporting tables</t>
  </si>
  <si>
    <t>/var/lib/mysql/centreon_storage/logs.*</t>
  </si>
  <si>
    <t>MySQL  'logs' table</t>
  </si>
  <si>
    <t>/var/lib/mysql/centreon_storage/data_bin.*</t>
  </si>
  <si>
    <t>MySQL 'data_bin' table</t>
  </si>
  <si>
    <t>Space for Database</t>
  </si>
  <si>
    <t>/var/lib/centreon/status/</t>
  </si>
  <si>
    <t>Status graphs of services</t>
  </si>
  <si>
    <t>/var/lib/centreon/metrics/</t>
  </si>
  <si>
    <t>Performance graphs</t>
  </si>
  <si>
    <t>Space for File System</t>
  </si>
  <si>
    <t>RRD</t>
  </si>
  <si>
    <t>Size (GB)</t>
  </si>
  <si>
    <t>Directory</t>
  </si>
  <si>
    <t>6. Estimation of storage's size of Central Server</t>
  </si>
  <si>
    <t>Informations
about disk space</t>
  </si>
  <si>
    <t>Average, can be set manually</t>
  </si>
  <si>
    <t>second</t>
  </si>
  <si>
    <t>Performance data by metric</t>
  </si>
  <si>
    <t>day</t>
  </si>
  <si>
    <t>hour</t>
  </si>
  <si>
    <t>month</t>
  </si>
  <si>
    <t>Availability of services agregated by host groups</t>
  </si>
  <si>
    <t>Host group availability</t>
  </si>
  <si>
    <t>Data retention duration
 (in month)</t>
  </si>
  <si>
    <t>Data granularity</t>
  </si>
  <si>
    <t>5. Type of data processed (Reporting Server)</t>
  </si>
  <si>
    <t>4. Parameters for Reporting Server</t>
  </si>
  <si>
    <t>%2 of services, can be set manually</t>
  </si>
  <si>
    <t>Critical events per day</t>
  </si>
  <si>
    <t>%5 of services, can be set manually</t>
  </si>
  <si>
    <t>Warning events per day</t>
  </si>
  <si>
    <t>Number of events</t>
  </si>
  <si>
    <t>3. Monitoring events in Central Server</t>
  </si>
  <si>
    <t>Calcul Parameters</t>
  </si>
  <si>
    <t>Total number of RRD files in « status » directory</t>
  </si>
  <si>
    <t>Total number of RRD files in « metrics » directory</t>
  </si>
  <si>
    <t>Total number of services</t>
  </si>
  <si>
    <t>Total number of hosts</t>
  </si>
  <si>
    <t>UPC - Global health</t>
  </si>
  <si>
    <t>SAN - Storage usage</t>
  </si>
  <si>
    <t>SAN - Global health</t>
  </si>
  <si>
    <t>Printer - number of page</t>
  </si>
  <si>
    <t>Printer - cartridge status</t>
  </si>
  <si>
    <t>OS - Traffic</t>
  </si>
  <si>
    <t>OS - SWAP</t>
  </si>
  <si>
    <t>OS - SNMP Traps (passive services)</t>
  </si>
  <si>
    <t>OS - Service state</t>
  </si>
  <si>
    <t>OS - Process state</t>
  </si>
  <si>
    <t>OS - Memory usage</t>
  </si>
  <si>
    <t>OS - LOAD</t>
  </si>
  <si>
    <t>OS - File system usage</t>
  </si>
  <si>
    <t>OS - Disk status</t>
  </si>
  <si>
    <t>OS - CPU usage</t>
  </si>
  <si>
    <t>Network equipment traffic</t>
  </si>
  <si>
    <t>Network equipment SNMP Traps</t>
  </si>
  <si>
    <t>Network equipment memory</t>
  </si>
  <si>
    <t>Network equipment load</t>
  </si>
  <si>
    <t>HTTP checks</t>
  </si>
  <si>
    <t>DB - Oracle checks</t>
  </si>
  <si>
    <t>DB - MySQL checks</t>
  </si>
  <si>
    <t>DB - MS SQL checks</t>
  </si>
  <si>
    <t>Size of status RRD per type of service per check interval</t>
  </si>
  <si>
    <t>Size of metrics RRD per type of service per check interval</t>
  </si>
  <si>
    <t>Number of event entries estimated on retention period</t>
  </si>
  <si>
    <t>Number of records in data_bin tables</t>
  </si>
  <si>
    <t>Total of metrics per  service's type</t>
  </si>
  <si>
    <t>Regular control's interval
(in minutes)</t>
  </si>
  <si>
    <t>Average number of metrics per service</t>
  </si>
  <si>
    <t>Service number</t>
  </si>
  <si>
    <t>Service type</t>
  </si>
  <si>
    <t>1. Service monitored by Central Server</t>
  </si>
  <si>
    <t xml:space="preserve">Calculation matrix for Centreon main server and BI server      
</t>
  </si>
  <si>
    <t>PROJECT_ID</t>
  </si>
  <si>
    <t>CUSTOMER_NAME</t>
  </si>
  <si>
    <t>Do not print this</t>
  </si>
  <si>
    <t>Usage strictly confidential to CENTREON and its partners</t>
  </si>
  <si>
    <t>Quality system CENTREON</t>
  </si>
  <si>
    <t>RETENTION</t>
  </si>
  <si>
    <t>/boot</t>
  </si>
  <si>
    <t>POLLER</t>
  </si>
  <si>
    <t>Nombre calculé</t>
  </si>
  <si>
    <t>Nombre souhaité</t>
  </si>
  <si>
    <t>Avec ou sans</t>
  </si>
  <si>
    <t>Total Poller/remote server</t>
  </si>
  <si>
    <t>Matrice de Calcul</t>
  </si>
  <si>
    <t>Total Poller</t>
  </si>
  <si>
    <t>Espace libre volume groupe BBD</t>
  </si>
  <si>
    <t>Coeff à revoir /à recalculer suivant</t>
  </si>
  <si>
    <t>Sizing document for presales to be sent to the customers.
The aim of document is to provide a real view of the expecting monitoring.</t>
  </si>
  <si>
    <t># Sheets</t>
  </si>
  <si>
    <t>Names</t>
  </si>
  <si>
    <t>Description</t>
  </si>
  <si>
    <t>Level</t>
  </si>
  <si>
    <t>Sheets 1</t>
  </si>
  <si>
    <t>Summary</t>
  </si>
  <si>
    <t>Overall description</t>
  </si>
  <si>
    <t>Sheets 2</t>
  </si>
  <si>
    <t>To be filled by the customer or the Pre-sales</t>
  </si>
  <si>
    <t>Mandatory</t>
  </si>
  <si>
    <t>Sheets 3</t>
  </si>
  <si>
    <t>MBI Sizing</t>
  </si>
  <si>
    <t>Sheets 4</t>
  </si>
  <si>
    <t>Optional</t>
  </si>
  <si>
    <t>Sheets 5</t>
  </si>
  <si>
    <t>Final sizing</t>
  </si>
  <si>
    <t>Sizing depending of the number services/hosts and MBI sizing</t>
  </si>
  <si>
    <t>Read Only</t>
  </si>
  <si>
    <t>Remote Server Sizing</t>
  </si>
  <si>
    <t>Remote server calculation sizing sheet</t>
  </si>
  <si>
    <t>Sheets 6</t>
  </si>
  <si>
    <t>Poller Sizing</t>
  </si>
  <si>
    <t>Poller calculation sizing sheet</t>
  </si>
  <si>
    <t>How to filled the document</t>
  </si>
  <si>
    <t>Expected format</t>
  </si>
  <si>
    <t>Check Box</t>
  </si>
  <si>
    <t>Value to fill</t>
  </si>
  <si>
    <t>84000 or POM</t>
  </si>
  <si>
    <r>
      <t xml:space="preserve">Mandatory Box
</t>
    </r>
    <r>
      <rPr>
        <b/>
        <sz val="11"/>
        <color rgb="FFFF0000"/>
        <rFont val="Calibri"/>
        <family val="2"/>
      </rPr>
      <t>*</t>
    </r>
  </si>
  <si>
    <t>Read-only Box</t>
  </si>
  <si>
    <t>Disk storage usage to store collected and performance data depends on various factors : 
- Frequency checks
- Number of checks
- Retention period 
The following table provides an idea of the disk space needed for your platform with : 
the data are collected every 5 minutes, The retention period is 6 month and Each performance graph have 2 curves</t>
  </si>
  <si>
    <t xml:space="preserve"> "Contact Centreon"</t>
  </si>
  <si>
    <t>Thanks to contact us</t>
  </si>
  <si>
    <t>ORDER &amp; ARCHITECTURE</t>
  </si>
  <si>
    <r>
      <t xml:space="preserve">Number of hosts
</t>
    </r>
    <r>
      <rPr>
        <b/>
        <sz val="11"/>
        <color rgb="FFFF0000"/>
        <rFont val="Calibri"/>
        <family val="2"/>
      </rPr>
      <t>*</t>
    </r>
  </si>
  <si>
    <t>Number of services (calculated)</t>
  </si>
  <si>
    <t>Number of services (wanted)</t>
  </si>
  <si>
    <t>Number of metrics (calculated)</t>
  </si>
  <si>
    <t>Number of metrics (wanted)</t>
  </si>
  <si>
    <t>Number of BA</t>
  </si>
  <si>
    <r>
      <t>Type of Order</t>
    </r>
    <r>
      <rPr>
        <b/>
        <sz val="11"/>
        <color rgb="FFFF0000"/>
        <rFont val="Calibri"/>
        <family val="2"/>
      </rPr>
      <t xml:space="preserve"> *</t>
    </r>
  </si>
  <si>
    <r>
      <t xml:space="preserve">Type of architecture </t>
    </r>
    <r>
      <rPr>
        <b/>
        <sz val="11"/>
        <color rgb="FFFF0000"/>
        <rFont val="Calibri"/>
        <family val="2"/>
      </rPr>
      <t>*</t>
    </r>
  </si>
  <si>
    <t>Distributed
(1 central + X pollers)</t>
  </si>
  <si>
    <t>Distributed with remote Database</t>
  </si>
  <si>
    <t>Distributed
with remote DB replicated</t>
  </si>
  <si>
    <t>High Availibility  3 servers</t>
  </si>
  <si>
    <t>High Availibility  5 servers</t>
  </si>
  <si>
    <t>Matrix</t>
  </si>
  <si>
    <t>With or without</t>
  </si>
  <si>
    <t>Number (calcuted)</t>
  </si>
  <si>
    <t>Number (wanted)</t>
  </si>
  <si>
    <t>CENTRAL (poller's role)</t>
  </si>
  <si>
    <t>Total Services for the central + by Poller/remote server</t>
  </si>
  <si>
    <t>Retention period configured in Central Server</t>
  </si>
  <si>
    <t>Retention (Days)</t>
  </si>
  <si>
    <t>Reporting retention duration for dashboard (in month)</t>
  </si>
  <si>
    <t>Retention period of RRD performance graphs (in month)</t>
  </si>
  <si>
    <t>Retention period of performance data in MySQL database (in month)</t>
  </si>
  <si>
    <t>Retention of monitoring logs (in month)</t>
  </si>
  <si>
    <t>Others</t>
  </si>
  <si>
    <t>Which version?</t>
  </si>
  <si>
    <r>
      <t xml:space="preserve">Database type / version </t>
    </r>
    <r>
      <rPr>
        <b/>
        <sz val="11"/>
        <color rgb="FFFF0000"/>
        <rFont val="Calibri"/>
        <family val="2"/>
      </rPr>
      <t>*</t>
    </r>
  </si>
  <si>
    <t>TUTORIAL</t>
  </si>
  <si>
    <r>
      <t xml:space="preserve">/
</t>
    </r>
    <r>
      <rPr>
        <b/>
        <i/>
        <sz val="14"/>
        <color theme="1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</si>
  <si>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10GB</t>
    </r>
  </si>
  <si>
    <r>
      <t xml:space="preserve">/var/lib/centreon-broker
</t>
    </r>
    <r>
      <rPr>
        <b/>
        <i/>
        <sz val="14"/>
        <color rgb="FF000000"/>
        <rFont val="Calibri"/>
        <family val="2"/>
        <scheme val="minor"/>
      </rPr>
      <t>At least 5GB</t>
    </r>
  </si>
  <si>
    <t>Size for each server</t>
  </si>
  <si>
    <t>Total size</t>
  </si>
  <si>
    <t>Components</t>
  </si>
  <si>
    <t>Disk Partitions</t>
  </si>
  <si>
    <t>Sizing in GB</t>
  </si>
  <si>
    <t>Memory GB</t>
  </si>
  <si>
    <t>Server Centreon BI</t>
  </si>
  <si>
    <t>Server Quorum</t>
  </si>
  <si>
    <t>Automatic Sizing</t>
  </si>
  <si>
    <t>Memory GB min</t>
  </si>
  <si>
    <t>Size of server</t>
  </si>
  <si>
    <t>TOTAL SIZE
GB</t>
  </si>
  <si>
    <t xml:space="preserve">FREE SPACE for the BBD group volume </t>
  </si>
  <si>
    <t>ONE REMOTE SERVER SIZING SHEET
(It is a new calculation)</t>
  </si>
  <si>
    <t>For this branch , total of hosts</t>
  </si>
  <si>
    <t>For this branch , total of services</t>
  </si>
  <si>
    <t>For this branch , total of metrics</t>
  </si>
  <si>
    <t>Retention period configured in the remote server</t>
  </si>
  <si>
    <t>POLLER under the remote server</t>
  </si>
  <si>
    <t>Remote serveur is monitoring?</t>
  </si>
  <si>
    <t>Total Services by Poller</t>
  </si>
  <si>
    <t>Total Services (direct check + under poller)</t>
  </si>
  <si>
    <t xml:space="preserve">         cvgc </t>
  </si>
  <si>
    <t>Contact Centreon</t>
  </si>
  <si>
    <r>
      <t xml:space="preserve">/
</t>
    </r>
    <r>
      <rPr>
        <b/>
        <i/>
        <sz val="14"/>
        <color rgb="FF000000"/>
        <rFont val="Calibri"/>
        <family val="2"/>
        <scheme val="minor"/>
      </rPr>
      <t>At least 20GB</t>
    </r>
  </si>
  <si>
    <r>
      <t xml:space="preserve">/var/log
</t>
    </r>
    <r>
      <rPr>
        <b/>
        <i/>
        <sz val="14"/>
        <color rgb="FF000000"/>
        <rFont val="Calibri"/>
        <family val="2"/>
        <scheme val="minor"/>
      </rPr>
      <t>At least 10 GB</t>
    </r>
  </si>
  <si>
    <t>ONE POLLER SIZING SHEET
(It is a new calculation)</t>
  </si>
  <si>
    <t>REMOTE SERVER</t>
  </si>
  <si>
    <t>Each components have to be taken into 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</si>
</sst>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0.0000"/>
    <numFmt numFmtId="165" formatCode="_-* #,##0\ _€_-;\-* #,##0\ _€_-;_-* &quot;-&quot;??\ _€_-;_-@_-"/>
    <numFmt numFmtId="166" formatCode="#,##0.00_ ;\-#,##0.00\ "/>
    <numFmt numFmtId="167" formatCode="0.000"/>
  </numFmts>
  <fonts count="5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.5"/>
      <color rgb="FFFFFFFF"/>
      <name val="Open Sans"/>
    </font>
    <font>
      <sz val="10.5"/>
      <color rgb="FF000000"/>
      <name val="Open Sans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6"/>
      <color theme="0"/>
      <name val="Calibri"/>
      <family val="2"/>
      <scheme val="minor"/>
    </font>
    <font>
      <b/>
      <sz val="12"/>
      <color rgb="FFFFFFFF"/>
      <name val="Open Sans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rgb="FF000000"/>
      <name val="Open Sans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i/>
      <sz val="10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b/>
      <sz val="11"/>
      <color rgb="FFFFFFFF"/>
      <name val="Open Sans"/>
      <family val="2"/>
    </font>
    <font>
      <b/>
      <sz val="12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0.5"/>
      <color rgb="FF000000"/>
      <name val="Open Sans"/>
      <family val="2"/>
    </font>
  </fonts>
  <fills count="24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lightUp">
        <fgColor auto="1"/>
        <bgColor theme="0" tint="-0.14990691854609822"/>
      </patternFill>
    </fill>
    <fill>
      <patternFill patternType="solid">
        <fgColor indexed="20"/>
        <bgColor indexed="36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/>
        <bgColor indexed="3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 style="thick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8"/>
      </top>
      <bottom style="thin">
        <color indexed="8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4" fillId="0" borderId="0"/>
    <xf numFmtId="43" fontId="13" fillId="0" borderId="0" applyFill="0" applyBorder="0" applyAlignment="0" applyProtection="0"/>
    <xf numFmtId="43" fontId="27" fillId="0" borderId="0" applyFont="0" applyFill="0" applyBorder="0" applyAlignment="0" applyProtection="0"/>
    <xf numFmtId="0" fontId="13" fillId="0" borderId="0" applyFill="0"/>
    <xf numFmtId="0" fontId="13" fillId="0" borderId="0" applyFill="0"/>
    <xf numFmtId="0" fontId="14" fillId="0" borderId="0"/>
    <xf numFmtId="0" fontId="13" fillId="0" borderId="0"/>
    <xf numFmtId="0" fontId="13" fillId="0" borderId="0"/>
  </cellStyleXfs>
  <cellXfs count="4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3" fillId="3" borderId="15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8" borderId="0" xfId="0" applyFill="1"/>
    <xf numFmtId="0" fontId="0" fillId="0" borderId="0" xfId="0" applyFill="1" applyBorder="1"/>
    <xf numFmtId="0" fontId="0" fillId="7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14" fillId="0" borderId="0" xfId="1"/>
    <xf numFmtId="0" fontId="14" fillId="0" borderId="0" xfId="1" applyAlignment="1">
      <alignment horizontal="center" vertical="center"/>
    </xf>
    <xf numFmtId="0" fontId="14" fillId="0" borderId="0" xfId="1" applyAlignment="1">
      <alignment horizontal="center"/>
    </xf>
    <xf numFmtId="0" fontId="14" fillId="0" borderId="0" xfId="1" applyAlignment="1">
      <alignment vertical="center"/>
    </xf>
    <xf numFmtId="43" fontId="13" fillId="14" borderId="41" xfId="2" applyFill="1" applyBorder="1" applyAlignment="1">
      <alignment horizontal="center"/>
    </xf>
    <xf numFmtId="0" fontId="14" fillId="11" borderId="41" xfId="1" applyFont="1" applyFill="1" applyBorder="1" applyAlignment="1">
      <alignment horizontal="center"/>
    </xf>
    <xf numFmtId="0" fontId="12" fillId="12" borderId="43" xfId="1" applyFont="1" applyFill="1" applyBorder="1" applyAlignment="1">
      <alignment horizontal="center" vertical="center"/>
    </xf>
    <xf numFmtId="0" fontId="14" fillId="0" borderId="41" xfId="1" applyFont="1" applyBorder="1"/>
    <xf numFmtId="0" fontId="14" fillId="0" borderId="0" xfId="1" applyAlignment="1">
      <alignment wrapText="1"/>
    </xf>
    <xf numFmtId="0" fontId="14" fillId="0" borderId="0" xfId="1" applyFill="1" applyBorder="1" applyAlignment="1">
      <alignment wrapText="1"/>
    </xf>
    <xf numFmtId="0" fontId="12" fillId="15" borderId="41" xfId="1" applyFont="1" applyFill="1" applyBorder="1"/>
    <xf numFmtId="0" fontId="3" fillId="3" borderId="40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Protection="1">
      <protection locked="0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2" fillId="9" borderId="28" xfId="0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Alignment="1" applyProtection="1">
      <alignment horizontal="center" vertical="center"/>
      <protection locked="0"/>
    </xf>
    <xf numFmtId="0" fontId="0" fillId="9" borderId="28" xfId="0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 wrapText="1"/>
      <protection locked="0"/>
    </xf>
    <xf numFmtId="0" fontId="2" fillId="10" borderId="36" xfId="0" applyFont="1" applyFill="1" applyBorder="1" applyAlignment="1" applyProtection="1">
      <alignment horizontal="center" vertical="center" wrapText="1"/>
      <protection locked="0"/>
    </xf>
    <xf numFmtId="0" fontId="2" fillId="10" borderId="37" xfId="0" applyFont="1" applyFill="1" applyBorder="1" applyAlignment="1" applyProtection="1">
      <alignment horizontal="center" vertical="center" wrapText="1"/>
      <protection locked="0"/>
    </xf>
    <xf numFmtId="0" fontId="0" fillId="16" borderId="3" xfId="0" applyFill="1" applyBorder="1" applyAlignment="1">
      <alignment vertical="top" wrapText="1"/>
    </xf>
    <xf numFmtId="0" fontId="0" fillId="9" borderId="36" xfId="0" applyFill="1" applyBorder="1" applyAlignment="1" applyProtection="1">
      <alignment horizontal="center" vertical="center"/>
      <protection locked="0"/>
    </xf>
    <xf numFmtId="0" fontId="0" fillId="9" borderId="37" xfId="0" applyFill="1" applyBorder="1" applyAlignment="1" applyProtection="1">
      <alignment horizontal="center" vertical="center"/>
      <protection locked="0"/>
    </xf>
    <xf numFmtId="164" fontId="14" fillId="0" borderId="0" xfId="1" applyNumberFormat="1"/>
    <xf numFmtId="164" fontId="0" fillId="7" borderId="3" xfId="0" applyNumberFormat="1" applyFill="1" applyBorder="1" applyAlignment="1">
      <alignment horizontal="center"/>
    </xf>
    <xf numFmtId="0" fontId="19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0" fillId="7" borderId="24" xfId="0" applyFill="1" applyBorder="1" applyAlignment="1">
      <alignment horizontal="left" vertical="top"/>
    </xf>
    <xf numFmtId="0" fontId="0" fillId="10" borderId="3" xfId="0" applyFill="1" applyBorder="1" applyAlignment="1" applyProtection="1">
      <alignment horizontal="center"/>
      <protection locked="0"/>
    </xf>
    <xf numFmtId="0" fontId="11" fillId="11" borderId="16" xfId="1" applyFont="1" applyFill="1" applyBorder="1" applyAlignment="1">
      <alignment horizontal="center"/>
    </xf>
    <xf numFmtId="0" fontId="0" fillId="10" borderId="16" xfId="0" applyFill="1" applyBorder="1" applyAlignment="1" applyProtection="1">
      <alignment horizontal="center"/>
      <protection locked="0"/>
    </xf>
    <xf numFmtId="0" fontId="0" fillId="7" borderId="29" xfId="0" applyFill="1" applyBorder="1" applyAlignment="1">
      <alignment horizontal="left" vertical="top"/>
    </xf>
    <xf numFmtId="0" fontId="0" fillId="10" borderId="17" xfId="0" applyFill="1" applyBorder="1" applyAlignment="1" applyProtection="1">
      <alignment horizontal="center"/>
      <protection locked="0"/>
    </xf>
    <xf numFmtId="43" fontId="13" fillId="14" borderId="45" xfId="2" applyFill="1" applyBorder="1" applyAlignment="1">
      <alignment horizontal="center"/>
    </xf>
    <xf numFmtId="0" fontId="14" fillId="11" borderId="46" xfId="1" applyFont="1" applyFill="1" applyBorder="1" applyAlignment="1">
      <alignment horizontal="center"/>
    </xf>
    <xf numFmtId="0" fontId="12" fillId="12" borderId="45" xfId="1" applyFont="1" applyFill="1" applyBorder="1" applyAlignment="1">
      <alignment horizontal="center" vertical="center"/>
    </xf>
    <xf numFmtId="0" fontId="14" fillId="0" borderId="47" xfId="1" applyFont="1" applyBorder="1" applyProtection="1">
      <protection locked="0"/>
    </xf>
    <xf numFmtId="0" fontId="14" fillId="0" borderId="49" xfId="1" applyFont="1" applyBorder="1" applyProtection="1">
      <protection locked="0"/>
    </xf>
    <xf numFmtId="165" fontId="13" fillId="13" borderId="48" xfId="2" applyNumberFormat="1" applyFill="1" applyBorder="1" applyAlignment="1"/>
    <xf numFmtId="165" fontId="13" fillId="13" borderId="50" xfId="2" applyNumberFormat="1" applyFill="1" applyBorder="1" applyAlignment="1"/>
    <xf numFmtId="165" fontId="22" fillId="17" borderId="17" xfId="2" applyNumberFormat="1" applyFont="1" applyFill="1" applyBorder="1" applyAlignment="1"/>
    <xf numFmtId="165" fontId="21" fillId="17" borderId="16" xfId="2" applyNumberFormat="1" applyFont="1" applyFill="1" applyBorder="1" applyAlignment="1"/>
    <xf numFmtId="0" fontId="12" fillId="12" borderId="51" xfId="1" applyFont="1" applyFill="1" applyBorder="1" applyAlignment="1">
      <alignment horizontal="center" vertical="center"/>
    </xf>
    <xf numFmtId="43" fontId="13" fillId="14" borderId="42" xfId="2" applyFill="1" applyBorder="1" applyAlignment="1">
      <alignment horizontal="center"/>
    </xf>
    <xf numFmtId="0" fontId="14" fillId="0" borderId="52" xfId="1" applyBorder="1" applyAlignment="1">
      <alignment horizontal="center"/>
    </xf>
    <xf numFmtId="0" fontId="14" fillId="0" borderId="52" xfId="1" applyBorder="1"/>
    <xf numFmtId="0" fontId="14" fillId="0" borderId="13" xfId="1" applyBorder="1"/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11" borderId="24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1" fontId="25" fillId="8" borderId="18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8" borderId="0" xfId="0" applyFill="1" applyBorder="1"/>
    <xf numFmtId="0" fontId="0" fillId="8" borderId="9" xfId="0" applyFill="1" applyBorder="1"/>
    <xf numFmtId="0" fontId="0" fillId="8" borderId="8" xfId="0" applyFill="1" applyBorder="1"/>
    <xf numFmtId="0" fontId="18" fillId="8" borderId="0" xfId="0" applyFont="1" applyFill="1" applyBorder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1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4" fillId="0" borderId="0" xfId="1" applyBorder="1"/>
    <xf numFmtId="0" fontId="14" fillId="0" borderId="0" xfId="1" applyBorder="1" applyAlignment="1">
      <alignment horizontal="center"/>
    </xf>
    <xf numFmtId="0" fontId="11" fillId="0" borderId="0" xfId="1" applyFont="1" applyBorder="1" applyAlignment="1">
      <alignment horizontal="right"/>
    </xf>
    <xf numFmtId="0" fontId="14" fillId="0" borderId="0" xfId="1" applyBorder="1" applyAlignment="1">
      <alignment horizontal="center" vertical="center"/>
    </xf>
    <xf numFmtId="0" fontId="14" fillId="0" borderId="11" xfId="1" applyBorder="1"/>
    <xf numFmtId="0" fontId="14" fillId="8" borderId="6" xfId="1" applyFill="1" applyBorder="1"/>
    <xf numFmtId="0" fontId="14" fillId="8" borderId="7" xfId="1" applyFill="1" applyBorder="1"/>
    <xf numFmtId="0" fontId="14" fillId="8" borderId="4" xfId="1" applyFill="1" applyBorder="1"/>
    <xf numFmtId="0" fontId="14" fillId="8" borderId="8" xfId="1" applyFill="1" applyBorder="1"/>
    <xf numFmtId="0" fontId="14" fillId="8" borderId="0" xfId="1" applyFill="1" applyBorder="1"/>
    <xf numFmtId="0" fontId="14" fillId="8" borderId="9" xfId="1" applyFill="1" applyBorder="1"/>
    <xf numFmtId="0" fontId="14" fillId="8" borderId="0" xfId="1" applyFill="1" applyBorder="1" applyAlignment="1">
      <alignment horizontal="center"/>
    </xf>
    <xf numFmtId="0" fontId="14" fillId="8" borderId="9" xfId="1" applyFill="1" applyBorder="1" applyAlignment="1">
      <alignment horizontal="center"/>
    </xf>
    <xf numFmtId="0" fontId="14" fillId="8" borderId="12" xfId="1" applyFill="1" applyBorder="1"/>
    <xf numFmtId="0" fontId="14" fillId="8" borderId="10" xfId="1" applyFill="1" applyBorder="1"/>
    <xf numFmtId="0" fontId="14" fillId="8" borderId="11" xfId="1" applyFill="1" applyBorder="1"/>
    <xf numFmtId="0" fontId="0" fillId="8" borderId="7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1" fillId="0" borderId="0" xfId="8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0" fillId="0" borderId="0" xfId="8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vertical="center" wrapText="1"/>
      <protection locked="0"/>
    </xf>
    <xf numFmtId="0" fontId="39" fillId="0" borderId="0" xfId="8" applyFont="1" applyBorder="1" applyAlignment="1" applyProtection="1">
      <alignment horizontal="center" vertical="center" wrapText="1"/>
      <protection locked="0"/>
    </xf>
    <xf numFmtId="0" fontId="0" fillId="0" borderId="69" xfId="0" applyFont="1" applyBorder="1" applyAlignment="1" applyProtection="1">
      <alignment vertical="center" wrapText="1"/>
      <protection locked="0"/>
    </xf>
    <xf numFmtId="0" fontId="32" fillId="23" borderId="22" xfId="7" applyFont="1" applyFill="1" applyBorder="1" applyAlignment="1" applyProtection="1">
      <alignment horizontal="left" vertical="center" wrapText="1"/>
      <protection locked="0"/>
    </xf>
    <xf numFmtId="0" fontId="32" fillId="23" borderId="3" xfId="7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7" fillId="18" borderId="65" xfId="5" applyFont="1" applyFill="1" applyBorder="1" applyAlignment="1" applyProtection="1">
      <alignment horizontal="center" vertical="center" wrapText="1"/>
      <protection locked="0"/>
    </xf>
    <xf numFmtId="0" fontId="37" fillId="18" borderId="64" xfId="5" applyFont="1" applyFill="1" applyBorder="1" applyAlignment="1" applyProtection="1">
      <alignment horizontal="center" vertical="center" wrapText="1"/>
      <protection locked="0"/>
    </xf>
    <xf numFmtId="0" fontId="32" fillId="22" borderId="22" xfId="4" applyFont="1" applyFill="1" applyBorder="1" applyAlignment="1" applyProtection="1">
      <alignment horizontal="center" vertical="center" wrapText="1"/>
      <protection locked="0"/>
    </xf>
    <xf numFmtId="0" fontId="32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3" xfId="5" applyFont="1" applyFill="1" applyBorder="1" applyAlignment="1" applyProtection="1">
      <alignment horizontal="left" vertical="center" wrapText="1"/>
      <protection locked="0"/>
    </xf>
    <xf numFmtId="0" fontId="31" fillId="0" borderId="3" xfId="5" applyFont="1" applyFill="1" applyBorder="1" applyAlignment="1" applyProtection="1">
      <alignment horizontal="center" vertical="center" wrapText="1"/>
      <protection locked="0"/>
    </xf>
    <xf numFmtId="0" fontId="31" fillId="18" borderId="78" xfId="5" applyFont="1" applyFill="1" applyBorder="1" applyAlignment="1" applyProtection="1">
      <alignment horizontal="center" vertical="center" wrapText="1"/>
      <protection locked="0"/>
    </xf>
    <xf numFmtId="0" fontId="36" fillId="22" borderId="22" xfId="4" applyFont="1" applyFill="1" applyBorder="1" applyAlignment="1" applyProtection="1">
      <alignment horizontal="center" vertical="center" wrapText="1"/>
      <protection locked="0"/>
    </xf>
    <xf numFmtId="0" fontId="29" fillId="22" borderId="3" xfId="0" applyFont="1" applyFill="1" applyBorder="1" applyAlignment="1" applyProtection="1">
      <alignment horizontal="center" vertical="center" wrapText="1"/>
      <protection locked="0"/>
    </xf>
    <xf numFmtId="0" fontId="36" fillId="22" borderId="3" xfId="4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left" vertical="center" wrapText="1"/>
      <protection locked="0"/>
    </xf>
    <xf numFmtId="0" fontId="35" fillId="0" borderId="0" xfId="0" applyFont="1" applyBorder="1" applyAlignment="1" applyProtection="1">
      <alignment horizontal="left" vertical="center" wrapText="1"/>
      <protection locked="0"/>
    </xf>
    <xf numFmtId="0" fontId="31" fillId="18" borderId="3" xfId="4" applyFont="1" applyFill="1" applyBorder="1" applyAlignment="1" applyProtection="1">
      <alignment horizontal="right" vertical="center" wrapText="1"/>
      <protection locked="0"/>
    </xf>
    <xf numFmtId="0" fontId="31" fillId="18" borderId="80" xfId="4" applyFont="1" applyFill="1" applyBorder="1" applyAlignment="1" applyProtection="1">
      <alignment horizontal="center" vertical="center" wrapText="1"/>
      <protection locked="0"/>
    </xf>
    <xf numFmtId="0" fontId="36" fillId="0" borderId="0" xfId="4" applyFont="1" applyFill="1" applyBorder="1" applyAlignment="1" applyProtection="1">
      <alignment horizontal="center" vertical="center" wrapText="1"/>
      <protection locked="0"/>
    </xf>
    <xf numFmtId="0" fontId="32" fillId="0" borderId="0" xfId="4" applyFont="1" applyFill="1" applyBorder="1" applyAlignment="1" applyProtection="1">
      <alignment horizontal="center" vertical="center" wrapText="1"/>
      <protection locked="0"/>
    </xf>
    <xf numFmtId="0" fontId="31" fillId="0" borderId="9" xfId="4" applyFont="1" applyFill="1" applyBorder="1" applyAlignment="1" applyProtection="1">
      <alignment vertical="center" wrapText="1"/>
      <protection locked="0"/>
    </xf>
    <xf numFmtId="0" fontId="31" fillId="18" borderId="80" xfId="4" applyNumberFormat="1" applyFont="1" applyFill="1" applyBorder="1" applyAlignment="1" applyProtection="1">
      <alignment horizontal="center" vertical="center" wrapText="1"/>
      <protection locked="0"/>
    </xf>
    <xf numFmtId="0" fontId="0" fillId="0" borderId="61" xfId="0" applyFont="1" applyBorder="1" applyAlignment="1" applyProtection="1">
      <alignment vertical="center" wrapText="1"/>
      <protection locked="0"/>
    </xf>
    <xf numFmtId="0" fontId="29" fillId="0" borderId="0" xfId="0" applyFont="1" applyFill="1" applyAlignment="1" applyProtection="1">
      <alignment vertical="center" wrapText="1"/>
      <protection locked="0"/>
    </xf>
    <xf numFmtId="0" fontId="33" fillId="0" borderId="0" xfId="0" applyFont="1" applyFill="1" applyBorder="1" applyAlignment="1" applyProtection="1">
      <alignment horizontal="center" vertical="center" wrapText="1"/>
      <protection locked="0"/>
    </xf>
    <xf numFmtId="1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9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1" fontId="0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28" fillId="19" borderId="78" xfId="0" applyFont="1" applyFill="1" applyBorder="1" applyAlignment="1" applyProtection="1">
      <alignment horizontal="center" vertical="center" wrapText="1"/>
      <protection locked="0"/>
    </xf>
    <xf numFmtId="1" fontId="0" fillId="0" borderId="6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28" fillId="21" borderId="77" xfId="6" applyFont="1" applyFill="1" applyBorder="1" applyAlignment="1" applyProtection="1">
      <alignment horizontal="center" vertical="center" wrapText="1"/>
      <protection locked="0"/>
    </xf>
    <xf numFmtId="0" fontId="35" fillId="0" borderId="74" xfId="6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67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2" fontId="35" fillId="18" borderId="74" xfId="6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6" applyFont="1" applyFill="1" applyBorder="1" applyAlignment="1" applyProtection="1">
      <alignment horizontal="left" vertical="center" wrapText="1"/>
      <protection locked="0"/>
    </xf>
    <xf numFmtId="0" fontId="35" fillId="0" borderId="61" xfId="6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28" fillId="21" borderId="60" xfId="0" applyFont="1" applyFill="1" applyBorder="1" applyAlignment="1" applyProtection="1">
      <alignment horizontal="center" vertical="center" wrapText="1"/>
      <protection locked="0"/>
    </xf>
    <xf numFmtId="0" fontId="28" fillId="21" borderId="74" xfId="0" applyFont="1" applyFill="1" applyBorder="1" applyAlignment="1" applyProtection="1">
      <alignment horizontal="center" vertical="center" wrapText="1"/>
      <protection locked="0"/>
    </xf>
    <xf numFmtId="0" fontId="32" fillId="12" borderId="71" xfId="0" applyFont="1" applyFill="1" applyBorder="1" applyAlignment="1" applyProtection="1">
      <alignment horizontal="left" vertical="center" wrapText="1"/>
      <protection locked="0"/>
    </xf>
    <xf numFmtId="0" fontId="32" fillId="12" borderId="60" xfId="0" applyFont="1" applyFill="1" applyBorder="1" applyAlignment="1" applyProtection="1">
      <alignment horizontal="left" vertical="center" wrapText="1"/>
      <protection locked="0"/>
    </xf>
    <xf numFmtId="0" fontId="0" fillId="18" borderId="60" xfId="0" applyFont="1" applyFill="1" applyBorder="1" applyAlignment="1" applyProtection="1">
      <alignment horizontal="center" vertical="center" wrapText="1"/>
      <protection locked="0"/>
    </xf>
    <xf numFmtId="0" fontId="0" fillId="0" borderId="60" xfId="0" applyFont="1" applyFill="1" applyBorder="1" applyAlignment="1" applyProtection="1">
      <alignment horizontal="center" vertical="center" wrapText="1"/>
      <protection locked="0"/>
    </xf>
    <xf numFmtId="2" fontId="0" fillId="20" borderId="74" xfId="3" applyNumberFormat="1" applyFont="1" applyFill="1" applyBorder="1" applyAlignment="1" applyProtection="1">
      <alignment horizontal="center" vertical="center" wrapText="1"/>
      <protection locked="0"/>
    </xf>
    <xf numFmtId="43" fontId="29" fillId="14" borderId="71" xfId="3" applyFont="1" applyFill="1" applyBorder="1" applyAlignment="1" applyProtection="1">
      <alignment horizontal="center" vertical="center" wrapText="1"/>
      <protection locked="0"/>
    </xf>
    <xf numFmtId="43" fontId="29" fillId="14" borderId="60" xfId="3" applyFont="1" applyFill="1" applyBorder="1" applyAlignment="1" applyProtection="1">
      <alignment horizontal="center" vertical="center" wrapText="1"/>
      <protection locked="0"/>
    </xf>
    <xf numFmtId="0" fontId="0" fillId="0" borderId="58" xfId="0" applyFont="1" applyBorder="1" applyAlignment="1" applyProtection="1">
      <alignment vertical="center" wrapText="1"/>
      <protection locked="0"/>
    </xf>
    <xf numFmtId="0" fontId="0" fillId="18" borderId="73" xfId="0" applyFont="1" applyFill="1" applyBorder="1" applyAlignment="1" applyProtection="1">
      <alignment horizontal="center" vertical="center" wrapText="1"/>
      <protection locked="0"/>
    </xf>
    <xf numFmtId="0" fontId="0" fillId="0" borderId="73" xfId="0" applyFont="1" applyFill="1" applyBorder="1" applyAlignment="1" applyProtection="1">
      <alignment horizontal="center" vertical="center" wrapText="1"/>
      <protection locked="0"/>
    </xf>
    <xf numFmtId="2" fontId="0" fillId="20" borderId="72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5" fillId="0" borderId="0" xfId="6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wrapText="1"/>
      <protection locked="0"/>
    </xf>
    <xf numFmtId="0" fontId="35" fillId="0" borderId="0" xfId="6" applyFont="1" applyBorder="1" applyAlignment="1" applyProtection="1">
      <alignment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34" fillId="0" borderId="0" xfId="6" applyFont="1" applyFill="1" applyBorder="1" applyAlignment="1" applyProtection="1">
      <alignment horizontal="center" wrapText="1"/>
      <protection locked="0"/>
    </xf>
    <xf numFmtId="0" fontId="28" fillId="19" borderId="66" xfId="0" applyFont="1" applyFill="1" applyBorder="1" applyAlignment="1" applyProtection="1">
      <alignment horizontal="center" vertical="center" wrapText="1"/>
      <protection locked="0"/>
    </xf>
    <xf numFmtId="0" fontId="0" fillId="18" borderId="40" xfId="0" applyFont="1" applyFill="1" applyBorder="1" applyAlignment="1" applyProtection="1">
      <alignment vertical="center" wrapText="1"/>
      <protection locked="0"/>
    </xf>
    <xf numFmtId="2" fontId="0" fillId="18" borderId="64" xfId="0" applyNumberFormat="1" applyFont="1" applyFill="1" applyBorder="1" applyAlignment="1" applyProtection="1">
      <alignment horizontal="center" vertical="center" wrapText="1"/>
      <protection locked="0"/>
    </xf>
    <xf numFmtId="2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18" borderId="3" xfId="0" applyFont="1" applyFill="1" applyBorder="1" applyAlignment="1" applyProtection="1">
      <alignment horizontal="center" vertical="center" wrapText="1"/>
      <protection locked="0"/>
    </xf>
    <xf numFmtId="0" fontId="31" fillId="0" borderId="0" xfId="4" applyFont="1" applyBorder="1" applyAlignment="1" applyProtection="1">
      <alignment vertical="center" wrapText="1"/>
      <protection locked="0"/>
    </xf>
    <xf numFmtId="2" fontId="18" fillId="18" borderId="63" xfId="0" applyNumberFormat="1" applyFont="1" applyFill="1" applyBorder="1" applyAlignment="1" applyProtection="1">
      <alignment horizontal="center" vertical="center" wrapText="1"/>
      <protection locked="0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2" fillId="12" borderId="60" xfId="0" applyFont="1" applyFill="1" applyBorder="1" applyAlignment="1" applyProtection="1">
      <alignment horizontal="center" vertical="center" wrapText="1"/>
      <protection locked="0"/>
    </xf>
    <xf numFmtId="43" fontId="29" fillId="14" borderId="60" xfId="3" applyFont="1" applyFill="1" applyBorder="1" applyAlignment="1" applyProtection="1">
      <alignment horizontal="center" wrapText="1"/>
      <protection locked="0"/>
    </xf>
    <xf numFmtId="166" fontId="18" fillId="18" borderId="55" xfId="0" applyNumberFormat="1" applyFont="1" applyFill="1" applyBorder="1" applyAlignment="1" applyProtection="1">
      <alignment horizontal="center" vertical="center" wrapText="1"/>
      <protection locked="0"/>
    </xf>
    <xf numFmtId="0" fontId="26" fillId="8" borderId="8" xfId="0" applyFont="1" applyFill="1" applyBorder="1" applyAlignment="1">
      <alignment vertical="center" wrapText="1"/>
    </xf>
    <xf numFmtId="0" fontId="26" fillId="8" borderId="0" xfId="0" applyFont="1" applyFill="1" applyBorder="1" applyAlignment="1">
      <alignment vertical="center" wrapText="1"/>
    </xf>
    <xf numFmtId="0" fontId="26" fillId="8" borderId="10" xfId="0" applyFont="1" applyFill="1" applyBorder="1" applyAlignment="1">
      <alignment vertical="center" wrapText="1"/>
    </xf>
    <xf numFmtId="0" fontId="26" fillId="8" borderId="11" xfId="0" applyFont="1" applyFill="1" applyBorder="1" applyAlignment="1">
      <alignment vertical="center" wrapText="1"/>
    </xf>
    <xf numFmtId="0" fontId="0" fillId="7" borderId="35" xfId="0" applyFill="1" applyBorder="1" applyAlignment="1">
      <alignment horizontal="left" vertical="center" wrapText="1"/>
    </xf>
    <xf numFmtId="0" fontId="2" fillId="10" borderId="16" xfId="0" applyFont="1" applyFill="1" applyBorder="1" applyAlignment="1" applyProtection="1">
      <alignment horizontal="center" vertical="center" wrapText="1"/>
      <protection locked="0"/>
    </xf>
    <xf numFmtId="1" fontId="0" fillId="7" borderId="3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41" fillId="0" borderId="0" xfId="8" applyFont="1" applyBorder="1" applyAlignment="1" applyProtection="1">
      <alignment horizontal="center" vertical="center" wrapText="1"/>
      <protection locked="0"/>
    </xf>
    <xf numFmtId="0" fontId="41" fillId="0" borderId="0" xfId="8" applyFont="1" applyBorder="1" applyAlignment="1" applyProtection="1">
      <alignment horizontal="center" vertical="center" wrapText="1"/>
      <protection locked="0"/>
    </xf>
    <xf numFmtId="1" fontId="31" fillId="0" borderId="3" xfId="5" applyNumberFormat="1" applyFont="1" applyFill="1" applyBorder="1" applyAlignment="1" applyProtection="1">
      <alignment horizontal="center" vertical="center" wrapText="1"/>
      <protection locked="0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8" fillId="8" borderId="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41" fillId="0" borderId="0" xfId="8" applyFont="1" applyBorder="1" applyAlignment="1" applyProtection="1">
      <alignment horizontal="center" vertical="center" wrapText="1"/>
      <protection locked="0"/>
    </xf>
    <xf numFmtId="0" fontId="18" fillId="7" borderId="29" xfId="0" applyFont="1" applyFill="1" applyBorder="1" applyAlignment="1">
      <alignment horizontal="center" vertical="center"/>
    </xf>
    <xf numFmtId="1" fontId="43" fillId="2" borderId="21" xfId="0" applyNumberFormat="1" applyFont="1" applyFill="1" applyBorder="1" applyAlignment="1">
      <alignment horizontal="center" vertical="center" wrapText="1"/>
    </xf>
    <xf numFmtId="0" fontId="25" fillId="8" borderId="85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0" fillId="0" borderId="9" xfId="0" applyBorder="1"/>
    <xf numFmtId="0" fontId="23" fillId="2" borderId="19" xfId="0" applyFont="1" applyFill="1" applyBorder="1" applyAlignment="1">
      <alignment horizontal="center" vertical="center" wrapText="1"/>
    </xf>
    <xf numFmtId="1" fontId="23" fillId="2" borderId="19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/>
    </xf>
    <xf numFmtId="0" fontId="7" fillId="6" borderId="86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1" fontId="25" fillId="8" borderId="85" xfId="0" applyNumberFormat="1" applyFont="1" applyFill="1" applyBorder="1" applyAlignment="1">
      <alignment horizontal="center" vertical="center" wrapText="1"/>
    </xf>
    <xf numFmtId="0" fontId="4" fillId="11" borderId="23" xfId="0" applyFont="1" applyFill="1" applyBorder="1" applyAlignment="1">
      <alignment vertical="center" wrapText="1"/>
    </xf>
    <xf numFmtId="0" fontId="4" fillId="11" borderId="24" xfId="0" applyFont="1" applyFill="1" applyBorder="1" applyAlignment="1">
      <alignment vertical="center" wrapText="1"/>
    </xf>
    <xf numFmtId="0" fontId="2" fillId="10" borderId="28" xfId="0" applyFont="1" applyFill="1" applyBorder="1" applyAlignment="1" applyProtection="1">
      <alignment horizontal="center" vertical="center" wrapText="1"/>
      <protection locked="0"/>
    </xf>
    <xf numFmtId="0" fontId="2" fillId="10" borderId="17" xfId="0" applyFont="1" applyFill="1" applyBorder="1" applyAlignment="1" applyProtection="1">
      <alignment horizontal="center" vertical="center" wrapText="1"/>
      <protection locked="0"/>
    </xf>
    <xf numFmtId="0" fontId="0" fillId="10" borderId="13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6" borderId="22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11" borderId="14" xfId="0" applyFill="1" applyBorder="1" applyAlignment="1">
      <alignment horizontal="left" vertical="center"/>
    </xf>
    <xf numFmtId="0" fontId="0" fillId="0" borderId="14" xfId="0" applyFill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8" borderId="3" xfId="0" applyFill="1" applyBorder="1" applyAlignment="1">
      <alignment horizontal="center"/>
    </xf>
    <xf numFmtId="0" fontId="0" fillId="8" borderId="0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18" fillId="0" borderId="3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44" fillId="16" borderId="6" xfId="0" applyFont="1" applyFill="1" applyBorder="1" applyAlignment="1">
      <alignment horizontal="center" vertical="center" wrapText="1"/>
    </xf>
    <xf numFmtId="0" fontId="44" fillId="16" borderId="6" xfId="0" applyFont="1" applyFill="1" applyBorder="1" applyAlignment="1" applyProtection="1">
      <alignment horizontal="center" vertical="center" wrapText="1"/>
    </xf>
    <xf numFmtId="0" fontId="0" fillId="16" borderId="22" xfId="0" applyFill="1" applyBorder="1" applyAlignment="1" applyProtection="1">
      <alignment horizontal="center" vertical="center"/>
    </xf>
    <xf numFmtId="0" fontId="2" fillId="16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7" borderId="24" xfId="0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7" borderId="88" xfId="0" applyFill="1" applyBorder="1" applyAlignment="1">
      <alignment horizontal="center"/>
    </xf>
    <xf numFmtId="0" fontId="45" fillId="2" borderId="6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7" fillId="0" borderId="3" xfId="0" applyFont="1" applyBorder="1" applyAlignment="1">
      <alignment horizontal="center"/>
    </xf>
    <xf numFmtId="1" fontId="45" fillId="2" borderId="6" xfId="0" applyNumberFormat="1" applyFont="1" applyFill="1" applyBorder="1" applyAlignment="1">
      <alignment horizontal="center" vertical="center" wrapText="1"/>
    </xf>
    <xf numFmtId="0" fontId="48" fillId="8" borderId="18" xfId="0" applyFont="1" applyFill="1" applyBorder="1" applyAlignment="1">
      <alignment horizontal="center" vertical="center" wrapText="1"/>
    </xf>
    <xf numFmtId="0" fontId="48" fillId="8" borderId="85" xfId="0" applyFont="1" applyFill="1" applyBorder="1" applyAlignment="1">
      <alignment horizontal="center" vertical="center" wrapText="1"/>
    </xf>
    <xf numFmtId="0" fontId="48" fillId="8" borderId="3" xfId="0" applyFont="1" applyFill="1" applyBorder="1" applyAlignment="1">
      <alignment horizontal="center" vertical="center" wrapText="1"/>
    </xf>
    <xf numFmtId="1" fontId="48" fillId="8" borderId="3" xfId="0" applyNumberFormat="1" applyFont="1" applyFill="1" applyBorder="1" applyAlignment="1">
      <alignment horizontal="center" vertical="center" wrapText="1"/>
    </xf>
    <xf numFmtId="0" fontId="49" fillId="16" borderId="3" xfId="0" applyFont="1" applyFill="1" applyBorder="1" applyAlignment="1">
      <alignment vertical="top" wrapText="1"/>
    </xf>
    <xf numFmtId="1" fontId="48" fillId="8" borderId="85" xfId="0" applyNumberFormat="1" applyFont="1" applyFill="1" applyBorder="1" applyAlignment="1">
      <alignment horizontal="center" vertical="center" wrapText="1"/>
    </xf>
    <xf numFmtId="1" fontId="48" fillId="8" borderId="40" xfId="0" applyNumberFormat="1" applyFont="1" applyFill="1" applyBorder="1" applyAlignment="1">
      <alignment horizontal="center" vertical="center" wrapText="1"/>
    </xf>
    <xf numFmtId="1" fontId="48" fillId="8" borderId="0" xfId="0" applyNumberFormat="1" applyFont="1" applyFill="1" applyBorder="1" applyAlignment="1">
      <alignment horizontal="center" vertical="center" wrapText="1"/>
    </xf>
    <xf numFmtId="0" fontId="49" fillId="16" borderId="0" xfId="0" applyFont="1" applyFill="1" applyBorder="1" applyAlignment="1">
      <alignment vertical="top" wrapText="1"/>
    </xf>
    <xf numFmtId="0" fontId="49" fillId="16" borderId="9" xfId="0" applyFont="1" applyFill="1" applyBorder="1" applyAlignment="1">
      <alignment vertical="top" wrapText="1"/>
    </xf>
    <xf numFmtId="1" fontId="46" fillId="2" borderId="6" xfId="0" applyNumberFormat="1" applyFont="1" applyFill="1" applyBorder="1" applyAlignment="1">
      <alignment horizontal="center" vertical="center" wrapText="1"/>
    </xf>
    <xf numFmtId="1" fontId="46" fillId="2" borderId="21" xfId="0" applyNumberFormat="1" applyFont="1" applyFill="1" applyBorder="1" applyAlignment="1">
      <alignment horizontal="center" vertical="center" wrapText="1"/>
    </xf>
    <xf numFmtId="1" fontId="46" fillId="2" borderId="19" xfId="0" applyNumberFormat="1" applyFont="1" applyFill="1" applyBorder="1" applyAlignment="1">
      <alignment horizontal="center" vertical="center" wrapText="1"/>
    </xf>
    <xf numFmtId="1" fontId="46" fillId="2" borderId="1" xfId="0" applyNumberFormat="1" applyFont="1" applyFill="1" applyBorder="1" applyAlignment="1">
      <alignment horizontal="center" vertical="center" wrapText="1"/>
    </xf>
    <xf numFmtId="0" fontId="49" fillId="8" borderId="0" xfId="0" applyFont="1" applyFill="1" applyBorder="1"/>
    <xf numFmtId="0" fontId="46" fillId="2" borderId="19" xfId="0" applyFont="1" applyFill="1" applyBorder="1" applyAlignment="1">
      <alignment horizontal="center" vertical="center" wrapText="1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7" borderId="30" xfId="0" applyFill="1" applyBorder="1" applyAlignment="1">
      <alignment horizontal="left" vertical="center"/>
    </xf>
    <xf numFmtId="0" fontId="0" fillId="7" borderId="83" xfId="0" applyFill="1" applyBorder="1" applyAlignment="1">
      <alignment horizontal="left" vertical="center"/>
    </xf>
    <xf numFmtId="0" fontId="0" fillId="7" borderId="31" xfId="0" applyFill="1" applyBorder="1" applyAlignment="1">
      <alignment horizontal="left" vertical="center"/>
    </xf>
    <xf numFmtId="0" fontId="1" fillId="2" borderId="84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" fillId="2" borderId="90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/>
    </xf>
    <xf numFmtId="0" fontId="0" fillId="0" borderId="33" xfId="0" applyBorder="1" applyAlignment="1">
      <alignment wrapText="1"/>
    </xf>
    <xf numFmtId="0" fontId="0" fillId="0" borderId="33" xfId="0" applyBorder="1"/>
    <xf numFmtId="0" fontId="2" fillId="4" borderId="28" xfId="0" applyFont="1" applyFill="1" applyBorder="1" applyAlignment="1">
      <alignment horizontal="center" vertical="center" wrapText="1"/>
    </xf>
    <xf numFmtId="0" fontId="14" fillId="0" borderId="21" xfId="1" applyBorder="1" applyAlignment="1">
      <alignment horizontal="center"/>
    </xf>
    <xf numFmtId="0" fontId="14" fillId="0" borderId="9" xfId="1" applyBorder="1"/>
    <xf numFmtId="0" fontId="52" fillId="11" borderId="24" xfId="0" applyFont="1" applyFill="1" applyBorder="1" applyAlignment="1">
      <alignment vertical="center" wrapText="1"/>
    </xf>
    <xf numFmtId="0" fontId="0" fillId="11" borderId="23" xfId="0" applyFill="1" applyBorder="1" applyAlignment="1">
      <alignment horizontal="left" vertical="center" wrapText="1"/>
    </xf>
    <xf numFmtId="1" fontId="48" fillId="8" borderId="18" xfId="0" applyNumberFormat="1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0" fillId="11" borderId="91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/>
    </xf>
    <xf numFmtId="0" fontId="0" fillId="11" borderId="91" xfId="0" applyFill="1" applyBorder="1" applyAlignment="1">
      <alignment horizontal="left" vertical="center" wrapText="1"/>
    </xf>
    <xf numFmtId="0" fontId="0" fillId="11" borderId="22" xfId="0" applyFill="1" applyBorder="1" applyAlignment="1">
      <alignment horizontal="left" vertical="center" wrapText="1"/>
    </xf>
    <xf numFmtId="0" fontId="46" fillId="2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7" xfId="0" applyFont="1" applyFill="1" applyBorder="1" applyAlignment="1">
      <alignment horizontal="center" vertical="center" wrapText="1"/>
    </xf>
    <xf numFmtId="0" fontId="0" fillId="11" borderId="39" xfId="0" applyFill="1" applyBorder="1" applyAlignment="1">
      <alignment horizontal="left" vertical="center"/>
    </xf>
    <xf numFmtId="0" fontId="0" fillId="11" borderId="39" xfId="0" applyFill="1" applyBorder="1" applyAlignment="1">
      <alignment horizontal="left" vertical="center" wrapText="1"/>
    </xf>
    <xf numFmtId="0" fontId="25" fillId="8" borderId="38" xfId="0" applyFont="1" applyFill="1" applyBorder="1" applyAlignment="1">
      <alignment horizontal="center" vertical="center" wrapText="1"/>
    </xf>
    <xf numFmtId="0" fontId="0" fillId="16" borderId="36" xfId="0" applyFill="1" applyBorder="1" applyAlignment="1">
      <alignment vertical="top" wrapText="1"/>
    </xf>
    <xf numFmtId="0" fontId="48" fillId="8" borderId="38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1" fontId="45" fillId="2" borderId="1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7" borderId="39" xfId="0" applyFill="1" applyBorder="1" applyAlignment="1">
      <alignment horizontal="left" vertical="center" wrapText="1"/>
    </xf>
    <xf numFmtId="0" fontId="0" fillId="7" borderId="44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42" fillId="4" borderId="12" xfId="0" applyFont="1" applyFill="1" applyBorder="1" applyAlignment="1">
      <alignment horizontal="center" vertical="center" wrapText="1"/>
    </xf>
    <xf numFmtId="1" fontId="42" fillId="4" borderId="19" xfId="0" applyNumberFormat="1" applyFont="1" applyFill="1" applyBorder="1" applyAlignment="1">
      <alignment horizontal="center" vertical="center" wrapText="1"/>
    </xf>
    <xf numFmtId="1" fontId="42" fillId="4" borderId="2" xfId="0" applyNumberFormat="1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6" fillId="5" borderId="10" xfId="0" applyFont="1" applyFill="1" applyBorder="1" applyAlignment="1">
      <alignment horizontal="center" vertical="center" wrapText="1"/>
    </xf>
    <xf numFmtId="0" fontId="26" fillId="5" borderId="11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6" fillId="2" borderId="8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16" fillId="6" borderId="83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 wrapText="1"/>
    </xf>
    <xf numFmtId="0" fontId="46" fillId="2" borderId="30" xfId="0" applyFont="1" applyFill="1" applyBorder="1" applyAlignment="1">
      <alignment horizontal="center" vertical="center" wrapText="1"/>
    </xf>
    <xf numFmtId="0" fontId="46" fillId="2" borderId="3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52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 wrapText="1"/>
    </xf>
    <xf numFmtId="0" fontId="18" fillId="8" borderId="4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18" fillId="8" borderId="9" xfId="0" applyFont="1" applyFill="1" applyBorder="1" applyAlignment="1">
      <alignment vertical="center" wrapText="1"/>
    </xf>
    <xf numFmtId="0" fontId="18" fillId="8" borderId="10" xfId="0" applyFont="1" applyFill="1" applyBorder="1" applyAlignment="1">
      <alignment vertical="center" wrapText="1"/>
    </xf>
    <xf numFmtId="0" fontId="18" fillId="8" borderId="12" xfId="0" applyFont="1" applyFill="1" applyBorder="1" applyAlignment="1">
      <alignment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1" fontId="42" fillId="4" borderId="20" xfId="0" applyNumberFormat="1" applyFont="1" applyFill="1" applyBorder="1" applyAlignment="1">
      <alignment horizontal="center" vertical="center" wrapText="1"/>
    </xf>
    <xf numFmtId="1" fontId="45" fillId="2" borderId="19" xfId="0" applyNumberFormat="1" applyFont="1" applyFill="1" applyBorder="1" applyAlignment="1">
      <alignment horizontal="center" vertical="center" wrapText="1"/>
    </xf>
    <xf numFmtId="1" fontId="45" fillId="2" borderId="2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52" xfId="0" applyFont="1" applyFill="1" applyBorder="1" applyAlignment="1">
      <alignment horizontal="center" vertical="center" wrapText="1"/>
    </xf>
    <xf numFmtId="0" fontId="45" fillId="2" borderId="6" xfId="0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30" fillId="18" borderId="70" xfId="0" applyFont="1" applyFill="1" applyBorder="1" applyAlignment="1" applyProtection="1">
      <alignment horizontal="center" vertical="center" textRotation="90" wrapText="1"/>
      <protection locked="0"/>
    </xf>
    <xf numFmtId="0" fontId="30" fillId="18" borderId="62" xfId="0" applyFont="1" applyFill="1" applyBorder="1" applyAlignment="1" applyProtection="1">
      <alignment horizontal="center" vertical="center" textRotation="90" wrapText="1"/>
      <protection locked="0"/>
    </xf>
    <xf numFmtId="0" fontId="28" fillId="19" borderId="82" xfId="7" applyFont="1" applyFill="1" applyBorder="1" applyAlignment="1" applyProtection="1">
      <alignment horizontal="left" vertical="center" wrapText="1"/>
      <protection locked="0"/>
    </xf>
    <xf numFmtId="0" fontId="28" fillId="19" borderId="81" xfId="7" applyFont="1" applyFill="1" applyBorder="1" applyAlignment="1" applyProtection="1">
      <alignment horizontal="left" vertical="center" wrapText="1"/>
      <protection locked="0"/>
    </xf>
    <xf numFmtId="0" fontId="31" fillId="18" borderId="11" xfId="5" applyFont="1" applyFill="1" applyBorder="1" applyAlignment="1" applyProtection="1">
      <alignment horizontal="right" vertical="center" wrapText="1"/>
      <protection locked="0"/>
    </xf>
    <xf numFmtId="0" fontId="31" fillId="18" borderId="20" xfId="5" applyFont="1" applyFill="1" applyBorder="1" applyAlignment="1" applyProtection="1">
      <alignment horizontal="right" vertical="center" wrapText="1"/>
      <protection locked="0"/>
    </xf>
    <xf numFmtId="0" fontId="41" fillId="0" borderId="0" xfId="8" applyFont="1" applyBorder="1" applyAlignment="1" applyProtection="1">
      <alignment horizontal="center" vertical="center" wrapText="1"/>
      <protection locked="0"/>
    </xf>
    <xf numFmtId="0" fontId="41" fillId="0" borderId="0" xfId="8" applyFont="1" applyBorder="1" applyAlignment="1" applyProtection="1">
      <alignment horizontal="right" vertical="center" wrapText="1"/>
      <protection locked="0"/>
    </xf>
    <xf numFmtId="0" fontId="40" fillId="0" borderId="6" xfId="8" applyFont="1" applyBorder="1" applyAlignment="1" applyProtection="1">
      <alignment horizontal="center" vertical="center" wrapText="1"/>
      <protection locked="0"/>
    </xf>
    <xf numFmtId="0" fontId="40" fillId="0" borderId="7" xfId="8" applyFont="1" applyBorder="1" applyAlignment="1" applyProtection="1">
      <alignment horizontal="center" vertical="center" wrapText="1"/>
      <protection locked="0"/>
    </xf>
    <xf numFmtId="0" fontId="40" fillId="0" borderId="4" xfId="8" applyFont="1" applyBorder="1" applyAlignment="1" applyProtection="1">
      <alignment horizontal="center" vertical="center" wrapText="1"/>
      <protection locked="0"/>
    </xf>
    <xf numFmtId="0" fontId="39" fillId="0" borderId="10" xfId="8" applyFont="1" applyBorder="1" applyAlignment="1" applyProtection="1">
      <alignment horizontal="center" vertical="center" wrapText="1"/>
      <protection locked="0"/>
    </xf>
    <xf numFmtId="0" fontId="39" fillId="0" borderId="11" xfId="8" applyFont="1" applyBorder="1" applyAlignment="1" applyProtection="1">
      <alignment horizontal="center" vertical="center" wrapText="1"/>
      <protection locked="0"/>
    </xf>
    <xf numFmtId="0" fontId="39" fillId="0" borderId="12" xfId="8" applyFont="1" applyBorder="1" applyAlignment="1" applyProtection="1">
      <alignment horizontal="center" vertical="center" wrapText="1"/>
      <protection locked="0"/>
    </xf>
    <xf numFmtId="0" fontId="35" fillId="18" borderId="75" xfId="6" applyFont="1" applyFill="1" applyBorder="1" applyAlignment="1" applyProtection="1">
      <alignment horizontal="left" vertical="center" wrapText="1"/>
      <protection locked="0"/>
    </xf>
    <xf numFmtId="0" fontId="35" fillId="18" borderId="76" xfId="6" applyFont="1" applyFill="1" applyBorder="1" applyAlignment="1" applyProtection="1">
      <alignment horizontal="left" vertical="center" wrapText="1"/>
      <protection locked="0"/>
    </xf>
    <xf numFmtId="0" fontId="35" fillId="18" borderId="71" xfId="6" applyFont="1" applyFill="1" applyBorder="1" applyAlignment="1" applyProtection="1">
      <alignment horizontal="left" vertical="center" wrapText="1"/>
      <protection locked="0"/>
    </xf>
    <xf numFmtId="0" fontId="0" fillId="18" borderId="75" xfId="0" applyFont="1" applyFill="1" applyBorder="1" applyAlignment="1" applyProtection="1">
      <alignment horizontal="left" vertical="center" wrapText="1"/>
      <protection locked="0"/>
    </xf>
    <xf numFmtId="0" fontId="0" fillId="18" borderId="71" xfId="0" applyFont="1" applyFill="1" applyBorder="1" applyAlignment="1" applyProtection="1">
      <alignment horizontal="left" vertical="center" wrapText="1"/>
      <protection locked="0"/>
    </xf>
    <xf numFmtId="0" fontId="28" fillId="21" borderId="75" xfId="0" applyFont="1" applyFill="1" applyBorder="1" applyAlignment="1" applyProtection="1">
      <alignment horizontal="left" vertical="center" wrapText="1"/>
      <protection locked="0"/>
    </xf>
    <xf numFmtId="0" fontId="28" fillId="21" borderId="71" xfId="0" applyFont="1" applyFill="1" applyBorder="1" applyAlignment="1" applyProtection="1">
      <alignment horizontal="left" vertical="center" wrapText="1"/>
      <protection locked="0"/>
    </xf>
    <xf numFmtId="0" fontId="0" fillId="18" borderId="75" xfId="0" applyFont="1" applyFill="1" applyBorder="1" applyAlignment="1" applyProtection="1">
      <alignment vertical="center" wrapText="1"/>
      <protection locked="0"/>
    </xf>
    <xf numFmtId="0" fontId="0" fillId="18" borderId="71" xfId="0" applyFont="1" applyFill="1" applyBorder="1" applyAlignment="1" applyProtection="1">
      <alignment vertical="center" wrapText="1"/>
      <protection locked="0"/>
    </xf>
    <xf numFmtId="0" fontId="31" fillId="18" borderId="3" xfId="0" applyFont="1" applyFill="1" applyBorder="1" applyAlignment="1" applyProtection="1">
      <alignment horizontal="right" vertical="center" wrapText="1"/>
      <protection locked="0"/>
    </xf>
    <xf numFmtId="0" fontId="28" fillId="21" borderId="75" xfId="6" applyFont="1" applyFill="1" applyBorder="1" applyAlignment="1" applyProtection="1">
      <alignment horizontal="left" vertical="center" wrapText="1"/>
      <protection locked="0"/>
    </xf>
    <xf numFmtId="0" fontId="28" fillId="21" borderId="76" xfId="6" applyFont="1" applyFill="1" applyBorder="1" applyAlignment="1" applyProtection="1">
      <alignment horizontal="left" vertical="center" wrapText="1"/>
      <protection locked="0"/>
    </xf>
    <xf numFmtId="0" fontId="0" fillId="18" borderId="73" xfId="0" applyFont="1" applyFill="1" applyBorder="1" applyAlignment="1" applyProtection="1">
      <alignment vertical="center" wrapText="1"/>
      <protection locked="0"/>
    </xf>
    <xf numFmtId="0" fontId="30" fillId="18" borderId="59" xfId="0" applyFont="1" applyFill="1" applyBorder="1" applyAlignment="1" applyProtection="1">
      <alignment horizontal="center" vertical="center" textRotation="90" wrapText="1"/>
      <protection locked="0"/>
    </xf>
    <xf numFmtId="0" fontId="28" fillId="19" borderId="68" xfId="0" applyFont="1" applyFill="1" applyBorder="1" applyAlignment="1" applyProtection="1">
      <alignment horizontal="left" vertical="center" wrapText="1"/>
      <protection locked="0"/>
    </xf>
    <xf numFmtId="0" fontId="28" fillId="19" borderId="67" xfId="0" applyFont="1" applyFill="1" applyBorder="1" applyAlignment="1" applyProtection="1">
      <alignment horizontal="left" vertical="center" wrapText="1"/>
      <protection locked="0"/>
    </xf>
    <xf numFmtId="0" fontId="18" fillId="18" borderId="65" xfId="0" applyFont="1" applyFill="1" applyBorder="1" applyAlignment="1" applyProtection="1">
      <alignment horizontal="center" vertical="center" wrapText="1"/>
      <protection locked="0"/>
    </xf>
    <xf numFmtId="0" fontId="18" fillId="18" borderId="18" xfId="0" applyFont="1" applyFill="1" applyBorder="1" applyAlignment="1" applyProtection="1">
      <alignment horizontal="center" vertical="center" wrapText="1"/>
      <protection locked="0"/>
    </xf>
    <xf numFmtId="0" fontId="31" fillId="18" borderId="22" xfId="5" applyFont="1" applyFill="1" applyBorder="1" applyAlignment="1" applyProtection="1">
      <alignment horizontal="left" vertical="center" wrapText="1"/>
      <protection locked="0"/>
    </xf>
    <xf numFmtId="0" fontId="31" fillId="18" borderId="3" xfId="5" applyFont="1" applyFill="1" applyBorder="1" applyAlignment="1" applyProtection="1">
      <alignment horizontal="left" vertical="center" wrapText="1"/>
      <protection locked="0"/>
    </xf>
    <xf numFmtId="0" fontId="18" fillId="18" borderId="54" xfId="0" applyFont="1" applyFill="1" applyBorder="1" applyAlignment="1" applyProtection="1">
      <alignment horizontal="center" vertical="center" wrapText="1"/>
      <protection locked="0"/>
    </xf>
    <xf numFmtId="0" fontId="31" fillId="18" borderId="44" xfId="5" applyFont="1" applyFill="1" applyBorder="1" applyAlignment="1" applyProtection="1">
      <alignment horizontal="left" vertical="center" wrapText="1"/>
      <protection locked="0"/>
    </xf>
    <xf numFmtId="0" fontId="0" fillId="18" borderId="40" xfId="0" applyFont="1" applyFill="1" applyBorder="1" applyAlignment="1" applyProtection="1">
      <alignment horizontal="left" vertical="center" wrapText="1"/>
      <protection locked="0"/>
    </xf>
    <xf numFmtId="0" fontId="0" fillId="18" borderId="44" xfId="0" applyFont="1" applyFill="1" applyBorder="1" applyAlignment="1" applyProtection="1">
      <alignment horizontal="left" vertical="center" wrapText="1"/>
      <protection locked="0"/>
    </xf>
    <xf numFmtId="0" fontId="0" fillId="18" borderId="22" xfId="0" applyFont="1" applyFill="1" applyBorder="1" applyAlignment="1" applyProtection="1">
      <alignment horizontal="left" vertical="center" wrapText="1"/>
      <protection locked="0"/>
    </xf>
    <xf numFmtId="0" fontId="18" fillId="18" borderId="19" xfId="0" applyFont="1" applyFill="1" applyBorder="1" applyAlignment="1" applyProtection="1">
      <alignment horizontal="center" vertical="center" wrapText="1"/>
      <protection locked="0"/>
    </xf>
    <xf numFmtId="0" fontId="18" fillId="18" borderId="20" xfId="0" applyFont="1" applyFill="1" applyBorder="1" applyAlignment="1" applyProtection="1">
      <alignment horizontal="center" vertical="center" wrapText="1"/>
      <protection locked="0"/>
    </xf>
    <xf numFmtId="0" fontId="18" fillId="18" borderId="57" xfId="0" applyFont="1" applyFill="1" applyBorder="1" applyAlignment="1" applyProtection="1">
      <alignment horizontal="center" vertical="center" wrapText="1"/>
      <protection locked="0"/>
    </xf>
    <xf numFmtId="0" fontId="18" fillId="18" borderId="56" xfId="0" applyFont="1" applyFill="1" applyBorder="1" applyAlignment="1" applyProtection="1">
      <alignment horizontal="center" vertical="center" wrapText="1"/>
      <protection locked="0"/>
    </xf>
    <xf numFmtId="0" fontId="28" fillId="19" borderId="40" xfId="0" applyFont="1" applyFill="1" applyBorder="1" applyAlignment="1" applyProtection="1">
      <alignment horizontal="left" vertical="center" wrapText="1"/>
      <protection locked="0"/>
    </xf>
    <xf numFmtId="0" fontId="28" fillId="19" borderId="44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26" fillId="5" borderId="27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87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</cellXfs>
  <cellStyles count="9">
    <cellStyle name="Milliers" xfId="3" builtinId="3"/>
    <cellStyle name="Milliers 2" xfId="2" xr:uid="{0537A777-12E7-42EE-8F98-CCD855348ECE}"/>
    <cellStyle name="Normal" xfId="0" builtinId="0"/>
    <cellStyle name="Normal 2" xfId="1" xr:uid="{2734A7F5-2326-4578-ADA9-F3E0C0CEE931}"/>
    <cellStyle name="Normal 2 2" xfId="7" xr:uid="{2070C293-AD64-458B-BE01-24C11672CA92}"/>
    <cellStyle name="Normal 3" xfId="8" xr:uid="{DA8987BA-8FD9-4F5C-B68C-4E5D57ADC0B6}"/>
    <cellStyle name="Normal 4" xfId="6" xr:uid="{B5B4940E-6DE1-499B-A661-51BA9A38DC2B}"/>
    <cellStyle name="Normal_DEVOQUAL_Forfait_1.1-Documents-suivi-IDProjet1" xfId="4" xr:uid="{2F1163ED-A6AC-49E1-B44E-A88CD0E82A85}"/>
    <cellStyle name="Normal_DEVOQUAL_Forfait_1.1-Documents-suivi-IDProjet1 2" xfId="5" xr:uid="{8C470B25-41FA-4F57-B79D-9EA5B9100D9D}"/>
  </cellStyles>
  <dxfs count="4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103832</xdr:colOff>
      <xdr:row>0</xdr:row>
      <xdr:rowOff>0</xdr:rowOff>
    </xdr:from>
    <xdr:ext cx="2893198" cy="1089577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023" y="0"/>
          <a:ext cx="2893198" cy="108957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365760</xdr:colOff>
          <xdr:row>10</xdr:row>
          <xdr:rowOff>76200</xdr:rowOff>
        </xdr:from>
        <xdr:to>
          <xdr:col>6</xdr:col>
          <xdr:colOff>1280160</xdr:colOff>
          <xdr:row>14</xdr:row>
          <xdr:rowOff>129540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508-DFFD-4D54-A161-5CAC57E82848}">
  <dimension ref="A1:J22"/>
  <sheetViews>
    <sheetView tabSelected="1" zoomScale="90" zoomScaleNormal="90" workbookViewId="0">
      <selection activeCell="C12" sqref="C12"/>
    </sheetView>
  </sheetViews>
  <sheetFormatPr baseColWidth="10" defaultRowHeight="14.4" x14ac:dyDescent="0.3"/>
  <cols>
    <col min="2" max="2" width="17.44140625" customWidth="1"/>
    <col min="3" max="3" width="50.5546875" bestFit="1" customWidth="1"/>
    <col min="4" max="4" width="23.5546875" customWidth="1"/>
  </cols>
  <sheetData>
    <row r="1" spans="1:10" ht="14.4" customHeight="1" x14ac:dyDescent="0.3">
      <c r="A1" s="323" t="s">
        <v>185</v>
      </c>
      <c r="B1" s="324"/>
      <c r="C1" s="324"/>
      <c r="D1" s="324"/>
      <c r="E1" s="324"/>
      <c r="F1" s="324"/>
      <c r="G1" s="324"/>
      <c r="H1" s="324"/>
      <c r="I1" s="324"/>
      <c r="J1" s="325"/>
    </row>
    <row r="2" spans="1:10" x14ac:dyDescent="0.3">
      <c r="A2" s="326"/>
      <c r="B2" s="327"/>
      <c r="C2" s="327"/>
      <c r="D2" s="327"/>
      <c r="E2" s="327"/>
      <c r="F2" s="327"/>
      <c r="G2" s="327"/>
      <c r="H2" s="327"/>
      <c r="I2" s="327"/>
      <c r="J2" s="328"/>
    </row>
    <row r="3" spans="1:10" x14ac:dyDescent="0.3">
      <c r="A3" s="326"/>
      <c r="B3" s="327"/>
      <c r="C3" s="327"/>
      <c r="D3" s="327"/>
      <c r="E3" s="327"/>
      <c r="F3" s="327"/>
      <c r="G3" s="327"/>
      <c r="H3" s="327"/>
      <c r="I3" s="327"/>
      <c r="J3" s="328"/>
    </row>
    <row r="4" spans="1:10" x14ac:dyDescent="0.3">
      <c r="A4" s="326"/>
      <c r="B4" s="327"/>
      <c r="C4" s="327"/>
      <c r="D4" s="327"/>
      <c r="E4" s="327"/>
      <c r="F4" s="327"/>
      <c r="G4" s="327"/>
      <c r="H4" s="327"/>
      <c r="I4" s="327"/>
      <c r="J4" s="328"/>
    </row>
    <row r="5" spans="1:10" ht="15" thickBot="1" x14ac:dyDescent="0.35">
      <c r="A5" s="326"/>
      <c r="B5" s="327"/>
      <c r="C5" s="327"/>
      <c r="D5" s="327"/>
      <c r="E5" s="329"/>
      <c r="F5" s="329"/>
      <c r="G5" s="329"/>
      <c r="H5" s="329"/>
      <c r="I5" s="329"/>
      <c r="J5" s="330"/>
    </row>
    <row r="6" spans="1:10" ht="15" thickBot="1" x14ac:dyDescent="0.35">
      <c r="A6" s="295" t="s">
        <v>186</v>
      </c>
      <c r="B6" s="296" t="s">
        <v>187</v>
      </c>
      <c r="C6" s="296" t="s">
        <v>188</v>
      </c>
      <c r="D6" s="297" t="s">
        <v>189</v>
      </c>
      <c r="E6" s="98"/>
      <c r="F6" s="98"/>
      <c r="G6" s="98"/>
      <c r="H6" s="98"/>
      <c r="I6" s="98"/>
      <c r="J6" s="99"/>
    </row>
    <row r="7" spans="1:10" x14ac:dyDescent="0.3">
      <c r="A7" s="298" t="s">
        <v>190</v>
      </c>
      <c r="B7" s="299" t="s">
        <v>191</v>
      </c>
      <c r="C7" s="300" t="s">
        <v>192</v>
      </c>
      <c r="D7" s="301"/>
      <c r="E7" s="98"/>
      <c r="F7" s="98"/>
      <c r="G7" s="98"/>
      <c r="H7" s="98"/>
      <c r="I7" s="98"/>
      <c r="J7" s="99"/>
    </row>
    <row r="8" spans="1:10" x14ac:dyDescent="0.3">
      <c r="A8" s="88" t="s">
        <v>193</v>
      </c>
      <c r="B8" s="25" t="s">
        <v>81</v>
      </c>
      <c r="C8" s="67" t="s">
        <v>194</v>
      </c>
      <c r="D8" s="28" t="s">
        <v>195</v>
      </c>
      <c r="E8" s="98"/>
      <c r="F8" s="98"/>
      <c r="G8" s="98"/>
      <c r="H8" s="98"/>
      <c r="I8" s="98"/>
      <c r="J8" s="99"/>
    </row>
    <row r="9" spans="1:10" ht="37.5" customHeight="1" x14ac:dyDescent="0.3">
      <c r="A9" s="88" t="s">
        <v>196</v>
      </c>
      <c r="B9" s="67" t="s">
        <v>197</v>
      </c>
      <c r="C9" s="67" t="s">
        <v>197</v>
      </c>
      <c r="D9" s="29" t="s">
        <v>195</v>
      </c>
      <c r="E9" s="98"/>
      <c r="F9" s="98"/>
      <c r="G9" s="98"/>
      <c r="H9" s="98"/>
      <c r="I9" s="98"/>
      <c r="J9" s="99"/>
    </row>
    <row r="10" spans="1:10" ht="28.8" x14ac:dyDescent="0.3">
      <c r="A10" s="88" t="s">
        <v>198</v>
      </c>
      <c r="B10" s="25" t="s">
        <v>201</v>
      </c>
      <c r="C10" s="25" t="s">
        <v>202</v>
      </c>
      <c r="D10" s="29" t="s">
        <v>203</v>
      </c>
      <c r="E10" s="98"/>
      <c r="F10" s="98"/>
      <c r="G10" s="98"/>
      <c r="H10" s="98"/>
      <c r="I10" s="98"/>
      <c r="J10" s="99"/>
    </row>
    <row r="11" spans="1:10" ht="39" customHeight="1" x14ac:dyDescent="0.3">
      <c r="A11" s="88" t="s">
        <v>200</v>
      </c>
      <c r="B11" s="25" t="s">
        <v>204</v>
      </c>
      <c r="C11" s="25" t="s">
        <v>205</v>
      </c>
      <c r="D11" s="29" t="s">
        <v>199</v>
      </c>
      <c r="E11" s="98"/>
      <c r="F11" s="98"/>
      <c r="G11" s="98"/>
      <c r="H11" s="98"/>
      <c r="I11" s="98"/>
      <c r="J11" s="99"/>
    </row>
    <row r="12" spans="1:10" ht="15" thickBot="1" x14ac:dyDescent="0.35">
      <c r="A12" s="222" t="s">
        <v>206</v>
      </c>
      <c r="B12" s="26" t="s">
        <v>207</v>
      </c>
      <c r="C12" s="26" t="s">
        <v>208</v>
      </c>
      <c r="D12" s="30" t="s">
        <v>199</v>
      </c>
      <c r="E12" s="98"/>
      <c r="F12" s="98"/>
      <c r="G12" s="98"/>
      <c r="H12" s="98"/>
      <c r="I12" s="98"/>
      <c r="J12" s="99"/>
    </row>
    <row r="13" spans="1:10" ht="15" thickBot="1" x14ac:dyDescent="0.35">
      <c r="A13" s="100"/>
      <c r="B13" s="98"/>
      <c r="C13" s="98"/>
      <c r="D13" s="98"/>
      <c r="E13" s="98"/>
      <c r="F13" s="98"/>
      <c r="G13" s="98"/>
      <c r="H13" s="98"/>
      <c r="I13" s="98"/>
      <c r="J13" s="99"/>
    </row>
    <row r="14" spans="1:10" ht="15" customHeight="1" thickBot="1" x14ac:dyDescent="0.35">
      <c r="A14" s="331" t="s">
        <v>209</v>
      </c>
      <c r="B14" s="332"/>
      <c r="C14" s="332"/>
      <c r="D14" s="332"/>
      <c r="E14" s="332"/>
      <c r="F14" s="332"/>
      <c r="G14" s="332"/>
      <c r="H14" s="332"/>
      <c r="I14" s="332"/>
      <c r="J14" s="333"/>
    </row>
    <row r="15" spans="1:10" ht="15" customHeight="1" thickBot="1" x14ac:dyDescent="0.35">
      <c r="A15" s="336" t="s">
        <v>210</v>
      </c>
      <c r="B15" s="337"/>
      <c r="C15" s="98"/>
      <c r="D15" s="98"/>
      <c r="E15" s="98"/>
      <c r="F15" s="98"/>
      <c r="G15" s="98"/>
      <c r="H15" s="98"/>
      <c r="I15" s="98"/>
      <c r="J15" s="99"/>
    </row>
    <row r="16" spans="1:10" ht="15" thickBot="1" x14ac:dyDescent="0.35">
      <c r="A16" s="314" t="s">
        <v>211</v>
      </c>
      <c r="B16" s="24" t="s">
        <v>0</v>
      </c>
      <c r="C16" s="98"/>
      <c r="D16" s="98"/>
      <c r="E16" s="98"/>
      <c r="F16" s="98"/>
      <c r="G16" s="98"/>
      <c r="H16" s="98"/>
      <c r="I16" s="98"/>
      <c r="J16" s="99"/>
    </row>
    <row r="17" spans="1:10" ht="29.4" thickBot="1" x14ac:dyDescent="0.35">
      <c r="A17" s="314" t="s">
        <v>212</v>
      </c>
      <c r="B17" s="27" t="s">
        <v>213</v>
      </c>
      <c r="C17" s="98"/>
      <c r="D17" s="89" t="s">
        <v>217</v>
      </c>
      <c r="E17" s="90" t="s">
        <v>218</v>
      </c>
      <c r="F17" s="98"/>
      <c r="G17" s="98"/>
      <c r="H17" s="98"/>
      <c r="I17" s="98"/>
      <c r="J17" s="99"/>
    </row>
    <row r="18" spans="1:10" ht="43.8" thickBot="1" x14ac:dyDescent="0.35">
      <c r="A18" s="314" t="s">
        <v>214</v>
      </c>
      <c r="B18" s="49" t="s">
        <v>74</v>
      </c>
      <c r="C18" s="98"/>
      <c r="D18" s="98"/>
      <c r="E18" s="98"/>
      <c r="F18" s="98"/>
      <c r="G18" s="98"/>
      <c r="H18" s="98"/>
      <c r="I18" s="98"/>
      <c r="J18" s="99"/>
    </row>
    <row r="19" spans="1:10" ht="45.75" customHeight="1" thickBot="1" x14ac:dyDescent="0.35">
      <c r="A19" s="315" t="s">
        <v>215</v>
      </c>
      <c r="B19" s="313"/>
      <c r="C19" s="334" t="s">
        <v>216</v>
      </c>
      <c r="D19" s="334"/>
      <c r="E19" s="334"/>
      <c r="F19" s="334"/>
      <c r="G19" s="334"/>
      <c r="H19" s="101"/>
      <c r="I19" s="101"/>
      <c r="J19" s="102"/>
    </row>
    <row r="20" spans="1:10" ht="64.5" customHeight="1" thickBot="1" x14ac:dyDescent="0.35">
      <c r="A20" s="105"/>
      <c r="B20" s="106"/>
      <c r="C20" s="335"/>
      <c r="D20" s="335"/>
      <c r="E20" s="335"/>
      <c r="F20" s="335"/>
      <c r="G20" s="335"/>
      <c r="H20" s="103"/>
      <c r="I20" s="103"/>
      <c r="J20" s="104"/>
    </row>
    <row r="21" spans="1:10" x14ac:dyDescent="0.3">
      <c r="G21" s="66"/>
      <c r="H21" s="66"/>
      <c r="I21" s="66"/>
    </row>
    <row r="22" spans="1:10" x14ac:dyDescent="0.3">
      <c r="G22" s="66"/>
      <c r="H22" s="66"/>
      <c r="I22" s="66"/>
    </row>
  </sheetData>
  <sheetProtection algorithmName="SHA-512" hashValue="eftZj2FCx9xr6fg2TY0onQJiKt4RyMNktsy44dCFD2njnbSd+jtp5ScIvjXl13rohgr4p4N3nUGMqHQUyrwOyw==" saltValue="ghZquJm538FMn2aIrY73WA==" spinCount="100000" sheet="1" objects="1" scenarios="1"/>
  <mergeCells count="4">
    <mergeCell ref="A1:J5"/>
    <mergeCell ref="A14:J14"/>
    <mergeCell ref="C19:G20"/>
    <mergeCell ref="A15:B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CE4-6486-43AA-9658-9783230F899C}">
  <dimension ref="A1:F24"/>
  <sheetViews>
    <sheetView workbookViewId="0">
      <selection activeCell="A6" sqref="A6"/>
    </sheetView>
  </sheetViews>
  <sheetFormatPr baseColWidth="10" defaultRowHeight="14.4" x14ac:dyDescent="0.3"/>
  <cols>
    <col min="1" max="1" width="46.88671875" customWidth="1"/>
    <col min="2" max="2" width="24" customWidth="1"/>
    <col min="3" max="3" width="19.109375" customWidth="1"/>
  </cols>
  <sheetData>
    <row r="1" spans="1:6" ht="14.4" customHeight="1" x14ac:dyDescent="0.3">
      <c r="A1" s="350" t="s">
        <v>278</v>
      </c>
      <c r="B1" s="351"/>
      <c r="C1" s="351"/>
      <c r="D1" s="351"/>
      <c r="E1" s="352"/>
    </row>
    <row r="2" spans="1:6" ht="42.6" customHeight="1" thickBot="1" x14ac:dyDescent="0.35">
      <c r="A2" s="348"/>
      <c r="B2" s="349"/>
      <c r="C2" s="349"/>
      <c r="D2" s="349"/>
      <c r="E2" s="354"/>
    </row>
    <row r="3" spans="1:6" ht="15" thickBot="1" x14ac:dyDescent="0.35">
      <c r="A3" s="22" t="s">
        <v>266</v>
      </c>
      <c r="B3" s="237"/>
      <c r="C3" s="98"/>
      <c r="D3" s="98"/>
      <c r="E3" s="99"/>
    </row>
    <row r="4" spans="1:6" ht="15" thickBot="1" x14ac:dyDescent="0.35">
      <c r="A4" s="22" t="s">
        <v>267</v>
      </c>
      <c r="B4" s="211">
        <v>9000</v>
      </c>
      <c r="C4" s="98"/>
      <c r="D4" s="98"/>
      <c r="E4" s="99"/>
    </row>
    <row r="5" spans="1:6" ht="15" thickBot="1" x14ac:dyDescent="0.35">
      <c r="A5" s="22" t="s">
        <v>268</v>
      </c>
      <c r="B5" s="238"/>
      <c r="C5" s="98"/>
      <c r="D5" s="98"/>
      <c r="E5" s="99"/>
    </row>
    <row r="6" spans="1:6" ht="15" customHeight="1" x14ac:dyDescent="0.3">
      <c r="A6" s="100"/>
      <c r="B6" s="98"/>
      <c r="C6" s="98"/>
      <c r="D6" s="98"/>
      <c r="E6" s="99"/>
    </row>
    <row r="7" spans="1:6" ht="27.6" hidden="1" customHeight="1" thickBot="1" x14ac:dyDescent="0.35">
      <c r="A7" s="220" t="s">
        <v>181</v>
      </c>
      <c r="B7" s="256" t="s">
        <v>179</v>
      </c>
      <c r="C7" s="255" t="s">
        <v>177</v>
      </c>
      <c r="D7" s="19" t="s">
        <v>178</v>
      </c>
      <c r="E7" s="99"/>
    </row>
    <row r="8" spans="1:6" hidden="1" x14ac:dyDescent="0.3">
      <c r="A8" s="210" t="s">
        <v>176</v>
      </c>
      <c r="B8" s="257" t="s">
        <v>0</v>
      </c>
      <c r="C8" s="258">
        <f>IF(B8="X",IF(B4&gt;0,IF(B4&lt;=2000,"0",IF(B4&gt;2000,ROUNDUP(B4/7500,0))),IF(Architecture!B3&lt;=2000,"0",IF(B4&gt;2000,ROUNDUP(B4/7500,0)))),0)</f>
        <v>2</v>
      </c>
      <c r="D8" s="211">
        <v>1</v>
      </c>
      <c r="E8" s="99"/>
    </row>
    <row r="9" spans="1:6" ht="15" thickBot="1" x14ac:dyDescent="0.35">
      <c r="A9" s="100"/>
      <c r="B9" s="98"/>
      <c r="C9" s="98"/>
      <c r="D9" s="98"/>
      <c r="E9" s="99"/>
    </row>
    <row r="10" spans="1:6" ht="15" thickBot="1" x14ac:dyDescent="0.35">
      <c r="A10" s="217"/>
      <c r="B10" s="391" t="str">
        <f>IF(D8&gt;0,D8&amp;" Poller",C8&amp;" Poller")</f>
        <v>1 Poller</v>
      </c>
      <c r="C10" s="98"/>
      <c r="D10" s="98"/>
      <c r="E10" s="99"/>
    </row>
    <row r="11" spans="1:6" ht="18" thickBot="1" x14ac:dyDescent="0.35">
      <c r="A11" s="307" t="s">
        <v>254</v>
      </c>
      <c r="B11" s="392"/>
      <c r="C11" s="98"/>
      <c r="D11" s="98"/>
      <c r="E11" s="99"/>
    </row>
    <row r="12" spans="1:6" ht="41.4" customHeight="1" x14ac:dyDescent="0.3">
      <c r="A12" s="316" t="s">
        <v>6</v>
      </c>
      <c r="B12" s="318" t="str">
        <f>IF(B8="",0,IF(B4&lt;='Final sizing'!I3,"2vCPU",IF(AND(B4&gt;='Final sizing'!I3,B4&lt;='Final sizing'!I4),"4vCPU","Consulter Centreon")))</f>
        <v>4vCPU</v>
      </c>
      <c r="C12" s="98"/>
      <c r="D12" s="218"/>
      <c r="E12" s="99"/>
    </row>
    <row r="13" spans="1:6" ht="16.2" thickBot="1" x14ac:dyDescent="0.35">
      <c r="A13" s="316" t="s">
        <v>257</v>
      </c>
      <c r="B13" s="318" t="str">
        <f>IF(B8="",0,IF(B4&lt;='Final sizing'!I3,"2",IF(AND(B4&gt;='Final sizing'!I3,B4&lt;=B4),"4","Consulter Centreon")))</f>
        <v>4</v>
      </c>
      <c r="C13" s="98"/>
      <c r="D13" s="218"/>
      <c r="E13" s="99"/>
    </row>
    <row r="14" spans="1:6" ht="18" thickBot="1" x14ac:dyDescent="0.35">
      <c r="A14" s="307" t="s">
        <v>255</v>
      </c>
      <c r="B14" s="285" t="s">
        <v>256</v>
      </c>
      <c r="C14" s="98"/>
      <c r="D14" s="98"/>
      <c r="E14" s="99"/>
    </row>
    <row r="15" spans="1:6" ht="15.6" x14ac:dyDescent="0.3">
      <c r="A15" s="317" t="s">
        <v>175</v>
      </c>
      <c r="B15" s="318">
        <f>IF(B8="",0,1)</f>
        <v>1</v>
      </c>
      <c r="C15" s="98"/>
      <c r="D15" s="218"/>
      <c r="E15" s="99"/>
    </row>
    <row r="16" spans="1:6" ht="32.4" x14ac:dyDescent="0.3">
      <c r="A16" s="317" t="s">
        <v>276</v>
      </c>
      <c r="B16" s="318">
        <f>IF(B8="",0,20)</f>
        <v>20</v>
      </c>
      <c r="C16" s="98"/>
      <c r="D16" s="218"/>
      <c r="E16" s="99"/>
    </row>
    <row r="17" spans="1:5" ht="15.6" x14ac:dyDescent="0.3">
      <c r="A17" s="316" t="s">
        <v>4</v>
      </c>
      <c r="B17" s="318" t="str">
        <f>B13</f>
        <v>4</v>
      </c>
      <c r="C17" s="98"/>
      <c r="D17" s="218"/>
      <c r="E17" s="99"/>
    </row>
    <row r="18" spans="1:5" ht="32.4" x14ac:dyDescent="0.3">
      <c r="A18" s="317" t="s">
        <v>277</v>
      </c>
      <c r="B18" s="318">
        <f>IF(B8="",0,10)</f>
        <v>10</v>
      </c>
      <c r="C18" s="98"/>
      <c r="D18" s="219"/>
      <c r="E18" s="99"/>
    </row>
    <row r="19" spans="1:5" x14ac:dyDescent="0.3">
      <c r="A19" s="316" t="s">
        <v>3</v>
      </c>
      <c r="B19" s="319"/>
      <c r="C19" s="98"/>
      <c r="D19" s="98"/>
      <c r="E19" s="99"/>
    </row>
    <row r="20" spans="1:5" ht="32.4" x14ac:dyDescent="0.3">
      <c r="A20" s="317" t="s">
        <v>251</v>
      </c>
      <c r="B20" s="320" t="str">
        <f>IF(B8="",0,IF(B4&lt;'Final sizing'!I3,5,IF(AND(B4&gt;'Final sizing'!I3,B4&lt;'Final sizing'!I4),"10","Consulter Centreon")))</f>
        <v>10</v>
      </c>
      <c r="C20" s="98"/>
      <c r="D20" s="218"/>
      <c r="E20" s="99"/>
    </row>
    <row r="21" spans="1:5" x14ac:dyDescent="0.3">
      <c r="A21" s="316" t="s">
        <v>2</v>
      </c>
      <c r="B21" s="319"/>
      <c r="C21" s="98"/>
      <c r="D21" s="98"/>
      <c r="E21" s="99"/>
    </row>
    <row r="22" spans="1:5" ht="15" thickBot="1" x14ac:dyDescent="0.35">
      <c r="A22" s="316" t="s">
        <v>1</v>
      </c>
      <c r="B22" s="319"/>
      <c r="C22" s="98"/>
      <c r="D22" s="98"/>
      <c r="E22" s="99"/>
    </row>
    <row r="23" spans="1:5" ht="18" thickBot="1" x14ac:dyDescent="0.35">
      <c r="A23" s="312" t="s">
        <v>252</v>
      </c>
      <c r="B23" s="321">
        <f>SUM(B15:B18,B20)</f>
        <v>31</v>
      </c>
      <c r="C23" s="98"/>
      <c r="D23" s="98"/>
      <c r="E23" s="99"/>
    </row>
    <row r="24" spans="1:5" ht="18" thickBot="1" x14ac:dyDescent="0.35">
      <c r="A24" s="307" t="s">
        <v>253</v>
      </c>
      <c r="B24" s="322">
        <f>IF(D8="",SUM(B15:B18,B20)*C8,SUM(B15:B18,B20)*D8)</f>
        <v>31</v>
      </c>
      <c r="C24" s="106"/>
      <c r="D24" s="106"/>
      <c r="E24" s="107"/>
    </row>
  </sheetData>
  <sheetProtection algorithmName="SHA-512" hashValue="ztHsWmKHAoBG9tu2sY5rSDj137TZZi3HcfqdtMVSN0PL3vaLO3gSRMtgJu/G0mrhJ2bx42tkgAE57B7pkklIxg==" saltValue="sjl3VKVHDHYdcLulYkatdQ==" spinCount="100000" sheet="1" objects="1" scenarios="1"/>
  <mergeCells count="2">
    <mergeCell ref="B10:B11"/>
    <mergeCell ref="A1:E2"/>
  </mergeCells>
  <conditionalFormatting sqref="C8">
    <cfRule type="cellIs" dxfId="6" priority="10" operator="equal">
      <formula>0</formula>
    </cfRule>
  </conditionalFormatting>
  <conditionalFormatting sqref="B12:B13">
    <cfRule type="containsText" dxfId="5" priority="8" operator="containsText" text="X">
      <formula>NOT(ISERROR(SEARCH("X",B12)))</formula>
    </cfRule>
  </conditionalFormatting>
  <conditionalFormatting sqref="B15">
    <cfRule type="cellIs" dxfId="4" priority="7" operator="equal">
      <formula>"X"</formula>
    </cfRule>
  </conditionalFormatting>
  <conditionalFormatting sqref="B16:B18 B20">
    <cfRule type="cellIs" dxfId="3" priority="6" operator="equal">
      <formula>"X"</formula>
    </cfRule>
  </conditionalFormatting>
  <conditionalFormatting sqref="B12:B13 B15:B22">
    <cfRule type="cellIs" dxfId="2" priority="3" operator="equal">
      <formula>0</formula>
    </cfRule>
  </conditionalFormatting>
  <conditionalFormatting sqref="B15:B18">
    <cfRule type="containsText" dxfId="1" priority="2" operator="containsText" text="X">
      <formula>NOT(ISERROR(SEARCH("X",B15)))</formula>
    </cfRule>
  </conditionalFormatting>
  <conditionalFormatting sqref="B20">
    <cfRule type="containsText" dxfId="0" priority="1" operator="containsText" text="X">
      <formula>NOT(ISERROR(SEARCH("X",B20)))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CA7A-6D50-4A9D-B633-EE9F6A8AEC8C}">
  <dimension ref="A1:Q11"/>
  <sheetViews>
    <sheetView workbookViewId="0">
      <selection activeCell="E22" sqref="E22"/>
    </sheetView>
  </sheetViews>
  <sheetFormatPr baseColWidth="10" defaultRowHeight="14.4" x14ac:dyDescent="0.3"/>
  <cols>
    <col min="2" max="2" width="29.6640625" customWidth="1"/>
    <col min="3" max="4" width="17.88671875" bestFit="1" customWidth="1"/>
    <col min="6" max="6" width="17.88671875" bestFit="1" customWidth="1"/>
  </cols>
  <sheetData>
    <row r="1" spans="1:17" ht="15" thickBot="1" x14ac:dyDescent="0.35"/>
    <row r="2" spans="1:17" x14ac:dyDescent="0.3">
      <c r="A2" s="441" t="s">
        <v>83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3"/>
    </row>
    <row r="3" spans="1:17" x14ac:dyDescent="0.3">
      <c r="A3" s="444"/>
      <c r="B3" s="445"/>
      <c r="C3" s="445"/>
      <c r="D3" s="445"/>
      <c r="E3" s="445"/>
      <c r="F3" s="445"/>
      <c r="G3" s="445"/>
      <c r="H3" s="446"/>
      <c r="I3" s="446"/>
      <c r="J3" s="445"/>
      <c r="K3" s="446"/>
      <c r="L3" s="446"/>
      <c r="M3" s="445"/>
      <c r="N3" s="445"/>
      <c r="O3" s="445"/>
      <c r="P3" s="445"/>
      <c r="Q3" s="447"/>
    </row>
    <row r="4" spans="1:17" ht="34.799999999999997" x14ac:dyDescent="0.3">
      <c r="A4" s="100"/>
      <c r="B4" s="250"/>
      <c r="C4" s="232" t="s">
        <v>23</v>
      </c>
      <c r="D4" s="232" t="s">
        <v>84</v>
      </c>
      <c r="E4" s="232" t="s">
        <v>25</v>
      </c>
      <c r="F4" s="232" t="s">
        <v>89</v>
      </c>
      <c r="G4" s="98"/>
      <c r="H4" s="448" t="s">
        <v>86</v>
      </c>
      <c r="I4" s="448"/>
      <c r="J4" s="98"/>
      <c r="K4" s="448" t="s">
        <v>90</v>
      </c>
      <c r="L4" s="448"/>
      <c r="M4" s="98"/>
      <c r="N4" s="98"/>
      <c r="O4" s="98"/>
      <c r="P4" s="98"/>
      <c r="Q4" s="99"/>
    </row>
    <row r="5" spans="1:17" x14ac:dyDescent="0.3">
      <c r="A5" s="100"/>
      <c r="B5" s="97" t="s">
        <v>6</v>
      </c>
      <c r="C5" s="245"/>
      <c r="D5" s="245"/>
      <c r="E5" s="245"/>
      <c r="F5" s="246"/>
      <c r="G5" s="251"/>
      <c r="H5" s="440" t="s">
        <v>275</v>
      </c>
      <c r="I5" s="440"/>
      <c r="J5" s="251"/>
      <c r="K5" s="440" t="s">
        <v>275</v>
      </c>
      <c r="L5" s="440"/>
      <c r="M5" s="98"/>
      <c r="N5" s="98"/>
      <c r="O5" s="98"/>
      <c r="P5" s="98"/>
      <c r="Q5" s="99"/>
    </row>
    <row r="6" spans="1:17" x14ac:dyDescent="0.3">
      <c r="A6" s="100"/>
      <c r="B6" s="97" t="s">
        <v>5</v>
      </c>
      <c r="C6" s="245" t="s">
        <v>275</v>
      </c>
      <c r="D6" s="245" t="s">
        <v>275</v>
      </c>
      <c r="E6" s="245"/>
      <c r="F6" s="246"/>
      <c r="G6" s="251"/>
      <c r="H6" s="440" t="s">
        <v>275</v>
      </c>
      <c r="I6" s="440"/>
      <c r="J6" s="251"/>
      <c r="K6" s="440" t="s">
        <v>275</v>
      </c>
      <c r="L6" s="440"/>
      <c r="M6" s="98"/>
      <c r="N6" s="98"/>
      <c r="O6" s="98"/>
      <c r="P6" s="98"/>
      <c r="Q6" s="99"/>
    </row>
    <row r="7" spans="1:17" x14ac:dyDescent="0.3">
      <c r="A7" s="100"/>
      <c r="B7" s="97" t="s">
        <v>82</v>
      </c>
      <c r="C7" s="245">
        <v>10</v>
      </c>
      <c r="D7" s="245"/>
      <c r="E7" s="245"/>
      <c r="F7" s="246"/>
      <c r="G7" s="251"/>
      <c r="H7" s="440"/>
      <c r="I7" s="440"/>
      <c r="J7" s="251"/>
      <c r="K7" s="440"/>
      <c r="L7" s="440"/>
      <c r="M7" s="98"/>
      <c r="N7" s="98"/>
      <c r="O7" s="98"/>
      <c r="P7" s="98"/>
      <c r="Q7" s="99"/>
    </row>
    <row r="8" spans="1:17" x14ac:dyDescent="0.3">
      <c r="A8" s="100"/>
      <c r="B8" s="97" t="s">
        <v>85</v>
      </c>
      <c r="C8" s="245"/>
      <c r="D8" s="245"/>
      <c r="E8" s="245"/>
      <c r="F8" s="246"/>
      <c r="G8" s="251"/>
      <c r="H8" s="440"/>
      <c r="I8" s="440"/>
      <c r="J8" s="251"/>
      <c r="K8" s="440"/>
      <c r="L8" s="440"/>
      <c r="M8" s="98"/>
      <c r="N8" s="98"/>
      <c r="O8" s="98"/>
      <c r="P8" s="98"/>
      <c r="Q8" s="99"/>
    </row>
    <row r="9" spans="1:17" x14ac:dyDescent="0.3">
      <c r="A9" s="100"/>
      <c r="B9" s="97" t="s">
        <v>87</v>
      </c>
      <c r="C9" s="245">
        <v>1</v>
      </c>
      <c r="D9" s="245">
        <v>1</v>
      </c>
      <c r="E9" s="245"/>
      <c r="F9" s="246"/>
      <c r="G9" s="251"/>
      <c r="H9" s="245"/>
      <c r="I9" s="245"/>
      <c r="J9" s="251"/>
      <c r="K9" s="246"/>
      <c r="L9" s="246"/>
      <c r="M9" s="98"/>
      <c r="N9" s="98"/>
      <c r="O9" s="98"/>
      <c r="P9" s="98"/>
      <c r="Q9" s="99"/>
    </row>
    <row r="10" spans="1:17" x14ac:dyDescent="0.3">
      <c r="A10" s="100"/>
      <c r="B10" s="97" t="s">
        <v>88</v>
      </c>
      <c r="C10" s="245">
        <v>1</v>
      </c>
      <c r="D10" s="245"/>
      <c r="E10" s="245"/>
      <c r="F10" s="245" t="s">
        <v>275</v>
      </c>
      <c r="G10" s="251"/>
      <c r="H10" s="245"/>
      <c r="I10" s="245"/>
      <c r="J10" s="251"/>
      <c r="K10" s="246"/>
      <c r="L10" s="246"/>
      <c r="M10" s="98"/>
      <c r="N10" s="98"/>
      <c r="O10" s="98"/>
      <c r="P10" s="98"/>
      <c r="Q10" s="99"/>
    </row>
    <row r="11" spans="1:17" ht="15" thickBot="1" x14ac:dyDescent="0.35">
      <c r="A11" s="105"/>
      <c r="B11" s="247" t="s">
        <v>183</v>
      </c>
      <c r="C11" s="248">
        <v>5</v>
      </c>
      <c r="D11" s="249"/>
      <c r="E11" s="249"/>
      <c r="F11" s="249"/>
      <c r="G11" s="252"/>
      <c r="H11" s="249"/>
      <c r="I11" s="249"/>
      <c r="J11" s="252"/>
      <c r="K11" s="249"/>
      <c r="L11" s="249"/>
      <c r="M11" s="106"/>
      <c r="N11" s="106"/>
      <c r="O11" s="106"/>
      <c r="P11" s="106"/>
      <c r="Q11" s="107"/>
    </row>
  </sheetData>
  <sheetProtection algorithmName="SHA-512" hashValue="NLd2t9yB6M8I3w7XcsaZAgBH8jcw6Oq487HiK9o4HrszG+fgnVcPWkTaaTw8gmQ3CVjbLGaO9OpZzVZv5BdACA==" saltValue="tAW+LiCURxi68iIGp0SXDw==" spinCount="100000" sheet="1" objects="1" scenarios="1"/>
  <mergeCells count="11">
    <mergeCell ref="K8:L8"/>
    <mergeCell ref="A2:Q3"/>
    <mergeCell ref="H4:I4"/>
    <mergeCell ref="H5:I5"/>
    <mergeCell ref="H6:I6"/>
    <mergeCell ref="H7:I7"/>
    <mergeCell ref="H8:I8"/>
    <mergeCell ref="K4:L4"/>
    <mergeCell ref="K5:L5"/>
    <mergeCell ref="K6:L6"/>
    <mergeCell ref="K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zoomScale="85" zoomScaleNormal="85" workbookViewId="0">
      <selection activeCell="E7" sqref="E7"/>
    </sheetView>
  </sheetViews>
  <sheetFormatPr baseColWidth="10" defaultColWidth="9.109375" defaultRowHeight="14.4" x14ac:dyDescent="0.3"/>
  <cols>
    <col min="1" max="1" width="27.5546875" customWidth="1"/>
    <col min="2" max="2" width="16.109375" customWidth="1"/>
    <col min="3" max="3" width="35.33203125" customWidth="1"/>
    <col min="4" max="4" width="15.44140625" bestFit="1" customWidth="1"/>
    <col min="5" max="5" width="13.6640625" customWidth="1"/>
    <col min="8" max="8" width="12.88671875" customWidth="1"/>
    <col min="9" max="9" width="12" customWidth="1"/>
    <col min="10" max="10" width="12.109375" customWidth="1"/>
    <col min="11" max="11" width="19.6640625" customWidth="1"/>
    <col min="12" max="12" width="26.109375" customWidth="1"/>
    <col min="13" max="13" width="26.109375" hidden="1" customWidth="1"/>
    <col min="18" max="18" width="13.88671875" bestFit="1" customWidth="1"/>
    <col min="19" max="19" width="24" bestFit="1" customWidth="1"/>
    <col min="20" max="20" width="24" customWidth="1"/>
    <col min="21" max="21" width="8.33203125" customWidth="1"/>
    <col min="22" max="22" width="11.33203125" customWidth="1"/>
  </cols>
  <sheetData>
    <row r="1" spans="1:28" ht="14.4" customHeight="1" x14ac:dyDescent="0.3">
      <c r="A1" s="350" t="s">
        <v>219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2"/>
      <c r="O1" s="350" t="s">
        <v>31</v>
      </c>
      <c r="P1" s="351"/>
      <c r="Q1" s="351"/>
      <c r="R1" s="351"/>
      <c r="S1" s="351"/>
      <c r="T1" s="351"/>
      <c r="U1" s="351"/>
      <c r="V1" s="351"/>
      <c r="W1" s="351"/>
      <c r="X1" s="352"/>
    </row>
    <row r="2" spans="1:28" ht="14.4" customHeight="1" x14ac:dyDescent="0.3">
      <c r="A2" s="348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4"/>
      <c r="O2" s="348"/>
      <c r="P2" s="349"/>
      <c r="Q2" s="349"/>
      <c r="R2" s="349"/>
      <c r="S2" s="349"/>
      <c r="T2" s="349"/>
      <c r="U2" s="349"/>
      <c r="V2" s="349"/>
      <c r="W2" s="349"/>
      <c r="X2" s="354"/>
    </row>
    <row r="3" spans="1:28" ht="14.4" customHeight="1" x14ac:dyDescent="0.3">
      <c r="A3" s="348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4"/>
      <c r="O3" s="348"/>
      <c r="P3" s="349"/>
      <c r="Q3" s="349"/>
      <c r="R3" s="349"/>
      <c r="S3" s="349"/>
      <c r="T3" s="349"/>
      <c r="U3" s="349"/>
      <c r="V3" s="349"/>
      <c r="W3" s="349"/>
      <c r="X3" s="354"/>
    </row>
    <row r="4" spans="1:28" ht="14.4" customHeight="1" x14ac:dyDescent="0.3">
      <c r="A4" s="348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4"/>
      <c r="O4" s="348"/>
      <c r="P4" s="349"/>
      <c r="Q4" s="349"/>
      <c r="R4" s="349"/>
      <c r="S4" s="349"/>
      <c r="T4" s="349"/>
      <c r="U4" s="349"/>
      <c r="V4" s="349"/>
      <c r="W4" s="349"/>
      <c r="X4" s="354"/>
    </row>
    <row r="5" spans="1:28" ht="33" customHeight="1" thickBot="1" x14ac:dyDescent="0.35">
      <c r="A5" s="355"/>
      <c r="B5" s="356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7"/>
      <c r="O5" s="355"/>
      <c r="P5" s="356"/>
      <c r="Q5" s="356"/>
      <c r="R5" s="356"/>
      <c r="S5" s="356"/>
      <c r="T5" s="356"/>
      <c r="U5" s="356"/>
      <c r="V5" s="356"/>
      <c r="W5" s="356"/>
      <c r="X5" s="357"/>
    </row>
    <row r="6" spans="1:28" ht="58.2" customHeight="1" thickBot="1" x14ac:dyDescent="0.35">
      <c r="A6" s="287" t="s">
        <v>220</v>
      </c>
      <c r="B6" s="1" t="s">
        <v>221</v>
      </c>
      <c r="C6" s="287" t="s">
        <v>222</v>
      </c>
      <c r="D6" s="287" t="s">
        <v>223</v>
      </c>
      <c r="E6" s="287" t="s">
        <v>224</v>
      </c>
      <c r="F6" s="1" t="s">
        <v>225</v>
      </c>
      <c r="G6" s="98"/>
      <c r="H6" s="358" t="s">
        <v>226</v>
      </c>
      <c r="I6" s="359"/>
      <c r="J6" s="98"/>
      <c r="K6" s="360" t="s">
        <v>227</v>
      </c>
      <c r="L6" s="361"/>
      <c r="M6" s="125"/>
      <c r="N6" s="124"/>
      <c r="O6" s="100"/>
      <c r="P6" s="336" t="s">
        <v>75</v>
      </c>
      <c r="Q6" s="337"/>
      <c r="R6" s="19" t="s">
        <v>246</v>
      </c>
      <c r="S6" s="14"/>
      <c r="T6" s="358" t="s">
        <v>247</v>
      </c>
      <c r="U6" s="359"/>
      <c r="V6" s="14"/>
      <c r="W6" s="14"/>
      <c r="X6" s="99"/>
    </row>
    <row r="7" spans="1:28" ht="29.4" thickBot="1" x14ac:dyDescent="0.35">
      <c r="A7" s="51">
        <v>500</v>
      </c>
      <c r="B7" s="5">
        <f>A7*10</f>
        <v>5000</v>
      </c>
      <c r="C7" s="51"/>
      <c r="D7" s="5">
        <f>IF(C7&gt;0,C7*2,B7*2)</f>
        <v>10000</v>
      </c>
      <c r="E7" s="239"/>
      <c r="F7" s="52"/>
      <c r="G7" s="98"/>
      <c r="H7" s="16" t="s">
        <v>16</v>
      </c>
      <c r="I7" s="53" t="s">
        <v>0</v>
      </c>
      <c r="J7" s="98"/>
      <c r="K7" s="20" t="s">
        <v>24</v>
      </c>
      <c r="L7" s="55"/>
      <c r="M7" s="50" t="str">
        <f t="shared" ref="M7:M12" si="0">K7</f>
        <v>Simple
(1 central)</v>
      </c>
      <c r="N7" s="98"/>
      <c r="O7" s="100"/>
      <c r="P7" s="20" t="s">
        <v>26</v>
      </c>
      <c r="Q7" s="57"/>
      <c r="R7" s="58"/>
      <c r="S7" s="14"/>
      <c r="T7" s="17" t="s">
        <v>21</v>
      </c>
      <c r="U7" s="53"/>
      <c r="V7" s="14"/>
      <c r="W7" s="14"/>
      <c r="X7" s="99"/>
    </row>
    <row r="8" spans="1:28" ht="29.4" thickBot="1" x14ac:dyDescent="0.35">
      <c r="A8" s="100"/>
      <c r="B8" s="98"/>
      <c r="C8" s="98"/>
      <c r="D8" s="98"/>
      <c r="E8" s="98"/>
      <c r="F8" s="98"/>
      <c r="G8" s="98"/>
      <c r="H8" s="16" t="s">
        <v>17</v>
      </c>
      <c r="I8" s="53" t="str">
        <f>IF(I7="X","X"," ")</f>
        <v>X</v>
      </c>
      <c r="J8" s="98"/>
      <c r="K8" s="17" t="s">
        <v>228</v>
      </c>
      <c r="L8" s="56"/>
      <c r="M8" s="50" t="str">
        <f t="shared" si="0"/>
        <v>Distributed
(1 central + X pollers)</v>
      </c>
      <c r="N8" s="98"/>
      <c r="O8" s="100"/>
      <c r="P8" s="17" t="s">
        <v>27</v>
      </c>
      <c r="Q8" s="53"/>
      <c r="R8" s="59"/>
      <c r="S8" s="14"/>
      <c r="T8" s="18" t="s">
        <v>22</v>
      </c>
      <c r="U8" s="54"/>
      <c r="V8" s="14"/>
      <c r="W8" s="14"/>
      <c r="X8" s="99"/>
    </row>
    <row r="9" spans="1:28" ht="48" customHeight="1" thickBot="1" x14ac:dyDescent="0.35">
      <c r="A9" s="14"/>
      <c r="B9" s="14"/>
      <c r="C9" s="14"/>
      <c r="D9" s="98"/>
      <c r="E9" s="98"/>
      <c r="F9" s="98"/>
      <c r="G9" s="98"/>
      <c r="H9" s="16" t="s">
        <v>18</v>
      </c>
      <c r="I9" s="53" t="str">
        <f>IF(I7="X","X"," ")</f>
        <v>X</v>
      </c>
      <c r="J9" s="98"/>
      <c r="K9" s="17" t="s">
        <v>229</v>
      </c>
      <c r="L9" s="53"/>
      <c r="M9" s="50" t="str">
        <f t="shared" si="0"/>
        <v>Distributed with remote Database</v>
      </c>
      <c r="N9" s="98"/>
      <c r="O9" s="100"/>
      <c r="P9" s="18" t="s">
        <v>245</v>
      </c>
      <c r="Q9" s="54"/>
      <c r="R9" s="60"/>
      <c r="S9" s="98"/>
      <c r="T9" s="98"/>
      <c r="U9" s="98"/>
      <c r="V9" s="98"/>
      <c r="W9" s="98"/>
      <c r="X9" s="99"/>
    </row>
    <row r="10" spans="1:28" ht="42.75" customHeight="1" thickBot="1" x14ac:dyDescent="0.35">
      <c r="A10" s="254" t="s">
        <v>233</v>
      </c>
      <c r="B10" s="254" t="s">
        <v>234</v>
      </c>
      <c r="C10" s="254" t="s">
        <v>235</v>
      </c>
      <c r="D10" s="19" t="s">
        <v>236</v>
      </c>
      <c r="E10" s="98"/>
      <c r="F10" s="98"/>
      <c r="G10" s="98"/>
      <c r="H10" s="16" t="s">
        <v>19</v>
      </c>
      <c r="I10" s="53" t="str">
        <f>IF(I7="X","X"," ")</f>
        <v>X</v>
      </c>
      <c r="J10" s="98"/>
      <c r="K10" s="17" t="s">
        <v>230</v>
      </c>
      <c r="L10" s="53"/>
      <c r="M10" s="50" t="str">
        <f t="shared" si="0"/>
        <v>Distributed
with remote DB replicated</v>
      </c>
      <c r="N10" s="98"/>
      <c r="O10" s="100"/>
      <c r="P10" s="98"/>
      <c r="Q10" s="98"/>
      <c r="R10" s="98"/>
      <c r="S10" s="98"/>
      <c r="T10" s="98"/>
      <c r="U10" s="98"/>
      <c r="V10" s="98"/>
      <c r="W10" s="98"/>
      <c r="X10" s="99"/>
    </row>
    <row r="11" spans="1:28" ht="29.4" thickBot="1" x14ac:dyDescent="0.35">
      <c r="A11" s="210" t="s">
        <v>176</v>
      </c>
      <c r="B11" s="62" t="s">
        <v>0</v>
      </c>
      <c r="C11" s="242">
        <f>ROUNDUP(IF(AND(B11="X",B12="X"),IF(C7&gt;0,IF(Architecture!C7&lt;=2000,"0",IF(C7&gt;2000,ROUNDUP(C7/7500,0))),IF(Architecture!B7&lt;=2000,"0",IF(B7&gt;2000,ROUNDUP(B7/7500,0))))/2,IF(B11="X",IF(C7&gt;0,IF(Architecture!C7&lt;=2000,"0",IF(C7&gt;2000,ROUNDUP(C7/7500,0))),IF(Architecture!B7&lt;=2000,"0",IF(B7&gt;2000,ROUNDUP(B7/7500,0)))),0)),0)</f>
        <v>1</v>
      </c>
      <c r="D11" s="211"/>
      <c r="E11" s="14"/>
      <c r="F11" s="98"/>
      <c r="G11" s="98"/>
      <c r="H11" s="21" t="s">
        <v>20</v>
      </c>
      <c r="I11" s="54" t="str">
        <f>IF(I7="X","X"," ")</f>
        <v>X</v>
      </c>
      <c r="J11" s="98"/>
      <c r="K11" s="17" t="s">
        <v>231</v>
      </c>
      <c r="L11" s="53"/>
      <c r="M11" s="50" t="str">
        <f t="shared" si="0"/>
        <v>High Availibility  3 servers</v>
      </c>
      <c r="N11" s="98"/>
      <c r="O11" s="100"/>
      <c r="P11" s="98"/>
      <c r="Q11" s="98"/>
      <c r="R11" s="98"/>
      <c r="S11" s="98"/>
      <c r="T11" s="98"/>
      <c r="U11" s="98"/>
      <c r="V11" s="98"/>
      <c r="W11" s="98"/>
      <c r="X11" s="99"/>
      <c r="AB11" s="32"/>
    </row>
    <row r="12" spans="1:28" ht="28.95" customHeight="1" thickBot="1" x14ac:dyDescent="0.35">
      <c r="A12" s="240" t="s">
        <v>279</v>
      </c>
      <c r="B12" s="62" t="s">
        <v>0</v>
      </c>
      <c r="C12" s="242">
        <f>ROUNDUP(IF(AND(B11="X",B12="X"),IF(C7&gt;0,IF(Architecture!C7&lt;=2000,"0",IF(C7&gt;2000,ROUNDUP(C7/7500,0))),IF(Architecture!B7&lt;=2000,"0",IF(B7&gt;2000,ROUNDUP(B7/7500,0))))/2,IF(B12="X",IF(C7&gt;0,IF(Architecture!C7&lt;=2000,"0",IF(C7&gt;2000,ROUNDUP(C7/7500,0))),IF(Architecture!B7&lt;=2000,"0",IF(B7&gt;2000,ROUNDUP(B7/7500,0)))),0)),0)</f>
        <v>1</v>
      </c>
      <c r="D12" s="211"/>
      <c r="E12" s="14"/>
      <c r="F12" s="14"/>
      <c r="G12" s="14"/>
      <c r="H12" s="14"/>
      <c r="I12" s="14"/>
      <c r="J12" s="98"/>
      <c r="K12" s="18" t="s">
        <v>232</v>
      </c>
      <c r="L12" s="54" t="s">
        <v>0</v>
      </c>
      <c r="M12" s="50" t="str">
        <f t="shared" si="0"/>
        <v>High Availibility  5 servers</v>
      </c>
      <c r="N12" s="98"/>
      <c r="O12" s="100"/>
      <c r="P12" s="98"/>
      <c r="Q12" s="98"/>
      <c r="R12" s="98"/>
      <c r="S12" s="98"/>
      <c r="T12" s="98"/>
      <c r="U12" s="98"/>
      <c r="V12" s="98"/>
      <c r="W12" s="98"/>
      <c r="X12" s="99"/>
    </row>
    <row r="13" spans="1:28" ht="28.95" customHeight="1" thickBot="1" x14ac:dyDescent="0.35">
      <c r="A13" s="241" t="s">
        <v>237</v>
      </c>
      <c r="B13" s="63" t="s">
        <v>0</v>
      </c>
      <c r="C13" s="243"/>
      <c r="D13" s="244"/>
      <c r="E13" s="14"/>
      <c r="F13" s="14"/>
      <c r="G13" s="14"/>
      <c r="H13" s="14"/>
      <c r="I13" s="14"/>
      <c r="J13" s="98"/>
      <c r="K13" s="14"/>
      <c r="L13" s="14"/>
      <c r="M13" s="50"/>
      <c r="N13" s="98"/>
      <c r="O13" s="100"/>
      <c r="P13" s="98"/>
      <c r="Q13" s="98"/>
      <c r="R13" s="98"/>
      <c r="S13" s="98"/>
      <c r="T13" s="98"/>
      <c r="U13" s="98"/>
      <c r="V13" s="98"/>
      <c r="W13" s="98"/>
      <c r="X13" s="99"/>
    </row>
    <row r="14" spans="1:28" ht="18.600000000000001" thickBot="1" x14ac:dyDescent="0.35">
      <c r="A14" s="336" t="s">
        <v>180</v>
      </c>
      <c r="B14" s="337"/>
      <c r="C14" s="344">
        <f>IF(D11="",C11,D11)+IF(D12="",C12,D12)</f>
        <v>2</v>
      </c>
      <c r="D14" s="345"/>
      <c r="E14" s="14"/>
      <c r="F14" s="14"/>
      <c r="G14" s="14"/>
      <c r="H14" s="14"/>
      <c r="I14" s="14"/>
      <c r="J14" s="98"/>
      <c r="K14" s="98"/>
      <c r="L14" s="98"/>
      <c r="M14" s="98"/>
      <c r="N14" s="98"/>
      <c r="O14" s="100"/>
      <c r="P14" s="98"/>
      <c r="Q14" s="98"/>
      <c r="R14" s="98"/>
      <c r="S14" s="98"/>
      <c r="T14" s="98"/>
      <c r="U14" s="98"/>
      <c r="V14" s="98"/>
      <c r="W14" s="98"/>
      <c r="X14" s="99"/>
    </row>
    <row r="15" spans="1:28" ht="36.6" customHeight="1" thickBot="1" x14ac:dyDescent="0.35">
      <c r="A15" s="338" t="s">
        <v>238</v>
      </c>
      <c r="B15" s="340"/>
      <c r="C15" s="346">
        <f>IF(B13="X",IF(C7="",B7/(C14+1),C7/(C14+1)),IF(C7="",B7/(C14),C7/(C14)))</f>
        <v>1666.6666666666667</v>
      </c>
      <c r="D15" s="347"/>
      <c r="E15" s="14"/>
      <c r="F15" s="14"/>
      <c r="G15" s="98"/>
      <c r="H15" s="98"/>
      <c r="I15" s="14"/>
      <c r="J15" s="98"/>
      <c r="K15" s="98"/>
      <c r="L15" s="98"/>
      <c r="M15" s="98"/>
      <c r="N15" s="98"/>
      <c r="O15" s="100"/>
      <c r="P15" s="98"/>
      <c r="Q15" s="98"/>
      <c r="R15" s="98"/>
      <c r="S15" s="98"/>
      <c r="T15" s="98"/>
      <c r="U15" s="98"/>
      <c r="V15" s="98"/>
      <c r="W15" s="98"/>
      <c r="X15" s="99"/>
    </row>
    <row r="16" spans="1:28" ht="17.399999999999999" customHeight="1" x14ac:dyDescent="0.3">
      <c r="A16" s="213"/>
      <c r="B16" s="14"/>
      <c r="C16" s="14"/>
      <c r="D16" s="14"/>
      <c r="E16" s="213"/>
      <c r="F16" s="14"/>
      <c r="G16" s="14"/>
      <c r="H16" s="14"/>
      <c r="I16" s="14"/>
      <c r="J16" s="98"/>
      <c r="K16" s="98"/>
      <c r="L16" s="98"/>
      <c r="M16" s="98"/>
      <c r="N16" s="98"/>
      <c r="O16" s="100"/>
      <c r="P16" s="98"/>
      <c r="Q16" s="98"/>
      <c r="R16" s="98"/>
      <c r="S16" s="98"/>
      <c r="T16" s="98"/>
      <c r="U16" s="98"/>
      <c r="V16" s="98"/>
      <c r="W16" s="98"/>
      <c r="X16" s="99"/>
    </row>
    <row r="17" spans="1:24" x14ac:dyDescent="0.3">
      <c r="A17" s="100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100"/>
      <c r="P17" s="98"/>
      <c r="Q17" s="98"/>
      <c r="R17" s="98"/>
      <c r="S17" s="98"/>
      <c r="T17" s="98"/>
      <c r="U17" s="98"/>
      <c r="V17" s="98"/>
      <c r="W17" s="98"/>
      <c r="X17" s="99"/>
    </row>
    <row r="18" spans="1:24" ht="42" customHeight="1" x14ac:dyDescent="0.3">
      <c r="A18" s="348" t="s">
        <v>174</v>
      </c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100"/>
      <c r="P18" s="98"/>
      <c r="Q18" s="98"/>
      <c r="R18" s="98"/>
      <c r="S18" s="98"/>
      <c r="T18" s="98"/>
      <c r="U18" s="98"/>
      <c r="V18" s="98"/>
      <c r="W18" s="98"/>
      <c r="X18" s="99"/>
    </row>
    <row r="19" spans="1:24" ht="21" customHeight="1" x14ac:dyDescent="0.3">
      <c r="A19" s="348"/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100"/>
      <c r="P19" s="98"/>
      <c r="Q19" s="98"/>
      <c r="R19" s="98"/>
      <c r="S19" s="98"/>
      <c r="T19" s="98"/>
      <c r="U19" s="98"/>
      <c r="V19" s="98"/>
      <c r="W19" s="98"/>
      <c r="X19" s="99"/>
    </row>
    <row r="20" spans="1:24" ht="31.95" customHeight="1" thickBot="1" x14ac:dyDescent="0.35">
      <c r="A20" s="338" t="s">
        <v>239</v>
      </c>
      <c r="B20" s="339"/>
      <c r="C20" s="339"/>
      <c r="D20" s="340"/>
      <c r="E20" s="291" t="s">
        <v>240</v>
      </c>
      <c r="F20" s="98"/>
      <c r="G20" s="98"/>
      <c r="H20" s="98"/>
      <c r="I20" s="98"/>
      <c r="J20" s="98"/>
      <c r="K20" s="98"/>
      <c r="L20" s="98"/>
      <c r="M20" s="98"/>
      <c r="N20" s="98"/>
      <c r="O20" s="100"/>
      <c r="P20" s="98"/>
      <c r="Q20" s="98"/>
      <c r="R20" s="98"/>
      <c r="S20" s="98"/>
      <c r="T20" s="98"/>
      <c r="U20" s="98"/>
      <c r="V20" s="98"/>
      <c r="W20" s="98"/>
      <c r="X20" s="99"/>
    </row>
    <row r="21" spans="1:24" ht="21" customHeight="1" thickBot="1" x14ac:dyDescent="0.35">
      <c r="A21" s="292" t="s">
        <v>241</v>
      </c>
      <c r="B21" s="293"/>
      <c r="C21" s="294"/>
      <c r="D21" s="51">
        <v>12</v>
      </c>
      <c r="E21" s="34">
        <f>(D21/12)*365</f>
        <v>365</v>
      </c>
      <c r="F21" s="98"/>
      <c r="G21" s="98"/>
      <c r="H21" s="98"/>
      <c r="I21" s="98"/>
      <c r="J21" s="98"/>
      <c r="K21" s="98"/>
      <c r="L21" s="98"/>
      <c r="M21" s="98"/>
      <c r="N21" s="98"/>
      <c r="O21" s="100"/>
      <c r="P21" s="98"/>
      <c r="Q21" s="98"/>
      <c r="R21" s="98"/>
      <c r="S21" s="98"/>
      <c r="T21" s="98"/>
      <c r="U21" s="98"/>
      <c r="V21" s="98"/>
      <c r="W21" s="98"/>
      <c r="X21" s="99"/>
    </row>
    <row r="22" spans="1:24" ht="15" thickBot="1" x14ac:dyDescent="0.35">
      <c r="A22" s="288" t="s">
        <v>242</v>
      </c>
      <c r="B22" s="289"/>
      <c r="C22" s="290"/>
      <c r="D22" s="51">
        <v>6</v>
      </c>
      <c r="E22" s="34">
        <f>(D22/12)*365</f>
        <v>182.5</v>
      </c>
      <c r="F22" s="98"/>
      <c r="G22" s="98"/>
      <c r="H22" s="98"/>
      <c r="I22" s="98"/>
      <c r="J22" s="98"/>
      <c r="K22" s="98"/>
      <c r="L22" s="98"/>
      <c r="M22" s="98"/>
      <c r="N22" s="98"/>
      <c r="O22" s="100"/>
      <c r="P22" s="98"/>
      <c r="Q22" s="98"/>
      <c r="R22" s="98"/>
      <c r="S22" s="98"/>
      <c r="T22" s="98"/>
      <c r="U22" s="98"/>
      <c r="V22" s="98"/>
      <c r="W22" s="98"/>
      <c r="X22" s="99"/>
    </row>
    <row r="23" spans="1:24" ht="30.6" customHeight="1" thickBot="1" x14ac:dyDescent="0.35">
      <c r="A23" s="341" t="s">
        <v>243</v>
      </c>
      <c r="B23" s="342"/>
      <c r="C23" s="343"/>
      <c r="D23" s="51">
        <v>6</v>
      </c>
      <c r="E23" s="34">
        <f>(D23/12)*365</f>
        <v>182.5</v>
      </c>
      <c r="F23" s="100"/>
      <c r="G23" s="98"/>
      <c r="H23" s="98"/>
      <c r="I23" s="98"/>
      <c r="J23" s="98"/>
      <c r="K23" s="98"/>
      <c r="L23" s="98"/>
      <c r="M23" s="98"/>
      <c r="N23" s="98"/>
      <c r="O23" s="100"/>
      <c r="P23" s="98"/>
      <c r="Q23" s="98"/>
      <c r="R23" s="98"/>
      <c r="S23" s="98"/>
      <c r="T23" s="98"/>
      <c r="U23" s="98"/>
      <c r="V23" s="98"/>
      <c r="W23" s="98"/>
      <c r="X23" s="99"/>
    </row>
    <row r="24" spans="1:24" ht="15" thickBot="1" x14ac:dyDescent="0.35">
      <c r="A24" s="288" t="s">
        <v>244</v>
      </c>
      <c r="B24" s="289"/>
      <c r="C24" s="290"/>
      <c r="D24" s="51">
        <v>1</v>
      </c>
      <c r="E24" s="34">
        <f>(D24/12)*365</f>
        <v>30.416666666666664</v>
      </c>
      <c r="F24" s="98"/>
      <c r="G24" s="98"/>
      <c r="H24" s="98"/>
      <c r="I24" s="98"/>
      <c r="J24" s="98"/>
      <c r="K24" s="98"/>
      <c r="L24" s="98"/>
      <c r="M24" s="98"/>
      <c r="N24" s="98"/>
      <c r="O24" s="100"/>
      <c r="P24" s="98"/>
      <c r="Q24" s="98"/>
      <c r="R24" s="98"/>
      <c r="S24" s="98"/>
      <c r="T24" s="98"/>
      <c r="U24" s="98"/>
      <c r="V24" s="98"/>
      <c r="W24" s="98"/>
      <c r="X24" s="99"/>
    </row>
    <row r="25" spans="1:24" x14ac:dyDescent="0.3">
      <c r="A25" s="100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00"/>
      <c r="P25" s="98"/>
      <c r="Q25" s="98"/>
      <c r="R25" s="98"/>
      <c r="S25" s="98"/>
      <c r="T25" s="98"/>
      <c r="U25" s="98"/>
      <c r="V25" s="98"/>
      <c r="W25" s="98"/>
      <c r="X25" s="99"/>
    </row>
    <row r="26" spans="1:24" ht="14.4" customHeight="1" x14ac:dyDescent="0.3">
      <c r="A26" s="100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206"/>
      <c r="P26" s="207"/>
      <c r="Q26" s="207"/>
      <c r="R26" s="98"/>
      <c r="S26" s="98"/>
      <c r="T26" s="98"/>
      <c r="U26" s="98"/>
      <c r="V26" s="98"/>
      <c r="W26" s="98"/>
      <c r="X26" s="99"/>
    </row>
    <row r="27" spans="1:24" ht="14.4" customHeight="1" thickBot="1" x14ac:dyDescent="0.35">
      <c r="A27" s="105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08"/>
      <c r="P27" s="209"/>
      <c r="Q27" s="209"/>
      <c r="R27" s="106"/>
      <c r="S27" s="106"/>
      <c r="T27" s="106"/>
      <c r="U27" s="106"/>
      <c r="V27" s="106"/>
      <c r="W27" s="106"/>
      <c r="X27" s="107"/>
    </row>
    <row r="28" spans="1:24" x14ac:dyDescent="0.3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</row>
    <row r="29" spans="1:24" x14ac:dyDescent="0.3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</row>
    <row r="30" spans="1:24" x14ac:dyDescent="0.3"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 spans="1:24" x14ac:dyDescent="0.3"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</row>
    <row r="32" spans="1:24" x14ac:dyDescent="0.3"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</row>
    <row r="33" spans="5:8" x14ac:dyDescent="0.3">
      <c r="G33" s="96"/>
      <c r="H33" s="96"/>
    </row>
    <row r="34" spans="5:8" x14ac:dyDescent="0.3">
      <c r="E34" s="96"/>
      <c r="G34" s="96"/>
      <c r="H34" s="96"/>
    </row>
    <row r="35" spans="5:8" x14ac:dyDescent="0.3">
      <c r="E35" s="96"/>
      <c r="G35" s="96"/>
      <c r="H35" s="96"/>
    </row>
  </sheetData>
  <sheetProtection algorithmName="SHA-512" hashValue="wpf8Fpn3z+M8kfRNl1g4aTBoMv+ATCTU+PkNnn8rPX4Y8gh4PRuYjCN4azqZ5tBsHYjkWHq+2wGegmwxw7pfeg==" saltValue="xOASeua7BMOWQZGzp8sc2A==" spinCount="100000" sheet="1" selectLockedCells="1"/>
  <mergeCells count="13">
    <mergeCell ref="A1:N5"/>
    <mergeCell ref="O1:X5"/>
    <mergeCell ref="H6:I6"/>
    <mergeCell ref="K6:L6"/>
    <mergeCell ref="T6:U6"/>
    <mergeCell ref="P6:Q6"/>
    <mergeCell ref="A20:D20"/>
    <mergeCell ref="A23:C23"/>
    <mergeCell ref="C14:D14"/>
    <mergeCell ref="C15:D15"/>
    <mergeCell ref="A14:B14"/>
    <mergeCell ref="A15:B15"/>
    <mergeCell ref="A18:N19"/>
  </mergeCells>
  <conditionalFormatting sqref="C12:C13">
    <cfRule type="cellIs" dxfId="47" priority="5" operator="equal">
      <formula>0</formula>
    </cfRule>
  </conditionalFormatting>
  <conditionalFormatting sqref="C15:D15">
    <cfRule type="cellIs" dxfId="46" priority="3" operator="greaterThan">
      <formula>7500</formula>
    </cfRule>
  </conditionalFormatting>
  <conditionalFormatting sqref="C11">
    <cfRule type="cellIs" dxfId="4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EF6-6060-491C-A9F5-78E8119D341C}">
  <dimension ref="A1:K55"/>
  <sheetViews>
    <sheetView zoomScale="94" zoomScaleNormal="160" workbookViewId="0">
      <selection activeCell="B12" sqref="B12"/>
    </sheetView>
  </sheetViews>
  <sheetFormatPr baseColWidth="10" defaultColWidth="11.44140625" defaultRowHeight="14.4" outlineLevelCol="1" x14ac:dyDescent="0.3"/>
  <cols>
    <col min="1" max="1" width="58.109375" style="35" bestFit="1" customWidth="1"/>
    <col min="2" max="2" width="12" style="35" customWidth="1"/>
    <col min="3" max="3" width="20.6640625" style="35" customWidth="1"/>
    <col min="4" max="4" width="18.88671875" style="35" hidden="1" customWidth="1" outlineLevel="1"/>
    <col min="5" max="5" width="19.109375" style="35" hidden="1" customWidth="1" outlineLevel="1"/>
    <col min="6" max="6" width="12.109375" style="35" hidden="1" customWidth="1" outlineLevel="1"/>
    <col min="7" max="7" width="24.44140625" style="35" customWidth="1" collapsed="1"/>
    <col min="8" max="8" width="34.44140625" style="35" bestFit="1" customWidth="1"/>
    <col min="9" max="9" width="4.109375" style="35" bestFit="1" customWidth="1"/>
    <col min="10" max="10" width="19.44140625" style="35" hidden="1" customWidth="1"/>
    <col min="11" max="11" width="19.109375" style="35" customWidth="1"/>
    <col min="12" max="16384" width="11.44140625" style="35"/>
  </cols>
  <sheetData>
    <row r="1" spans="1:11" x14ac:dyDescent="0.3">
      <c r="A1" s="113"/>
      <c r="B1" s="114"/>
      <c r="C1" s="114"/>
      <c r="D1" s="114"/>
      <c r="E1" s="114"/>
      <c r="F1" s="114"/>
      <c r="G1" s="115"/>
      <c r="J1" s="45" t="s">
        <v>71</v>
      </c>
    </row>
    <row r="2" spans="1:11" x14ac:dyDescent="0.3">
      <c r="A2" s="116"/>
      <c r="B2" s="117"/>
      <c r="C2" s="117"/>
      <c r="D2" s="117"/>
      <c r="E2" s="117"/>
      <c r="F2" s="117"/>
      <c r="G2" s="118"/>
      <c r="J2" s="42" t="s">
        <v>70</v>
      </c>
    </row>
    <row r="3" spans="1:11" ht="15" thickBot="1" x14ac:dyDescent="0.35">
      <c r="A3" s="116"/>
      <c r="B3" s="117"/>
      <c r="C3" s="117"/>
      <c r="D3" s="117"/>
      <c r="E3" s="117"/>
      <c r="F3" s="119"/>
      <c r="G3" s="120"/>
      <c r="H3" s="37"/>
      <c r="I3" s="37"/>
      <c r="J3" s="42"/>
      <c r="K3" s="37"/>
    </row>
    <row r="4" spans="1:11" x14ac:dyDescent="0.3">
      <c r="A4" s="19" t="s">
        <v>36</v>
      </c>
      <c r="B4" s="19" t="s">
        <v>37</v>
      </c>
      <c r="C4" s="117"/>
      <c r="D4" s="117"/>
      <c r="E4" s="117"/>
      <c r="F4" s="117"/>
      <c r="G4" s="120"/>
      <c r="H4" s="37"/>
      <c r="I4" s="43"/>
      <c r="J4" s="42" t="s">
        <v>69</v>
      </c>
    </row>
    <row r="5" spans="1:11" x14ac:dyDescent="0.3">
      <c r="A5" s="68" t="s">
        <v>38</v>
      </c>
      <c r="B5" s="70">
        <f>Architecture!A7</f>
        <v>500</v>
      </c>
      <c r="C5" s="117"/>
      <c r="D5" s="117"/>
      <c r="E5" s="117"/>
      <c r="F5" s="117"/>
      <c r="G5" s="120"/>
      <c r="H5" s="37"/>
      <c r="I5" s="43"/>
      <c r="J5" s="42" t="s">
        <v>68</v>
      </c>
    </row>
    <row r="6" spans="1:11" x14ac:dyDescent="0.3">
      <c r="A6" s="68" t="s">
        <v>39</v>
      </c>
      <c r="B6" s="70">
        <f>'Final sizing'!L3</f>
        <v>5000</v>
      </c>
      <c r="C6" s="117"/>
      <c r="D6" s="117"/>
      <c r="E6" s="117"/>
      <c r="F6" s="117"/>
      <c r="G6" s="120"/>
      <c r="H6" s="37"/>
      <c r="I6" s="44"/>
      <c r="J6" s="42" t="s">
        <v>67</v>
      </c>
    </row>
    <row r="7" spans="1:11" x14ac:dyDescent="0.3">
      <c r="A7" s="68" t="s">
        <v>40</v>
      </c>
      <c r="B7" s="71">
        <v>1</v>
      </c>
      <c r="C7" s="117"/>
      <c r="D7" s="117"/>
      <c r="E7" s="117"/>
      <c r="F7" s="117"/>
      <c r="G7" s="120"/>
      <c r="H7" s="37"/>
      <c r="I7" s="44"/>
      <c r="J7" s="42" t="s">
        <v>66</v>
      </c>
    </row>
    <row r="8" spans="1:11" ht="15" thickBot="1" x14ac:dyDescent="0.35">
      <c r="A8" s="68" t="s">
        <v>41</v>
      </c>
      <c r="B8" s="71">
        <v>2</v>
      </c>
      <c r="C8" s="117"/>
      <c r="D8" s="117"/>
      <c r="E8" s="117"/>
      <c r="F8" s="117"/>
      <c r="G8" s="120"/>
      <c r="H8" s="37"/>
      <c r="I8" s="44"/>
      <c r="J8" s="37"/>
    </row>
    <row r="9" spans="1:11" ht="15" thickBot="1" x14ac:dyDescent="0.35">
      <c r="A9" s="68" t="s">
        <v>42</v>
      </c>
      <c r="B9" s="71">
        <v>2</v>
      </c>
      <c r="C9" s="117"/>
      <c r="D9" s="108"/>
      <c r="E9" s="108"/>
      <c r="F9" s="108"/>
      <c r="G9" s="1" t="s">
        <v>248</v>
      </c>
      <c r="H9" s="37"/>
      <c r="I9" s="44"/>
      <c r="J9" s="37"/>
    </row>
    <row r="10" spans="1:11" x14ac:dyDescent="0.3">
      <c r="A10" s="68" t="s">
        <v>43</v>
      </c>
      <c r="B10" s="71">
        <v>3</v>
      </c>
      <c r="C10" s="117"/>
      <c r="D10" s="108"/>
      <c r="E10" s="108"/>
      <c r="F10" s="108"/>
      <c r="G10" s="302"/>
      <c r="H10" s="37"/>
      <c r="I10" s="43"/>
      <c r="J10" s="37"/>
    </row>
    <row r="11" spans="1:11" x14ac:dyDescent="0.3">
      <c r="A11" s="68" t="s">
        <v>44</v>
      </c>
      <c r="B11" s="71">
        <v>15</v>
      </c>
      <c r="C11" s="117"/>
      <c r="D11" s="108"/>
      <c r="E11" s="108"/>
      <c r="F11" s="108"/>
      <c r="G11" s="85"/>
      <c r="H11" s="37"/>
      <c r="I11" s="43"/>
      <c r="J11" s="37"/>
    </row>
    <row r="12" spans="1:11" x14ac:dyDescent="0.3">
      <c r="A12" s="68" t="s">
        <v>45</v>
      </c>
      <c r="B12" s="71">
        <v>5</v>
      </c>
      <c r="C12" s="117"/>
      <c r="D12" s="108"/>
      <c r="E12" s="108"/>
      <c r="F12" s="108"/>
      <c r="G12" s="86"/>
    </row>
    <row r="13" spans="1:11" x14ac:dyDescent="0.3">
      <c r="A13" s="68" t="s">
        <v>46</v>
      </c>
      <c r="B13" s="71">
        <f>'Final sizing'!M3/'Final sizing'!L3</f>
        <v>2</v>
      </c>
      <c r="C13" s="117"/>
      <c r="D13" s="108"/>
      <c r="E13" s="108"/>
      <c r="F13" s="108"/>
      <c r="G13" s="86"/>
    </row>
    <row r="14" spans="1:11" ht="15" thickBot="1" x14ac:dyDescent="0.35">
      <c r="A14" s="72" t="s">
        <v>47</v>
      </c>
      <c r="B14" s="73">
        <v>5</v>
      </c>
      <c r="C14" s="117"/>
      <c r="D14" s="108"/>
      <c r="E14" s="108"/>
      <c r="F14" s="108"/>
      <c r="G14" s="86"/>
    </row>
    <row r="15" spans="1:11" ht="15" thickBot="1" x14ac:dyDescent="0.35">
      <c r="A15" s="116"/>
      <c r="B15" s="117"/>
      <c r="C15" s="117"/>
      <c r="D15" s="108"/>
      <c r="E15" s="108"/>
      <c r="F15" s="83" t="s">
        <v>65</v>
      </c>
      <c r="G15" s="87"/>
    </row>
    <row r="16" spans="1:11" ht="15" thickBot="1" x14ac:dyDescent="0.35">
      <c r="A16" s="116"/>
      <c r="B16" s="117"/>
      <c r="C16" s="117"/>
      <c r="D16" s="108"/>
      <c r="E16" s="110"/>
      <c r="F16" s="84">
        <v>2.8</v>
      </c>
      <c r="G16" s="303"/>
    </row>
    <row r="17" spans="1:9" ht="57.6" x14ac:dyDescent="0.3">
      <c r="A17" s="19" t="s">
        <v>48</v>
      </c>
      <c r="B17" s="19" t="s">
        <v>49</v>
      </c>
      <c r="C17" s="19" t="s">
        <v>50</v>
      </c>
      <c r="D17" s="76" t="s">
        <v>64</v>
      </c>
      <c r="E17" s="41" t="s">
        <v>63</v>
      </c>
      <c r="F17" s="41" t="s">
        <v>62</v>
      </c>
      <c r="G17" s="118"/>
      <c r="H17" s="38"/>
      <c r="I17" s="36"/>
    </row>
    <row r="18" spans="1:9" x14ac:dyDescent="0.3">
      <c r="A18" s="68" t="s">
        <v>51</v>
      </c>
      <c r="B18" s="69">
        <v>30</v>
      </c>
      <c r="C18" s="82">
        <f>((E18*D18)*2)/1024/1024</f>
        <v>2307.12890625</v>
      </c>
      <c r="D18" s="74">
        <f>(60/$B$14)*24*B18*$B$6*$B$13</f>
        <v>86400000</v>
      </c>
      <c r="E18" s="39">
        <v>14</v>
      </c>
      <c r="F18" s="39" t="s">
        <v>61</v>
      </c>
      <c r="G18" s="118"/>
      <c r="H18" s="38"/>
      <c r="I18" s="36"/>
    </row>
    <row r="19" spans="1:9" x14ac:dyDescent="0.3">
      <c r="A19" s="68" t="s">
        <v>52</v>
      </c>
      <c r="B19" s="69">
        <v>90</v>
      </c>
      <c r="C19" s="82">
        <f>(E19*D19+F19*D19)/1024/1024</f>
        <v>10645.751953125</v>
      </c>
      <c r="D19" s="74">
        <f>$B$6*$B$7*$B$8*$B$9*$B$13*B19*24</f>
        <v>86400000</v>
      </c>
      <c r="E19" s="39">
        <v>62</v>
      </c>
      <c r="F19" s="39">
        <f>(4+4+4+6+6)*$F$16</f>
        <v>67.199999999999989</v>
      </c>
      <c r="G19" s="118"/>
      <c r="H19" s="38"/>
      <c r="I19" s="36"/>
    </row>
    <row r="20" spans="1:9" x14ac:dyDescent="0.3">
      <c r="A20" s="68" t="s">
        <v>53</v>
      </c>
      <c r="B20" s="69">
        <v>180</v>
      </c>
      <c r="C20" s="82">
        <f>(E20*D20+F20*D20)/1024/1024</f>
        <v>2925.10986328125</v>
      </c>
      <c r="D20" s="74">
        <f>$B$6*$B$7*$B$8*$B$9*$B$10*$B$13*B20</f>
        <v>21600000</v>
      </c>
      <c r="E20" s="39">
        <v>72</v>
      </c>
      <c r="F20" s="39">
        <f>(1+4+4+4+6+6)*$F$16</f>
        <v>70</v>
      </c>
      <c r="G20" s="118"/>
      <c r="H20" s="38"/>
      <c r="I20" s="36"/>
    </row>
    <row r="21" spans="1:9" x14ac:dyDescent="0.3">
      <c r="A21" s="68" t="s">
        <v>54</v>
      </c>
      <c r="B21" s="69">
        <v>180</v>
      </c>
      <c r="C21" s="82">
        <f>(E21*D21+F21*D21)/1024/1024</f>
        <v>67.462921142578125</v>
      </c>
      <c r="D21" s="74">
        <f>($B$5*($B$12/31)*B21)+($B$6*($B$11/31)*B21)</f>
        <v>450000</v>
      </c>
      <c r="E21" s="39">
        <v>90</v>
      </c>
      <c r="F21" s="39">
        <f>(4+4+4+6+6)*$F$16</f>
        <v>67.199999999999989</v>
      </c>
      <c r="G21" s="118"/>
      <c r="H21" s="38"/>
      <c r="I21" s="36"/>
    </row>
    <row r="22" spans="1:9" ht="15" thickBot="1" x14ac:dyDescent="0.35">
      <c r="A22" s="68" t="s">
        <v>55</v>
      </c>
      <c r="B22" s="69">
        <v>180</v>
      </c>
      <c r="C22" s="82">
        <f>SUM(C23:C26)</f>
        <v>2393.6130154517386</v>
      </c>
      <c r="D22" s="74"/>
      <c r="E22" s="39"/>
      <c r="F22" s="39"/>
      <c r="G22" s="118"/>
      <c r="H22" s="38"/>
      <c r="I22" s="36"/>
    </row>
    <row r="23" spans="1:9" ht="15" hidden="1" thickBot="1" x14ac:dyDescent="0.35">
      <c r="A23" s="77" t="s">
        <v>56</v>
      </c>
      <c r="B23" s="75">
        <f>B22</f>
        <v>180</v>
      </c>
      <c r="C23" s="79">
        <f>(E23*D23+F23*D23)/1024/1024</f>
        <v>14.685353925151212</v>
      </c>
      <c r="D23" s="74">
        <f>$B$5*$B$7*$B$8*$B$10*($B$12/31)*B23</f>
        <v>87096.774193548394</v>
      </c>
      <c r="E23" s="39">
        <v>76</v>
      </c>
      <c r="F23" s="39">
        <f>(4+1+1+4+4+1+1+4+4+6+6)*$F$16</f>
        <v>100.8</v>
      </c>
      <c r="G23" s="118"/>
      <c r="H23" s="38"/>
      <c r="I23" s="36"/>
    </row>
    <row r="24" spans="1:9" ht="15" hidden="1" thickBot="1" x14ac:dyDescent="0.35">
      <c r="A24" s="78" t="s">
        <v>57</v>
      </c>
      <c r="B24" s="40">
        <f>B22</f>
        <v>180</v>
      </c>
      <c r="C24" s="80">
        <f>(E24*D24+F24*D24)/1024/1024</f>
        <v>781.44688760080635</v>
      </c>
      <c r="D24" s="74">
        <f>$B$6*($B$11/31)*$B$7*$B$8*$B$9*$B$10*B24</f>
        <v>5225806.4516129028</v>
      </c>
      <c r="E24" s="39">
        <v>56</v>
      </c>
      <c r="F24" s="39">
        <f>(4+1+1+4+4+1+1+4+4+6+6)*$F$16</f>
        <v>100.8</v>
      </c>
      <c r="G24" s="118"/>
      <c r="H24" s="38"/>
      <c r="I24" s="36"/>
    </row>
    <row r="25" spans="1:9" ht="15" hidden="1" thickBot="1" x14ac:dyDescent="0.35">
      <c r="A25" s="78" t="s">
        <v>58</v>
      </c>
      <c r="B25" s="40">
        <f>B22</f>
        <v>180</v>
      </c>
      <c r="C25" s="80">
        <f>(E25*D25+F25*D25)/1024/1024</f>
        <v>73.12774658203125</v>
      </c>
      <c r="D25" s="74">
        <f>B25*$B$5*$B$7*$B$8*$B$10</f>
        <v>540000</v>
      </c>
      <c r="E25" s="39">
        <v>72</v>
      </c>
      <c r="F25" s="39">
        <f>(4+4+1+4+6+6)*$F$16</f>
        <v>70</v>
      </c>
      <c r="G25" s="118"/>
      <c r="H25" s="38"/>
      <c r="I25" s="36"/>
    </row>
    <row r="26" spans="1:9" ht="15" hidden="1" thickBot="1" x14ac:dyDescent="0.35">
      <c r="A26" s="78" t="s">
        <v>59</v>
      </c>
      <c r="B26" s="40">
        <f>B22</f>
        <v>180</v>
      </c>
      <c r="C26" s="80">
        <f>(E26*D26+F26*D26)/1024/1024</f>
        <v>1524.35302734375</v>
      </c>
      <c r="D26" s="74">
        <f>B26*$B$7*$B$9*$B$10*$B$6*$B$8</f>
        <v>10800000</v>
      </c>
      <c r="E26" s="39">
        <v>78</v>
      </c>
      <c r="F26" s="39">
        <f>(4+4+1+4+6+6)*$F$16</f>
        <v>70</v>
      </c>
      <c r="G26" s="118"/>
      <c r="H26" s="38"/>
      <c r="I26" s="36"/>
    </row>
    <row r="27" spans="1:9" ht="15" thickBot="1" x14ac:dyDescent="0.35">
      <c r="A27" s="1"/>
      <c r="B27" s="1" t="s">
        <v>60</v>
      </c>
      <c r="C27" s="81">
        <f>SUM(C18:C22)</f>
        <v>18339.066659250566</v>
      </c>
      <c r="D27" s="109"/>
      <c r="E27" s="111"/>
      <c r="F27" s="111"/>
      <c r="G27" s="118"/>
    </row>
    <row r="28" spans="1:9" x14ac:dyDescent="0.3">
      <c r="A28" s="116"/>
      <c r="B28" s="117"/>
      <c r="C28" s="117"/>
      <c r="D28" s="108"/>
      <c r="E28" s="108"/>
      <c r="F28" s="108"/>
      <c r="G28" s="118"/>
    </row>
    <row r="29" spans="1:9" ht="15" thickBot="1" x14ac:dyDescent="0.35">
      <c r="A29" s="122"/>
      <c r="B29" s="123"/>
      <c r="C29" s="123"/>
      <c r="D29" s="112"/>
      <c r="E29" s="112"/>
      <c r="F29" s="112"/>
      <c r="G29" s="121"/>
    </row>
    <row r="33" spans="1:3" hidden="1" x14ac:dyDescent="0.3">
      <c r="A33">
        <v>500</v>
      </c>
      <c r="B33">
        <v>10</v>
      </c>
      <c r="C33">
        <f t="shared" ref="C33:C38" si="0">B33/A33</f>
        <v>0.02</v>
      </c>
    </row>
    <row r="34" spans="1:3" hidden="1" x14ac:dyDescent="0.3">
      <c r="A34">
        <v>2000</v>
      </c>
      <c r="B34">
        <v>42</v>
      </c>
      <c r="C34">
        <f t="shared" si="0"/>
        <v>2.1000000000000001E-2</v>
      </c>
    </row>
    <row r="35" spans="1:3" hidden="1" x14ac:dyDescent="0.3">
      <c r="A35">
        <v>10000</v>
      </c>
      <c r="B35">
        <v>126</v>
      </c>
      <c r="C35">
        <f t="shared" si="0"/>
        <v>1.26E-2</v>
      </c>
    </row>
    <row r="36" spans="1:3" hidden="1" x14ac:dyDescent="0.3">
      <c r="A36">
        <v>20000</v>
      </c>
      <c r="B36">
        <v>252</v>
      </c>
      <c r="C36">
        <f t="shared" si="0"/>
        <v>1.26E-2</v>
      </c>
    </row>
    <row r="37" spans="1:3" hidden="1" x14ac:dyDescent="0.3">
      <c r="A37">
        <v>50000</v>
      </c>
      <c r="B37">
        <v>660</v>
      </c>
      <c r="C37">
        <f t="shared" si="0"/>
        <v>1.32E-2</v>
      </c>
    </row>
    <row r="38" spans="1:3" hidden="1" x14ac:dyDescent="0.3">
      <c r="A38">
        <v>100000</v>
      </c>
      <c r="B38">
        <v>1400</v>
      </c>
      <c r="C38">
        <f t="shared" si="0"/>
        <v>1.4E-2</v>
      </c>
    </row>
    <row r="39" spans="1:3" hidden="1" x14ac:dyDescent="0.3">
      <c r="A39"/>
      <c r="B39"/>
      <c r="C39"/>
    </row>
    <row r="40" spans="1:3" hidden="1" x14ac:dyDescent="0.3">
      <c r="A40"/>
      <c r="B40"/>
      <c r="C40"/>
    </row>
    <row r="41" spans="1:3" hidden="1" x14ac:dyDescent="0.3">
      <c r="A41"/>
      <c r="B41"/>
      <c r="C41">
        <v>1.2999999999999999E-2</v>
      </c>
    </row>
    <row r="42" spans="1:3" hidden="1" x14ac:dyDescent="0.3"/>
    <row r="43" spans="1:3" hidden="1" x14ac:dyDescent="0.3">
      <c r="A43" s="10">
        <v>500</v>
      </c>
      <c r="B43" s="10">
        <v>2.5</v>
      </c>
      <c r="C43" s="35">
        <f t="shared" ref="C43:C48" si="1">B43/A43</f>
        <v>5.0000000000000001E-3</v>
      </c>
    </row>
    <row r="44" spans="1:3" hidden="1" x14ac:dyDescent="0.3">
      <c r="A44" s="10">
        <v>2000</v>
      </c>
      <c r="B44" s="10">
        <v>10</v>
      </c>
      <c r="C44" s="35">
        <f t="shared" si="1"/>
        <v>5.0000000000000001E-3</v>
      </c>
    </row>
    <row r="45" spans="1:3" hidden="1" x14ac:dyDescent="0.3">
      <c r="A45" s="10">
        <v>10000</v>
      </c>
      <c r="B45" s="10">
        <v>30</v>
      </c>
      <c r="C45" s="35">
        <f t="shared" si="1"/>
        <v>3.0000000000000001E-3</v>
      </c>
    </row>
    <row r="46" spans="1:3" hidden="1" x14ac:dyDescent="0.3">
      <c r="A46" s="10">
        <v>20000</v>
      </c>
      <c r="B46" s="10">
        <v>60</v>
      </c>
      <c r="C46" s="35">
        <f t="shared" si="1"/>
        <v>3.0000000000000001E-3</v>
      </c>
    </row>
    <row r="47" spans="1:3" hidden="1" x14ac:dyDescent="0.3">
      <c r="A47" s="10">
        <v>50000</v>
      </c>
      <c r="B47" s="10">
        <v>150</v>
      </c>
      <c r="C47" s="35">
        <f t="shared" si="1"/>
        <v>3.0000000000000001E-3</v>
      </c>
    </row>
    <row r="48" spans="1:3" ht="15" hidden="1" thickBot="1" x14ac:dyDescent="0.35">
      <c r="A48" s="12">
        <v>100000</v>
      </c>
      <c r="B48" s="12">
        <v>600</v>
      </c>
      <c r="C48" s="35">
        <f t="shared" si="1"/>
        <v>6.0000000000000001E-3</v>
      </c>
    </row>
    <row r="49" spans="3:3" hidden="1" x14ac:dyDescent="0.3"/>
    <row r="50" spans="3:3" hidden="1" x14ac:dyDescent="0.3">
      <c r="C50" s="64">
        <f>+AVERAGEA(C43:C48)</f>
        <v>4.1666666666666666E-3</v>
      </c>
    </row>
    <row r="51" spans="3:3" hidden="1" x14ac:dyDescent="0.3"/>
    <row r="52" spans="3:3" hidden="1" x14ac:dyDescent="0.3"/>
    <row r="53" spans="3:3" hidden="1" x14ac:dyDescent="0.3"/>
    <row r="54" spans="3:3" hidden="1" x14ac:dyDescent="0.3"/>
    <row r="55" spans="3:3" hidden="1" x14ac:dyDescent="0.3"/>
  </sheetData>
  <sheetProtection algorithmName="SHA-512" hashValue="JXunIUWlS4UM2BeKoYbEpd0ZYJPZ/TkT0n3fQROpwQnI6bO7TzFqkvwHXCdX9yWx6Z92C/Iu0dZ7PJyo4zLamQ==" saltValue="e+xzy5vnNoFByG4c3f9fWQ==" spinCount="100000" sheet="1" select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r:id="rId5">
            <anchor moveWithCells="1">
              <from>
                <xdr:col>6</xdr:col>
                <xdr:colOff>365760</xdr:colOff>
                <xdr:row>10</xdr:row>
                <xdr:rowOff>76200</xdr:rowOff>
              </from>
              <to>
                <xdr:col>6</xdr:col>
                <xdr:colOff>1280160</xdr:colOff>
                <xdr:row>14</xdr:row>
                <xdr:rowOff>129540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6D3F-AF0F-4701-A58B-39C6D78A8885}">
  <dimension ref="A1:U58"/>
  <sheetViews>
    <sheetView topLeftCell="A11" zoomScale="70" zoomScaleNormal="70" workbookViewId="0">
      <selection activeCell="K33" sqref="K33"/>
    </sheetView>
  </sheetViews>
  <sheetFormatPr baseColWidth="10" defaultRowHeight="14.4" x14ac:dyDescent="0.3"/>
  <cols>
    <col min="1" max="1" width="22.88671875" customWidth="1"/>
    <col min="2" max="2" width="39.33203125" customWidth="1"/>
    <col min="3" max="3" width="32.33203125" customWidth="1"/>
    <col min="4" max="4" width="18.88671875" bestFit="1" customWidth="1"/>
    <col min="5" max="5" width="19.6640625" customWidth="1"/>
    <col min="6" max="6" width="21.44140625" customWidth="1"/>
    <col min="7" max="7" width="17.6640625" customWidth="1"/>
    <col min="8" max="8" width="19.44140625" customWidth="1"/>
    <col min="9" max="9" width="19.6640625" customWidth="1"/>
    <col min="10" max="10" width="14.88671875" customWidth="1"/>
    <col min="11" max="11" width="19.77734375" bestFit="1" customWidth="1"/>
    <col min="12" max="12" width="20.5546875" customWidth="1"/>
    <col min="13" max="13" width="10.6640625" customWidth="1"/>
    <col min="14" max="14" width="19.44140625" customWidth="1"/>
    <col min="15" max="15" width="21.6640625" customWidth="1"/>
    <col min="16" max="17" width="22.109375" customWidth="1"/>
    <col min="18" max="18" width="15.44140625" customWidth="1"/>
  </cols>
  <sheetData>
    <row r="1" spans="1:17" ht="21" hidden="1" x14ac:dyDescent="0.3">
      <c r="A1" s="348" t="s">
        <v>28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1:17" ht="62.4" hidden="1" x14ac:dyDescent="0.3">
      <c r="A2" s="3" t="s">
        <v>8</v>
      </c>
      <c r="B2" s="3" t="s">
        <v>30</v>
      </c>
      <c r="C2" s="3" t="s">
        <v>29</v>
      </c>
      <c r="E2" s="3" t="s">
        <v>32</v>
      </c>
      <c r="F2" s="3" t="s">
        <v>33</v>
      </c>
      <c r="G2" s="8" t="s">
        <v>14</v>
      </c>
      <c r="I2" s="23" t="s">
        <v>72</v>
      </c>
      <c r="J2" s="46" t="s">
        <v>35</v>
      </c>
      <c r="K2" s="48" t="s">
        <v>73</v>
      </c>
      <c r="L2" s="31" t="s">
        <v>76</v>
      </c>
      <c r="M2" s="31" t="s">
        <v>77</v>
      </c>
      <c r="N2" s="31" t="s">
        <v>78</v>
      </c>
      <c r="O2" s="48" t="s">
        <v>79</v>
      </c>
      <c r="P2" s="48" t="s">
        <v>80</v>
      </c>
      <c r="Q2" s="48" t="s">
        <v>80</v>
      </c>
    </row>
    <row r="3" spans="1:17" hidden="1" x14ac:dyDescent="0.3">
      <c r="A3" s="2" t="s">
        <v>7</v>
      </c>
      <c r="B3" s="10">
        <v>0</v>
      </c>
      <c r="C3" s="10">
        <v>500</v>
      </c>
      <c r="E3" s="10">
        <v>10</v>
      </c>
      <c r="F3" s="10" t="s">
        <v>34</v>
      </c>
      <c r="G3" s="11">
        <v>4000</v>
      </c>
      <c r="I3" s="10">
        <v>7500</v>
      </c>
      <c r="J3" s="47">
        <v>10000</v>
      </c>
      <c r="K3" s="47">
        <v>4000</v>
      </c>
      <c r="L3" s="10">
        <f>IF(Architecture!C7&gt;0,Architecture!C7,Architecture!B7)</f>
        <v>5000</v>
      </c>
      <c r="M3" s="10">
        <f>IF(Architecture!E7&gt;0,Architecture!E7,Architecture!D7)</f>
        <v>10000</v>
      </c>
      <c r="N3" s="212">
        <f>Architecture!C15</f>
        <v>1666.6666666666667</v>
      </c>
      <c r="O3" s="10">
        <v>1.2999999999999999E-2</v>
      </c>
      <c r="P3" s="65">
        <v>4.1666666666666666E-3</v>
      </c>
      <c r="Q3" s="65">
        <v>0.14000000000000001</v>
      </c>
    </row>
    <row r="4" spans="1:17" hidden="1" x14ac:dyDescent="0.3">
      <c r="A4" s="2" t="s">
        <v>9</v>
      </c>
      <c r="B4" s="10">
        <v>500</v>
      </c>
      <c r="C4" s="10">
        <v>2000</v>
      </c>
      <c r="E4" s="10">
        <v>42</v>
      </c>
      <c r="F4" s="10">
        <v>10</v>
      </c>
      <c r="G4" s="11">
        <v>20000</v>
      </c>
      <c r="I4" s="47">
        <v>10000</v>
      </c>
      <c r="J4" s="47">
        <v>20000</v>
      </c>
      <c r="K4" s="47">
        <v>20000</v>
      </c>
    </row>
    <row r="5" spans="1:17" hidden="1" x14ac:dyDescent="0.3">
      <c r="A5" s="2" t="s">
        <v>10</v>
      </c>
      <c r="B5" s="10">
        <v>2000</v>
      </c>
      <c r="C5" s="10">
        <v>7000</v>
      </c>
      <c r="E5" s="10">
        <v>210</v>
      </c>
      <c r="F5" s="10">
        <v>50</v>
      </c>
      <c r="G5" s="11">
        <v>40000</v>
      </c>
      <c r="J5" s="47">
        <v>40000</v>
      </c>
      <c r="K5" s="47">
        <v>40000</v>
      </c>
    </row>
    <row r="6" spans="1:17" hidden="1" x14ac:dyDescent="0.3">
      <c r="A6" s="2" t="s">
        <v>11</v>
      </c>
      <c r="B6" s="10">
        <v>7000</v>
      </c>
      <c r="C6" s="10">
        <v>14000</v>
      </c>
      <c r="E6" s="10">
        <v>420</v>
      </c>
      <c r="F6" s="10">
        <v>100</v>
      </c>
      <c r="G6" s="11">
        <v>100000</v>
      </c>
      <c r="J6" s="263">
        <v>100000</v>
      </c>
      <c r="K6" s="47">
        <v>100000</v>
      </c>
    </row>
    <row r="7" spans="1:17" hidden="1" x14ac:dyDescent="0.3">
      <c r="A7" s="4" t="s">
        <v>12</v>
      </c>
      <c r="B7" s="10">
        <v>14000</v>
      </c>
      <c r="C7" s="10">
        <v>21000</v>
      </c>
      <c r="E7" s="10">
        <v>1100</v>
      </c>
      <c r="F7" s="10">
        <v>250</v>
      </c>
      <c r="G7" s="11"/>
    </row>
    <row r="8" spans="1:17" ht="15" hidden="1" thickBot="1" x14ac:dyDescent="0.35">
      <c r="A8" s="9" t="s">
        <v>13</v>
      </c>
      <c r="B8" s="12">
        <v>21000</v>
      </c>
      <c r="C8" s="12">
        <v>100000</v>
      </c>
      <c r="E8" s="12">
        <v>2300</v>
      </c>
      <c r="F8" s="12">
        <v>1000</v>
      </c>
      <c r="G8" s="13"/>
    </row>
    <row r="9" spans="1:17" hidden="1" x14ac:dyDescent="0.3">
      <c r="A9" s="15"/>
    </row>
    <row r="10" spans="1:17" hidden="1" x14ac:dyDescent="0.3">
      <c r="A10" s="7"/>
      <c r="B10" s="15"/>
    </row>
    <row r="12" spans="1:17" ht="13.95" customHeight="1" x14ac:dyDescent="0.3">
      <c r="A12" s="7"/>
      <c r="B12" s="96"/>
      <c r="C12" s="96"/>
      <c r="D12" s="96"/>
      <c r="E12" s="96"/>
      <c r="F12" s="96"/>
      <c r="H12" s="96"/>
      <c r="I12" s="96"/>
    </row>
    <row r="13" spans="1:17" x14ac:dyDescent="0.3">
      <c r="A13" s="7"/>
      <c r="B13" s="96"/>
      <c r="C13" s="96"/>
      <c r="D13" s="96"/>
      <c r="E13" s="96"/>
      <c r="F13" s="96"/>
      <c r="H13" s="96"/>
      <c r="I13" s="96"/>
    </row>
    <row r="14" spans="1:17" ht="15" thickBot="1" x14ac:dyDescent="0.35">
      <c r="A14" s="7"/>
      <c r="B14" s="15"/>
    </row>
    <row r="15" spans="1:17" ht="14.4" customHeight="1" x14ac:dyDescent="0.3">
      <c r="A15" s="350" t="s">
        <v>260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2"/>
    </row>
    <row r="16" spans="1:17" ht="15" customHeight="1" thickBot="1" x14ac:dyDescent="0.35">
      <c r="A16" s="355"/>
      <c r="B16" s="356"/>
      <c r="C16" s="356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7"/>
    </row>
    <row r="17" spans="1:21" ht="29.4" thickBot="1" x14ac:dyDescent="0.35">
      <c r="A17" s="372" t="str">
        <f xml:space="preserve"> "Architecture "&amp;VLOOKUP("X",Architecture!L7:M12,2)</f>
        <v>Architecture High Availibility  5 servers</v>
      </c>
      <c r="B17" s="364" t="s">
        <v>280</v>
      </c>
      <c r="C17" s="229" t="s">
        <v>0</v>
      </c>
      <c r="D17" s="230" t="str">
        <f>IF(Architecture!L11="X","",IF(Architecture!L7="X","",IF(Architecture!L8="X","","X")))</f>
        <v>X</v>
      </c>
      <c r="E17" s="230" t="str">
        <f>IF(Architecture!B11="X","X","")</f>
        <v>X</v>
      </c>
      <c r="F17" s="231" t="str">
        <f>IF(Architecture!B12="X","X","")</f>
        <v>X</v>
      </c>
      <c r="G17" s="6"/>
      <c r="H17" s="368" t="str">
        <f>IF(Architecture!I11="X","X","")</f>
        <v>X</v>
      </c>
      <c r="I17" s="369"/>
      <c r="J17" s="98"/>
      <c r="K17" s="368" t="str">
        <f>IF(Architecture!I10="X","X","")</f>
        <v>X</v>
      </c>
      <c r="L17" s="369"/>
      <c r="M17" s="6"/>
      <c r="N17" s="368" t="str">
        <f>IF(Architecture!L11="X","X",IF(Architecture!L12="X","X",""))</f>
        <v>X</v>
      </c>
      <c r="O17" s="369"/>
    </row>
    <row r="18" spans="1:21" ht="36.6" customHeight="1" thickBot="1" x14ac:dyDescent="0.35">
      <c r="A18" s="373"/>
      <c r="B18" s="365"/>
      <c r="C18" s="362" t="str">
        <f>IF(Architecture!L11="X","2 Servers central",IF(Architecture!L12="X","2 Servers central","1 Server central"))</f>
        <v>2 Servers central</v>
      </c>
      <c r="D18" s="362" t="str">
        <f>"Database server "&amp;IF(OR(Architecture!L7="X",Architecture!L8="X",Architecture!L11="X")=TRUE,"inside the central GB","remoted GB")</f>
        <v>Database server remoted GB</v>
      </c>
      <c r="E18" s="362" t="str">
        <f>IF(Architecture!D11&gt;0,Architecture!D11&amp;" Poller(s)",Architecture!C11&amp;" Poller(s)")</f>
        <v>1 Poller(s)</v>
      </c>
      <c r="F18" s="370" t="str">
        <f>IF(Architecture!D12&gt;0,Architecture!D12,Architecture!C12)&amp;" Remote Server"</f>
        <v>1 Remote Server</v>
      </c>
      <c r="G18" s="98"/>
      <c r="H18" s="366" t="str">
        <f>IF(OR(Architecture!I11="X",Architecture!I7="X"),IF(Architecture!E48="X","2","1")&amp;" Server Centreon MAP"," Server Centreon MAP")</f>
        <v>1 Server Centreon MAP</v>
      </c>
      <c r="I18" s="367"/>
      <c r="J18" s="98"/>
      <c r="K18" s="366" t="s">
        <v>258</v>
      </c>
      <c r="L18" s="367"/>
      <c r="M18" s="98"/>
      <c r="N18" s="366" t="s">
        <v>259</v>
      </c>
      <c r="O18" s="367"/>
      <c r="U18" s="33"/>
    </row>
    <row r="19" spans="1:21" ht="32.4" customHeight="1" thickBot="1" x14ac:dyDescent="0.35">
      <c r="A19" s="373"/>
      <c r="B19" s="307" t="s">
        <v>254</v>
      </c>
      <c r="C19" s="363"/>
      <c r="D19" s="363"/>
      <c r="E19" s="363"/>
      <c r="F19" s="371"/>
      <c r="G19" s="98"/>
      <c r="H19" s="265" t="s">
        <v>254</v>
      </c>
      <c r="I19" s="233"/>
      <c r="J19" s="98"/>
      <c r="K19" s="265" t="s">
        <v>254</v>
      </c>
      <c r="L19" s="223"/>
      <c r="M19" s="98"/>
      <c r="N19" s="265" t="s">
        <v>254</v>
      </c>
      <c r="O19" s="223"/>
    </row>
    <row r="20" spans="1:21" ht="37.950000000000003" customHeight="1" x14ac:dyDescent="0.3">
      <c r="A20" s="373"/>
      <c r="B20" s="308" t="s">
        <v>6</v>
      </c>
      <c r="C20" s="268" t="str">
        <f>IF(L3&lt;=C3,"1vCPU",IF(AND(L3&gt;B4,L3&lt;=C4),"2vCPU",IF(AND(L3&gt;B5,L3&lt;=C5),"4vCPU",IF(L3&gt;B6,"4vCPU","Consulter Centreon"))))</f>
        <v>4vCPU</v>
      </c>
      <c r="D20" s="268" t="str">
        <f>IF(D17="X",C20,"X")</f>
        <v>4vCPU</v>
      </c>
      <c r="E20" s="268" t="str">
        <f>IF(E17="X",IF((Architecture!C11+Architecture!D11)&gt;0,IF(Architecture!C15&lt;=I3,"2vCPU",IF(AND(Architecture!C15&gt;=I3,Architecture!C15&lt;=I4),"4vCPU","Consulter Centreon")),"X"),"X")</f>
        <v>2vCPU</v>
      </c>
      <c r="F20" s="269" t="str">
        <f>IF(F17="X",IF(N3&lt;=C3,"1vCPU",IF(AND(N3&gt;B4,N3&lt;=C4),"2vCPU",IF(AND(N3&gt;B5,N3&lt;=C5),"4vCPU",IF(N3&gt;B6,"4vCPU","Consulter Centreon")))),"X")</f>
        <v>2vCPU</v>
      </c>
      <c r="G20" s="98"/>
      <c r="H20" s="235" t="s">
        <v>6</v>
      </c>
      <c r="I20" s="224" t="str">
        <f>IF(H17="X",IF(L3&lt;J3,"2vCPU",IF(AND(L3&gt;J3,L3&lt;J6),"4vCPU",'AVV config'!H5)),"X")</f>
        <v>2vCPU</v>
      </c>
      <c r="J20" s="98"/>
      <c r="K20" s="235" t="s">
        <v>6</v>
      </c>
      <c r="L20" s="224" t="str">
        <f>IF(K17="X",IF(L3&lt;K3,"2vCPU",IF(AND(L3&gt;=K3,L3&lt;K4),"4vCPU",IF(AND(L3&gt;=K4,L3&lt;K5),"4vCPU",IF(AND(L3&gt;=K5,L3&lt;K6),"8vCPU",'AVV config'!K5)))),"X")</f>
        <v>4vCPU</v>
      </c>
      <c r="M20" s="98"/>
      <c r="N20" s="235" t="s">
        <v>6</v>
      </c>
      <c r="O20" s="224" t="str">
        <f>IF(N17="X","1vCPU","X")</f>
        <v>1vCPU</v>
      </c>
    </row>
    <row r="21" spans="1:21" ht="16.2" thickBot="1" x14ac:dyDescent="0.35">
      <c r="A21" s="373"/>
      <c r="B21" s="309" t="s">
        <v>257</v>
      </c>
      <c r="C21" s="270" t="str">
        <f>IF(L3&lt;=C3,"1",IF(AND(L3&gt;C3,L3&lt;=C4),"2",IF(AND(L3&gt;C4,L3&lt;=C5),"4",IF(AND(L3&gt;C5,L3&lt;=C8),"8",'AVV config'!C6))))</f>
        <v>4</v>
      </c>
      <c r="D21" s="270" t="str">
        <f>IF(D17="X",C21,"X")</f>
        <v>4</v>
      </c>
      <c r="E21" s="270" t="str">
        <f>IF(E17="X",IF((Architecture!C11+Architecture!D11)&gt;0,IF(Architecture!C15&lt;=I3,"2",IF(AND(Architecture!C15&gt;=I3,Architecture!C15&lt;=I4),"4","Consulter Centreon")),"X"),"X")</f>
        <v>2</v>
      </c>
      <c r="F21" s="269" t="str">
        <f>IF(F17="X",IF(N3&lt;=C3,"1",IF(AND(N3&gt;C3,N3&lt;=C4),"2",IF(AND(N3&gt;C4,N3&lt;=C5),"4",IF(AND(N3&gt;C5,N3&lt;=C8),"8","Consulter Centreon")))),"X")</f>
        <v>2</v>
      </c>
      <c r="G21" s="98"/>
      <c r="H21" s="304" t="s">
        <v>257</v>
      </c>
      <c r="I21" s="225" t="str">
        <f>IF(H17="X",IF(L3&lt;J4,"2",IF(AND(L3&gt;J3,L3&lt;J4),"4",IF(AND(L3&gt;J4,L3&lt;J5),"8",IF(AND(L3&gt;J5,L3&lt;J6),"16",'AVV config'!H6)))),"X")</f>
        <v>2</v>
      </c>
      <c r="J21" s="98"/>
      <c r="K21" s="304" t="s">
        <v>261</v>
      </c>
      <c r="L21" s="224" t="str">
        <f>IF(K17="X",IF(L3&lt;K3,"12",IF(AND(L3&gt;=K3,L3&lt;K4),"16",IF(AND(L3&gt;=K4,L3&lt;K5),"24",IF(AND(L3&gt;=K5,L3&lt;K6),"32",'AVV config'!K6)))),"X")</f>
        <v>16</v>
      </c>
      <c r="M21" s="98"/>
      <c r="N21" s="304" t="s">
        <v>257</v>
      </c>
      <c r="O21" s="224">
        <f>IF(N17="X",1,"X")</f>
        <v>1</v>
      </c>
    </row>
    <row r="22" spans="1:21" ht="18" thickBot="1" x14ac:dyDescent="0.35">
      <c r="A22" s="373"/>
      <c r="B22" s="307" t="s">
        <v>255</v>
      </c>
      <c r="C22" s="283" t="s">
        <v>256</v>
      </c>
      <c r="D22" s="283" t="s">
        <v>256</v>
      </c>
      <c r="E22" s="283" t="s">
        <v>256</v>
      </c>
      <c r="F22" s="285" t="s">
        <v>256</v>
      </c>
      <c r="G22" s="98"/>
      <c r="H22" s="265" t="s">
        <v>255</v>
      </c>
      <c r="I22" s="265" t="s">
        <v>256</v>
      </c>
      <c r="J22" s="98"/>
      <c r="K22" s="283" t="s">
        <v>255</v>
      </c>
      <c r="L22" s="285" t="s">
        <v>256</v>
      </c>
      <c r="M22" s="98"/>
      <c r="N22" s="283" t="s">
        <v>255</v>
      </c>
      <c r="O22" s="285" t="s">
        <v>256</v>
      </c>
    </row>
    <row r="23" spans="1:21" ht="15.6" x14ac:dyDescent="0.3">
      <c r="A23" s="373"/>
      <c r="B23" s="310" t="s">
        <v>175</v>
      </c>
      <c r="C23" s="306">
        <f>IF(C17="X",1,"X")</f>
        <v>1</v>
      </c>
      <c r="D23" s="268">
        <f>IF(D17="X",1,"X")</f>
        <v>1</v>
      </c>
      <c r="E23" s="268">
        <f>IF(E17="X",1,"X")</f>
        <v>1</v>
      </c>
      <c r="F23" s="269">
        <f>IF(F17="X",1,"X")</f>
        <v>1</v>
      </c>
      <c r="G23" s="98"/>
      <c r="H23" s="92" t="s">
        <v>175</v>
      </c>
      <c r="I23" s="225">
        <f>IF(H17="X",1,"X")</f>
        <v>1</v>
      </c>
      <c r="J23" s="98"/>
      <c r="K23" s="305" t="s">
        <v>175</v>
      </c>
      <c r="L23" s="224">
        <f>IF(K17="X",1,"X")</f>
        <v>1</v>
      </c>
      <c r="M23" s="98"/>
      <c r="N23" s="305" t="s">
        <v>175</v>
      </c>
      <c r="O23" s="224">
        <f>IF(N17="X",1,"X")</f>
        <v>1</v>
      </c>
    </row>
    <row r="24" spans="1:21" ht="32.4" x14ac:dyDescent="0.3">
      <c r="A24" s="373"/>
      <c r="B24" s="311" t="s">
        <v>249</v>
      </c>
      <c r="C24" s="271">
        <v>20</v>
      </c>
      <c r="D24" s="270">
        <f>IF(D17="X",20,"X")</f>
        <v>20</v>
      </c>
      <c r="E24" s="270">
        <f>IF(E17="X",IF((Architecture!C11+Architecture!D11)&gt;0,20,"X"),"X")</f>
        <v>20</v>
      </c>
      <c r="F24" s="269">
        <f>IF(F17="X",C24,"X")</f>
        <v>20</v>
      </c>
      <c r="G24" s="98"/>
      <c r="H24" s="92" t="s">
        <v>249</v>
      </c>
      <c r="I24" s="224">
        <f>IF(H17="X",20,"X")</f>
        <v>20</v>
      </c>
      <c r="J24" s="98"/>
      <c r="K24" s="92" t="s">
        <v>249</v>
      </c>
      <c r="L24" s="224">
        <f>IF(K17="X",20,"X")</f>
        <v>20</v>
      </c>
      <c r="M24" s="98"/>
      <c r="N24" s="92" t="s">
        <v>249</v>
      </c>
      <c r="O24" s="224">
        <f>IF(N17="X",10,"X")</f>
        <v>10</v>
      </c>
    </row>
    <row r="25" spans="1:21" ht="29.4" customHeight="1" x14ac:dyDescent="0.3">
      <c r="A25" s="373"/>
      <c r="B25" s="309" t="s">
        <v>4</v>
      </c>
      <c r="C25" s="271">
        <f>IF(C21="Consulter Centreon",C21,1*C21)</f>
        <v>4</v>
      </c>
      <c r="D25" s="270">
        <f>IF(D21="Consulter Centreon",D21,IF(D17="X",1*D21,"X"))</f>
        <v>4</v>
      </c>
      <c r="E25" s="270">
        <f>IF(E17="X",IF((Architecture!C11+Architecture!D11)&gt;0,1*E21,"X"),"X")</f>
        <v>2</v>
      </c>
      <c r="F25" s="269" t="str">
        <f>IF(F17="X",F21,"X")</f>
        <v>2</v>
      </c>
      <c r="G25" s="98"/>
      <c r="H25" s="236" t="s">
        <v>4</v>
      </c>
      <c r="I25" s="224">
        <f>IF(H17="X",IF(I21&gt;=8,8,I21),"X")</f>
        <v>8</v>
      </c>
      <c r="J25" s="98"/>
      <c r="K25" s="236" t="s">
        <v>4</v>
      </c>
      <c r="L25" s="224">
        <f>IF(K17="X",IF(L21&gt;=8,8,L21),"X")</f>
        <v>8</v>
      </c>
      <c r="M25" s="98"/>
      <c r="N25" s="236" t="s">
        <v>4</v>
      </c>
      <c r="O25" s="224">
        <f>IF(N17="X",6,"X")</f>
        <v>6</v>
      </c>
    </row>
    <row r="26" spans="1:21" ht="33" thickBot="1" x14ac:dyDescent="0.35">
      <c r="A26" s="373"/>
      <c r="B26" s="311" t="s">
        <v>250</v>
      </c>
      <c r="C26" s="271">
        <v>10</v>
      </c>
      <c r="D26" s="270">
        <f>IF(D17="X",10,"X")</f>
        <v>10</v>
      </c>
      <c r="E26" s="270">
        <f>IF(E17="X",IF((Architecture!C11+Architecture!D11)&gt;0,10,"X"),"X")</f>
        <v>10</v>
      </c>
      <c r="F26" s="269">
        <f>IF(F17="X",10,"X")</f>
        <v>10</v>
      </c>
      <c r="G26" s="98"/>
      <c r="H26" s="236" t="s">
        <v>2</v>
      </c>
      <c r="I26" s="224">
        <f>IF(H17="X",5,"X")</f>
        <v>5</v>
      </c>
      <c r="J26" s="98"/>
      <c r="K26" s="236" t="s">
        <v>2</v>
      </c>
      <c r="L26" s="234">
        <f>IF(K17="X",ROUNDUP('MBI Sizing'!C27,0)/1024,"X")</f>
        <v>17.91015625</v>
      </c>
      <c r="M26" s="98"/>
      <c r="N26" s="236" t="s">
        <v>15</v>
      </c>
      <c r="O26" s="224">
        <f>IF(N17="X",10,"X")</f>
        <v>10</v>
      </c>
    </row>
    <row r="27" spans="1:21" ht="18" thickBot="1" x14ac:dyDescent="0.35">
      <c r="A27" s="373"/>
      <c r="B27" s="309" t="s">
        <v>3</v>
      </c>
      <c r="C27" s="271">
        <f>IF(C17="X",IF(L3&lt;=C3,F3,IF(AND(L3&gt;B4,L3&lt;=C4),F4,'Main server and BI server'!H70)),"X")</f>
        <v>13.5</v>
      </c>
      <c r="D27" s="272"/>
      <c r="E27" s="272"/>
      <c r="F27" s="273">
        <f>IF(F17="X",IF(N3&lt;=C3,F3,IF(AND(N3&gt;B4,N3&lt;=C4),F4,'RS Main server and BI server '!H70)),"X")</f>
        <v>10</v>
      </c>
      <c r="G27" s="98"/>
      <c r="H27" s="236" t="s">
        <v>15</v>
      </c>
      <c r="I27" s="224">
        <f>IF(H17="X",10,"X")</f>
        <v>10</v>
      </c>
      <c r="J27" s="6"/>
      <c r="K27" s="236" t="s">
        <v>15</v>
      </c>
      <c r="L27" s="224">
        <f>IF(K17="X",10,"X")</f>
        <v>10</v>
      </c>
      <c r="M27" s="6"/>
      <c r="N27" s="283" t="s">
        <v>262</v>
      </c>
      <c r="O27" s="281">
        <f>SUM(O23:O26)</f>
        <v>27</v>
      </c>
    </row>
    <row r="28" spans="1:21" ht="35.4" thickBot="1" x14ac:dyDescent="0.35">
      <c r="A28" s="373"/>
      <c r="B28" s="311" t="s">
        <v>251</v>
      </c>
      <c r="C28" s="271">
        <v>5</v>
      </c>
      <c r="D28" s="272"/>
      <c r="E28" s="270">
        <f>IF(E17="X",IF((Architecture!C11+Architecture!D11)&gt;0,IF(Architecture!C15&lt;I3,5,IF(AND(Architecture!C15&gt;I3,Architecture!C15&lt;I4),"10","Consulter Centreon")),"X"),"X")</f>
        <v>5</v>
      </c>
      <c r="F28" s="269">
        <f>IF(F17="X",5,"X")</f>
        <v>5</v>
      </c>
      <c r="G28" s="98"/>
      <c r="H28" s="286" t="s">
        <v>252</v>
      </c>
      <c r="I28" s="284">
        <f>+SUM(I23:I27)</f>
        <v>44</v>
      </c>
      <c r="J28" s="98"/>
      <c r="K28" s="236" t="s">
        <v>1</v>
      </c>
      <c r="L28" s="224">
        <f>IF(K17="X",'AVV config'!C7,"X")</f>
        <v>10</v>
      </c>
      <c r="M28" s="98"/>
      <c r="N28" s="6"/>
      <c r="O28" s="226"/>
    </row>
    <row r="29" spans="1:21" ht="18" thickBot="1" x14ac:dyDescent="0.35">
      <c r="A29" s="373"/>
      <c r="B29" s="309" t="s">
        <v>2</v>
      </c>
      <c r="C29" s="271" t="str">
        <f>IF(D17="X","X",IF(L3&lt;=C3,E3,IF(AND(L3&gt;B4,L3&lt;=C4),E4,'Main server and BI server'!H77)))</f>
        <v>X</v>
      </c>
      <c r="D29" s="271">
        <f>IF(D17="X",IF(L3&lt;=C3,E3,IF(AND(L3&gt;B4,L3&lt;=C4),E4,'Main server and BI server'!H77)),"X")</f>
        <v>46.489498275000003</v>
      </c>
      <c r="E29" s="272"/>
      <c r="F29" s="273">
        <f>IF(F17="X",IF(N3&lt;=C3,E3,IF(AND(N3&gt;B4,N3&lt;=C4),E4,'RS Main server and BI server '!H77)),"X")</f>
        <v>42</v>
      </c>
      <c r="G29" s="98"/>
      <c r="H29" s="283" t="s">
        <v>253</v>
      </c>
      <c r="I29" s="285">
        <f>IF(Architecture!C48="X",I28,IF(Architecture!C48="0",I28,IF(Architecture!E48="X",I28*Architecture!C48,I28)))</f>
        <v>44</v>
      </c>
      <c r="J29" s="98"/>
      <c r="K29" s="283" t="s">
        <v>262</v>
      </c>
      <c r="L29" s="281">
        <f>SUM(L23:L28)</f>
        <v>66.91015625</v>
      </c>
      <c r="M29" s="98"/>
      <c r="N29" s="98"/>
      <c r="O29" s="99"/>
    </row>
    <row r="30" spans="1:21" ht="16.2" thickBot="1" x14ac:dyDescent="0.35">
      <c r="A30" s="373"/>
      <c r="B30" s="309" t="str">
        <f>IF(D17="X","/var/backup","/var/cache/centreon/backup")</f>
        <v>/var/backup</v>
      </c>
      <c r="C30" s="274" t="str">
        <f>IF(D17="X","X",'AVV config'!C7)</f>
        <v>X</v>
      </c>
      <c r="D30" s="271">
        <f>IF(D17="X",10,"X")</f>
        <v>10</v>
      </c>
      <c r="E30" s="272"/>
      <c r="F30" s="273">
        <f>IF(F17="X",'AVV config'!C7,"X")</f>
        <v>10</v>
      </c>
      <c r="G30" s="98"/>
      <c r="H30" s="98"/>
      <c r="I30" s="98"/>
      <c r="J30" s="98"/>
      <c r="K30" s="98"/>
      <c r="L30" s="98"/>
      <c r="M30" s="98"/>
      <c r="N30" s="98"/>
      <c r="O30" s="99"/>
    </row>
    <row r="31" spans="1:21" ht="17.25" customHeight="1" thickBot="1" x14ac:dyDescent="0.35">
      <c r="A31" s="373"/>
      <c r="B31" s="309" t="s">
        <v>264</v>
      </c>
      <c r="C31" s="275" t="str">
        <f>IF(D17="X","X",'AVV config'!C11)</f>
        <v>X</v>
      </c>
      <c r="D31" s="275">
        <f>IF(D17="X",'AVV config'!C11,"X")</f>
        <v>5</v>
      </c>
      <c r="E31" s="276"/>
      <c r="F31" s="277"/>
      <c r="G31" s="98"/>
      <c r="H31" s="375" t="str">
        <f>IF(H17="X","In MAP, to show a large number of services, it is necessary to ask for the Centreon expertise","X")</f>
        <v>In MAP, to show a large number of services, it is necessary to ask for the Centreon expertise</v>
      </c>
      <c r="I31" s="376"/>
      <c r="J31" s="98"/>
      <c r="K31" s="98"/>
      <c r="L31" s="98"/>
      <c r="M31" s="98"/>
      <c r="N31" s="98"/>
      <c r="O31" s="99"/>
    </row>
    <row r="32" spans="1:21" ht="18" thickBot="1" x14ac:dyDescent="0.35">
      <c r="A32" s="373"/>
      <c r="B32" s="312" t="s">
        <v>252</v>
      </c>
      <c r="C32" s="278">
        <f>SUM(C23:C31)</f>
        <v>53.5</v>
      </c>
      <c r="D32" s="278">
        <f>SUM(D23:D31)</f>
        <v>96.489498275000003</v>
      </c>
      <c r="E32" s="278">
        <f>SUM(E23:E26,E28)</f>
        <v>38</v>
      </c>
      <c r="F32" s="279">
        <f>SUM(F23:F30)</f>
        <v>98</v>
      </c>
      <c r="G32" s="98"/>
      <c r="H32" s="377"/>
      <c r="I32" s="378"/>
      <c r="J32" s="98"/>
      <c r="K32" s="98"/>
      <c r="L32" s="98"/>
      <c r="M32" s="98"/>
      <c r="N32" s="98"/>
      <c r="O32" s="99"/>
    </row>
    <row r="33" spans="1:15" ht="18" thickBot="1" x14ac:dyDescent="0.35">
      <c r="A33" s="374"/>
      <c r="B33" s="307" t="s">
        <v>253</v>
      </c>
      <c r="C33" s="280">
        <f>IF(Architecture!L11="X",C32*2,IF(Architecture!L12="X",C32*2,C32))</f>
        <v>107</v>
      </c>
      <c r="D33" s="280">
        <f>IF(Architecture!L10="X",D32*2,IF(Architecture!L12="X",D32*2,D32))</f>
        <v>192.97899655000001</v>
      </c>
      <c r="E33" s="280">
        <f>IF(Architecture!D11&gt;0,Architecture!D11*E32,Architecture!C11*E32)</f>
        <v>38</v>
      </c>
      <c r="F33" s="281">
        <f>IF(Architecture!B12="X",IF(Architecture!D12&gt;0,Architecture!D12*F32,Architecture!C12*F32),0)</f>
        <v>98</v>
      </c>
      <c r="G33" s="98"/>
      <c r="H33" s="377"/>
      <c r="I33" s="378"/>
      <c r="J33" s="98"/>
      <c r="K33" s="98"/>
      <c r="L33" s="98"/>
      <c r="M33" s="98"/>
      <c r="N33" s="98"/>
      <c r="O33" s="99"/>
    </row>
    <row r="34" spans="1:15" ht="53.25" customHeight="1" thickBot="1" x14ac:dyDescent="0.4">
      <c r="A34" s="100"/>
      <c r="B34" s="282"/>
      <c r="C34" s="98"/>
      <c r="D34" s="98"/>
      <c r="E34" s="98"/>
      <c r="F34" s="98"/>
      <c r="G34" s="98"/>
      <c r="H34" s="379"/>
      <c r="I34" s="380"/>
      <c r="J34" s="98"/>
      <c r="K34" s="98"/>
      <c r="L34" s="98"/>
      <c r="M34" s="98"/>
      <c r="N34" s="98"/>
      <c r="O34" s="99"/>
    </row>
    <row r="35" spans="1:15" ht="42.6" thickBot="1" x14ac:dyDescent="0.3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227" t="s">
        <v>263</v>
      </c>
      <c r="L35" s="228">
        <f>SUM(C33,D33,E33,F33,I29,L29,O27)</f>
        <v>573.88915280000003</v>
      </c>
      <c r="M35" s="106"/>
      <c r="N35" s="106"/>
      <c r="O35" s="107"/>
    </row>
    <row r="58" spans="14:14" x14ac:dyDescent="0.3">
      <c r="N58" t="s">
        <v>274</v>
      </c>
    </row>
  </sheetData>
  <sheetProtection algorithmName="SHA-512" hashValue="HMmmtlF5RlYD3Oi4s0a64rxmJbaSwf8x23TOvO0PeXeRXaUcO5tKP7d/6L/ko0Mv5eZ321j+n3hCfZY0vFidmw==" saltValue="vCzkNMKFUyXya54huF/p4A==" spinCount="100000" sheet="1" selectLockedCells="1"/>
  <mergeCells count="15">
    <mergeCell ref="A1:Q1"/>
    <mergeCell ref="D18:D19"/>
    <mergeCell ref="B17:B18"/>
    <mergeCell ref="H18:I18"/>
    <mergeCell ref="K18:L18"/>
    <mergeCell ref="N18:O18"/>
    <mergeCell ref="K17:L17"/>
    <mergeCell ref="H17:I17"/>
    <mergeCell ref="N17:O17"/>
    <mergeCell ref="A15:O16"/>
    <mergeCell ref="C18:C19"/>
    <mergeCell ref="F18:F19"/>
    <mergeCell ref="E18:E19"/>
    <mergeCell ref="A17:A33"/>
    <mergeCell ref="H31:I34"/>
  </mergeCells>
  <conditionalFormatting sqref="H20:I21 H25:I26 I24">
    <cfRule type="containsText" dxfId="44" priority="40" operator="containsText" text="X">
      <formula>NOT(ISERROR(SEARCH("X",H20)))</formula>
    </cfRule>
  </conditionalFormatting>
  <conditionalFormatting sqref="K20:K21 K25:K26">
    <cfRule type="containsText" dxfId="43" priority="39" operator="containsText" text="X">
      <formula>NOT(ISERROR(SEARCH("X",K20)))</formula>
    </cfRule>
  </conditionalFormatting>
  <conditionalFormatting sqref="N20:N21 N25:N26">
    <cfRule type="containsText" dxfId="42" priority="38" operator="containsText" text="X">
      <formula>NOT(ISERROR(SEARCH("X",N20)))</formula>
    </cfRule>
  </conditionalFormatting>
  <conditionalFormatting sqref="F34:F2231">
    <cfRule type="containsText" dxfId="41" priority="37" operator="containsText" text="X">
      <formula>NOT(ISERROR(SEARCH("X",F34)))</formula>
    </cfRule>
  </conditionalFormatting>
  <conditionalFormatting sqref="E20:E21">
    <cfRule type="containsText" dxfId="40" priority="35" operator="containsText" text="X">
      <formula>NOT(ISERROR(SEARCH("X",E20)))</formula>
    </cfRule>
  </conditionalFormatting>
  <conditionalFormatting sqref="D27:D28 D20:D21">
    <cfRule type="containsText" dxfId="39" priority="29" operator="containsText" text="X">
      <formula>NOT(ISERROR(SEARCH("X",D20)))</formula>
    </cfRule>
  </conditionalFormatting>
  <conditionalFormatting sqref="L20:L21">
    <cfRule type="containsText" dxfId="38" priority="25" operator="containsText" text="X">
      <formula>NOT(ISERROR(SEARCH("X",L20)))</formula>
    </cfRule>
  </conditionalFormatting>
  <conditionalFormatting sqref="L24:L26">
    <cfRule type="containsText" dxfId="37" priority="24" operator="containsText" text="X">
      <formula>NOT(ISERROR(SEARCH("X",L24)))</formula>
    </cfRule>
  </conditionalFormatting>
  <conditionalFormatting sqref="F20:F21">
    <cfRule type="containsText" dxfId="36" priority="23" operator="containsText" text="X">
      <formula>NOT(ISERROR(SEARCH("X",F20)))</formula>
    </cfRule>
  </conditionalFormatting>
  <conditionalFormatting sqref="F24:F29">
    <cfRule type="containsText" dxfId="35" priority="22" operator="containsText" text="X">
      <formula>NOT(ISERROR(SEARCH("X",F24)))</formula>
    </cfRule>
  </conditionalFormatting>
  <conditionalFormatting sqref="O20:O21">
    <cfRule type="containsText" dxfId="34" priority="21" operator="containsText" text="X">
      <formula>NOT(ISERROR(SEARCH("X",O20)))</formula>
    </cfRule>
  </conditionalFormatting>
  <conditionalFormatting sqref="O24:O26">
    <cfRule type="containsText" dxfId="33" priority="20" operator="containsText" text="X">
      <formula>NOT(ISERROR(SEARCH("X",O24)))</formula>
    </cfRule>
  </conditionalFormatting>
  <conditionalFormatting sqref="C30:C31">
    <cfRule type="containsText" dxfId="32" priority="19" operator="containsText" text="X">
      <formula>NOT(ISERROR(SEARCH("X",C30)))</formula>
    </cfRule>
  </conditionalFormatting>
  <conditionalFormatting sqref="D24">
    <cfRule type="containsText" dxfId="31" priority="18" operator="containsText" text="X">
      <formula>NOT(ISERROR(SEARCH("X",D24)))</formula>
    </cfRule>
  </conditionalFormatting>
  <conditionalFormatting sqref="D26">
    <cfRule type="containsText" dxfId="30" priority="17" operator="containsText" text="X">
      <formula>NOT(ISERROR(SEARCH("X",D26)))</formula>
    </cfRule>
  </conditionalFormatting>
  <conditionalFormatting sqref="D25">
    <cfRule type="containsText" dxfId="29" priority="16" operator="containsText" text="X">
      <formula>NOT(ISERROR(SEARCH("X",D25)))</formula>
    </cfRule>
  </conditionalFormatting>
  <conditionalFormatting sqref="D29">
    <cfRule type="containsText" dxfId="28" priority="15" operator="containsText" text="X">
      <formula>NOT(ISERROR(SEARCH("X",D29)))</formula>
    </cfRule>
  </conditionalFormatting>
  <conditionalFormatting sqref="C23:F23 L23 O23 I23">
    <cfRule type="cellIs" dxfId="27" priority="12" operator="equal">
      <formula>"X"</formula>
    </cfRule>
  </conditionalFormatting>
  <conditionalFormatting sqref="C29">
    <cfRule type="cellIs" dxfId="26" priority="11" operator="equal">
      <formula>"X"</formula>
    </cfRule>
  </conditionalFormatting>
  <conditionalFormatting sqref="E24:E26 E28">
    <cfRule type="cellIs" dxfId="25" priority="10" operator="equal">
      <formula>"X"</formula>
    </cfRule>
  </conditionalFormatting>
  <conditionalFormatting sqref="H27">
    <cfRule type="containsText" dxfId="24" priority="9" operator="containsText" text="X">
      <formula>NOT(ISERROR(SEARCH("X",H27)))</formula>
    </cfRule>
  </conditionalFormatting>
  <conditionalFormatting sqref="I27">
    <cfRule type="containsText" dxfId="23" priority="8" operator="containsText" text="X">
      <formula>NOT(ISERROR(SEARCH("X",I27)))</formula>
    </cfRule>
  </conditionalFormatting>
  <conditionalFormatting sqref="K27">
    <cfRule type="containsText" dxfId="22" priority="7" operator="containsText" text="X">
      <formula>NOT(ISERROR(SEARCH("X",K27)))</formula>
    </cfRule>
  </conditionalFormatting>
  <conditionalFormatting sqref="L27">
    <cfRule type="containsText" dxfId="21" priority="6" operator="containsText" text="X">
      <formula>NOT(ISERROR(SEARCH("X",L27)))</formula>
    </cfRule>
  </conditionalFormatting>
  <conditionalFormatting sqref="K28">
    <cfRule type="containsText" dxfId="20" priority="5" operator="containsText" text="X">
      <formula>NOT(ISERROR(SEARCH("X",K28)))</formula>
    </cfRule>
  </conditionalFormatting>
  <conditionalFormatting sqref="L28">
    <cfRule type="containsText" dxfId="19" priority="4" operator="containsText" text="X">
      <formula>NOT(ISERROR(SEARCH("X",L28)))</formula>
    </cfRule>
  </conditionalFormatting>
  <conditionalFormatting sqref="F30">
    <cfRule type="containsText" dxfId="18" priority="3" operator="containsText" text="X">
      <formula>NOT(ISERROR(SEARCH("X",F30)))</formula>
    </cfRule>
  </conditionalFormatting>
  <conditionalFormatting sqref="D30:D31">
    <cfRule type="containsText" dxfId="17" priority="2" operator="containsText" text="X">
      <formula>NOT(ISERROR(SEARCH("X",D30)))</formula>
    </cfRule>
  </conditionalFormatting>
  <conditionalFormatting sqref="H31:I34">
    <cfRule type="cellIs" dxfId="16" priority="1" operator="equal">
      <formula>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625-9346-4778-A19D-91A0768FB6F1}">
  <dimension ref="A1:E36"/>
  <sheetViews>
    <sheetView workbookViewId="0">
      <selection sqref="A1:E2"/>
    </sheetView>
  </sheetViews>
  <sheetFormatPr baseColWidth="10" defaultRowHeight="14.4" x14ac:dyDescent="0.3"/>
  <cols>
    <col min="1" max="1" width="46.88671875" customWidth="1"/>
    <col min="2" max="2" width="24" customWidth="1"/>
    <col min="3" max="3" width="19.109375" customWidth="1"/>
  </cols>
  <sheetData>
    <row r="1" spans="1:5" ht="14.4" customHeight="1" x14ac:dyDescent="0.3">
      <c r="A1" s="350" t="s">
        <v>265</v>
      </c>
      <c r="B1" s="351"/>
      <c r="C1" s="351"/>
      <c r="D1" s="351"/>
      <c r="E1" s="352"/>
    </row>
    <row r="2" spans="1:5" ht="33.6" customHeight="1" thickBot="1" x14ac:dyDescent="0.35">
      <c r="A2" s="348"/>
      <c r="B2" s="349"/>
      <c r="C2" s="349"/>
      <c r="D2" s="349"/>
      <c r="E2" s="354"/>
    </row>
    <row r="3" spans="1:5" ht="15" thickBot="1" x14ac:dyDescent="0.35">
      <c r="A3" s="22" t="s">
        <v>266</v>
      </c>
      <c r="B3" s="237">
        <v>1000</v>
      </c>
      <c r="C3" s="98"/>
      <c r="D3" s="98"/>
      <c r="E3" s="99"/>
    </row>
    <row r="4" spans="1:5" ht="15" thickBot="1" x14ac:dyDescent="0.35">
      <c r="A4" s="22" t="s">
        <v>267</v>
      </c>
      <c r="B4" s="211">
        <v>10000</v>
      </c>
      <c r="C4" s="98"/>
      <c r="D4" s="98"/>
      <c r="E4" s="99"/>
    </row>
    <row r="5" spans="1:5" ht="15" thickBot="1" x14ac:dyDescent="0.35">
      <c r="A5" s="22" t="s">
        <v>268</v>
      </c>
      <c r="B5" s="238"/>
      <c r="C5" s="98"/>
      <c r="D5" s="98"/>
      <c r="E5" s="99"/>
    </row>
    <row r="6" spans="1:5" x14ac:dyDescent="0.3">
      <c r="C6" s="98"/>
      <c r="D6" s="98"/>
      <c r="E6" s="99"/>
    </row>
    <row r="7" spans="1:5" x14ac:dyDescent="0.3">
      <c r="A7" s="100"/>
      <c r="B7" s="98"/>
      <c r="C7" s="98"/>
      <c r="D7" s="98"/>
      <c r="E7" s="99"/>
    </row>
    <row r="8" spans="1:5" ht="29.4" customHeight="1" thickBot="1" x14ac:dyDescent="0.35">
      <c r="A8" s="338" t="s">
        <v>269</v>
      </c>
      <c r="B8" s="339"/>
      <c r="C8" s="339"/>
      <c r="D8" s="340"/>
      <c r="E8" s="291" t="s">
        <v>240</v>
      </c>
    </row>
    <row r="9" spans="1:5" ht="15" thickBot="1" x14ac:dyDescent="0.35">
      <c r="A9" s="292" t="s">
        <v>241</v>
      </c>
      <c r="B9" s="293"/>
      <c r="C9" s="294"/>
      <c r="D9" s="51">
        <v>12</v>
      </c>
      <c r="E9" s="34">
        <f>(D9/12)*365</f>
        <v>365</v>
      </c>
    </row>
    <row r="10" spans="1:5" ht="15" thickBot="1" x14ac:dyDescent="0.35">
      <c r="A10" s="288" t="s">
        <v>242</v>
      </c>
      <c r="B10" s="289"/>
      <c r="C10" s="290"/>
      <c r="D10" s="51">
        <v>6</v>
      </c>
      <c r="E10" s="34">
        <f>(D10/12)*365</f>
        <v>182.5</v>
      </c>
    </row>
    <row r="11" spans="1:5" ht="14.4" customHeight="1" thickBot="1" x14ac:dyDescent="0.35">
      <c r="A11" s="341" t="s">
        <v>243</v>
      </c>
      <c r="B11" s="342"/>
      <c r="C11" s="343"/>
      <c r="D11" s="51">
        <v>6</v>
      </c>
      <c r="E11" s="34">
        <f>(D11/12)*365</f>
        <v>182.5</v>
      </c>
    </row>
    <row r="12" spans="1:5" ht="14.4" customHeight="1" thickBot="1" x14ac:dyDescent="0.35">
      <c r="A12" s="288" t="s">
        <v>244</v>
      </c>
      <c r="B12" s="289"/>
      <c r="C12" s="290"/>
      <c r="D12" s="51">
        <v>1</v>
      </c>
      <c r="E12" s="34">
        <f>(D12/12)*365</f>
        <v>30.416666666666664</v>
      </c>
    </row>
    <row r="13" spans="1:5" ht="15" customHeight="1" x14ac:dyDescent="0.3">
      <c r="A13" s="100"/>
      <c r="B13" s="98"/>
      <c r="C13" s="98"/>
      <c r="D13" s="98"/>
      <c r="E13" s="99"/>
    </row>
    <row r="14" spans="1:5" ht="15" customHeight="1" thickBot="1" x14ac:dyDescent="0.35">
      <c r="A14" s="100"/>
      <c r="B14" s="98"/>
      <c r="C14" s="98"/>
      <c r="D14" s="98"/>
      <c r="E14" s="99"/>
    </row>
    <row r="15" spans="1:5" ht="27.6" customHeight="1" x14ac:dyDescent="0.3">
      <c r="A15" s="254" t="s">
        <v>233</v>
      </c>
      <c r="B15" s="254" t="s">
        <v>234</v>
      </c>
      <c r="C15" s="254" t="s">
        <v>235</v>
      </c>
      <c r="D15" s="19" t="s">
        <v>236</v>
      </c>
      <c r="E15" s="99"/>
    </row>
    <row r="16" spans="1:5" x14ac:dyDescent="0.3">
      <c r="A16" s="261" t="s">
        <v>270</v>
      </c>
      <c r="B16" s="260" t="s">
        <v>0</v>
      </c>
      <c r="C16" s="242">
        <f>IF(B16="X",IF(B4&gt;0,IF(B4&lt;=2000,"0",IF(B4&gt;2000,ROUNDUP(B4/7500,0))),IF(Architecture!B3&lt;=2000,"0",IF(B4&gt;2000,ROUNDUP(B4/7500,0)))),0)</f>
        <v>2</v>
      </c>
      <c r="D16" s="211">
        <v>3</v>
      </c>
      <c r="E16" s="99"/>
    </row>
    <row r="17" spans="1:5" ht="15" thickBot="1" x14ac:dyDescent="0.35">
      <c r="A17" s="261" t="s">
        <v>271</v>
      </c>
      <c r="B17" s="260"/>
      <c r="C17" s="259"/>
      <c r="D17" s="262"/>
      <c r="E17" s="99"/>
    </row>
    <row r="18" spans="1:5" ht="18.600000000000001" thickBot="1" x14ac:dyDescent="0.35">
      <c r="A18" s="386" t="s">
        <v>182</v>
      </c>
      <c r="B18" s="387"/>
      <c r="C18" s="381">
        <f>IF(D16="",C16,D16)</f>
        <v>3</v>
      </c>
      <c r="D18" s="382"/>
      <c r="E18" s="99"/>
    </row>
    <row r="19" spans="1:5" ht="18.600000000000001" thickBot="1" x14ac:dyDescent="0.35">
      <c r="A19" s="388" t="s">
        <v>272</v>
      </c>
      <c r="B19" s="389"/>
      <c r="C19" s="346">
        <f>IF(B17="X",B4/(C18+1),B4/(C18))</f>
        <v>3333.3333333333335</v>
      </c>
      <c r="D19" s="347"/>
      <c r="E19" s="99"/>
    </row>
    <row r="20" spans="1:5" ht="18.600000000000001" thickBot="1" x14ac:dyDescent="0.35">
      <c r="A20" s="388" t="s">
        <v>273</v>
      </c>
      <c r="B20" s="390"/>
      <c r="C20" s="383">
        <f>B4</f>
        <v>10000</v>
      </c>
      <c r="D20" s="347"/>
      <c r="E20" s="99"/>
    </row>
    <row r="21" spans="1:5" ht="15" thickBot="1" x14ac:dyDescent="0.35">
      <c r="A21" s="100"/>
      <c r="B21" s="98"/>
      <c r="C21" s="98"/>
      <c r="D21" s="98"/>
      <c r="E21" s="99"/>
    </row>
    <row r="22" spans="1:5" ht="16.2" customHeight="1" thickBot="1" x14ac:dyDescent="0.35">
      <c r="A22" s="217"/>
      <c r="B22" s="391" t="str">
        <f>1&amp;" Remote Server"</f>
        <v>1 Remote Server</v>
      </c>
      <c r="C22" s="393" t="str">
        <f>IF(D16&gt;0,D16&amp;" Poller(s)",C16&amp;" Poller(s)")</f>
        <v>3 Poller(s)</v>
      </c>
      <c r="D22" s="98"/>
      <c r="E22" s="99"/>
    </row>
    <row r="23" spans="1:5" ht="18" thickBot="1" x14ac:dyDescent="0.35">
      <c r="A23" s="307" t="s">
        <v>254</v>
      </c>
      <c r="B23" s="392"/>
      <c r="C23" s="394"/>
      <c r="D23" s="98"/>
      <c r="E23" s="99"/>
    </row>
    <row r="24" spans="1:5" ht="41.4" customHeight="1" x14ac:dyDescent="0.3">
      <c r="A24" s="91" t="s">
        <v>6</v>
      </c>
      <c r="B24" s="93" t="str">
        <f>IF(C20&lt;='Final sizing'!C3,"1vCPU",IF(AND(C20&gt;'Final sizing'!B4,C20&lt;='Final sizing'!C4),"2vCPU",IF(AND(C20&gt;'Final sizing'!B5,C20&lt;='Final sizing'!C5),"4vCPU",IF(C20&gt;'Final sizing'!B6,"4vCPU","Consulter Centreon"))))</f>
        <v>4vCPU</v>
      </c>
      <c r="C24" s="93" t="str">
        <f>IF(B16="",0,IF(C19&lt;='Final sizing'!I3,"2vCPU",IF(AND(C19&gt;='Final sizing'!I3,C19&lt;='Final sizing'!I4),"4vCPU","Consulter Centreon")))</f>
        <v>2vCPU</v>
      </c>
      <c r="D24" s="218"/>
      <c r="E24" s="99"/>
    </row>
    <row r="25" spans="1:5" ht="16.2" thickBot="1" x14ac:dyDescent="0.4">
      <c r="A25" s="91" t="s">
        <v>257</v>
      </c>
      <c r="B25" s="93" t="str">
        <f>IF(C20&lt;='Final sizing'!C3,"1",IF(AND(C20&gt;'Final sizing'!C3,C20&lt;='Final sizing'!C4),"2",IF(AND(C20&gt;'Final sizing'!C4,C20&lt;='Final sizing'!C5),"4",IF(AND(C20&gt;'Final sizing'!C5,C20&lt;='Final sizing'!C8),"8","Consulter Centreon"))))</f>
        <v>8</v>
      </c>
      <c r="C25" s="266" t="str">
        <f>IF(B16="",0,IF(C19&lt;='Final sizing'!I3,"2",IF(AND(C19&gt;='Final sizing'!I3,C19&lt;=I7),"4","Consulter Centreon")))</f>
        <v>2</v>
      </c>
      <c r="D25" s="218"/>
      <c r="E25" s="99"/>
    </row>
    <row r="26" spans="1:5" ht="18" thickBot="1" x14ac:dyDescent="0.35">
      <c r="A26" s="307" t="s">
        <v>255</v>
      </c>
      <c r="B26" s="283" t="s">
        <v>256</v>
      </c>
      <c r="C26" s="283" t="s">
        <v>256</v>
      </c>
      <c r="D26" s="98"/>
      <c r="E26" s="99"/>
    </row>
    <row r="27" spans="1:5" ht="15.6" x14ac:dyDescent="0.3">
      <c r="A27" s="92" t="s">
        <v>175</v>
      </c>
      <c r="B27" s="94">
        <f>1</f>
        <v>1</v>
      </c>
      <c r="C27" s="94">
        <f>IF(B16="",0,1)</f>
        <v>1</v>
      </c>
      <c r="D27" s="218"/>
      <c r="E27" s="99"/>
    </row>
    <row r="28" spans="1:5" ht="32.4" x14ac:dyDescent="0.3">
      <c r="A28" s="92" t="s">
        <v>276</v>
      </c>
      <c r="B28" s="93">
        <v>20</v>
      </c>
      <c r="C28" s="94">
        <f>IF(B16="",0,20)</f>
        <v>20</v>
      </c>
      <c r="D28" s="218"/>
      <c r="E28" s="99"/>
    </row>
    <row r="29" spans="1:5" ht="15.6" x14ac:dyDescent="0.3">
      <c r="A29" s="91" t="s">
        <v>4</v>
      </c>
      <c r="B29" s="93" t="str">
        <f>B25</f>
        <v>8</v>
      </c>
      <c r="C29" s="253" t="str">
        <f>C25</f>
        <v>2</v>
      </c>
      <c r="D29" s="218"/>
      <c r="E29" s="99"/>
    </row>
    <row r="30" spans="1:5" ht="32.4" x14ac:dyDescent="0.3">
      <c r="A30" s="92" t="s">
        <v>277</v>
      </c>
      <c r="B30" s="93">
        <v>10</v>
      </c>
      <c r="C30" s="94">
        <f>IF(B16="",0,10)</f>
        <v>10</v>
      </c>
      <c r="D30" s="219"/>
      <c r="E30" s="99"/>
    </row>
    <row r="31" spans="1:5" ht="15.6" x14ac:dyDescent="0.3">
      <c r="A31" s="91" t="s">
        <v>3</v>
      </c>
      <c r="B31" s="95">
        <f>IF(C20&lt;='Final sizing'!C3,'Final sizing'!F3,IF(AND(C20&gt;'Final sizing'!B4,C20&lt;='Final sizing'!C4),'Final sizing'!F4,'RS so Main server and BI serve'!H70))</f>
        <v>27</v>
      </c>
      <c r="C31" s="61"/>
      <c r="D31" s="98"/>
      <c r="E31" s="99"/>
    </row>
    <row r="32" spans="1:5" ht="32.4" x14ac:dyDescent="0.3">
      <c r="A32" s="92" t="s">
        <v>251</v>
      </c>
      <c r="B32" s="93">
        <v>5</v>
      </c>
      <c r="C32" s="94">
        <f>IF(B16="",0,IF(C19&lt;'Final sizing'!I3,5,IF(AND(C19&gt;'Final sizing'!I3,C19&lt;'Final sizing'!I4),"10","Consulter Centreon")))</f>
        <v>5</v>
      </c>
      <c r="D32" s="218"/>
      <c r="E32" s="99"/>
    </row>
    <row r="33" spans="1:5" ht="15.6" x14ac:dyDescent="0.3">
      <c r="A33" s="91" t="s">
        <v>2</v>
      </c>
      <c r="B33" s="95">
        <f>IF(C20&lt;='Final sizing'!C3,'Final sizing'!F3,IF(AND(C20&gt;'Final sizing'!B4,C20&lt;='Final sizing'!C4),'Final sizing'!F4,'RS so Main server and BI serve'!H77))</f>
        <v>92.274019774999999</v>
      </c>
      <c r="C33" s="61"/>
      <c r="D33" s="98"/>
      <c r="E33" s="99"/>
    </row>
    <row r="34" spans="1:5" ht="16.2" thickBot="1" x14ac:dyDescent="0.4">
      <c r="A34" s="91" t="s">
        <v>1</v>
      </c>
      <c r="B34" s="266" t="s">
        <v>275</v>
      </c>
      <c r="C34" s="61"/>
      <c r="D34" s="98"/>
      <c r="E34" s="99"/>
    </row>
    <row r="35" spans="1:5" ht="18" thickBot="1" x14ac:dyDescent="0.35">
      <c r="A35" s="312" t="s">
        <v>252</v>
      </c>
      <c r="B35" s="267">
        <f>SUM(B27:B34)</f>
        <v>155.274019775</v>
      </c>
      <c r="C35" s="264">
        <f>SUM(C27:C30,C32)</f>
        <v>36</v>
      </c>
      <c r="D35" s="98"/>
      <c r="E35" s="99"/>
    </row>
    <row r="36" spans="1:5" ht="18" thickBot="1" x14ac:dyDescent="0.35">
      <c r="A36" s="307" t="s">
        <v>253</v>
      </c>
      <c r="B36" s="384">
        <f>SUM(B35)+IF(D16="",SUM(C27:C30,C32)*C16,SUM(C27:C30,C32)*D16)</f>
        <v>263.274019775</v>
      </c>
      <c r="C36" s="385"/>
      <c r="D36" s="106"/>
      <c r="E36" s="107"/>
    </row>
  </sheetData>
  <sheetProtection algorithmName="SHA-512" hashValue="CT/7VTVvjIim1e12UuRZTIBjqPKbVKZqzjvY/29xb3AuxtDG9bfvYYNFnkjYL+W16KsER3om9ppvWLWZ1d/ryA==" saltValue="+BYZRa/RrWcrd9j98i9Tbw==" spinCount="100000" sheet="1" objects="1" scenarios="1"/>
  <mergeCells count="12">
    <mergeCell ref="C20:D20"/>
    <mergeCell ref="B36:C36"/>
    <mergeCell ref="A18:B18"/>
    <mergeCell ref="A19:B19"/>
    <mergeCell ref="A20:B20"/>
    <mergeCell ref="B22:B23"/>
    <mergeCell ref="C22:C23"/>
    <mergeCell ref="A1:E2"/>
    <mergeCell ref="A8:D8"/>
    <mergeCell ref="A11:C11"/>
    <mergeCell ref="C18:D18"/>
    <mergeCell ref="C19:D19"/>
  </mergeCells>
  <conditionalFormatting sqref="B24:B25">
    <cfRule type="containsText" dxfId="15" priority="10" operator="containsText" text="X">
      <formula>NOT(ISERROR(SEARCH("X",B24)))</formula>
    </cfRule>
  </conditionalFormatting>
  <conditionalFormatting sqref="B28:B33">
    <cfRule type="containsText" dxfId="14" priority="9" operator="containsText" text="X">
      <formula>NOT(ISERROR(SEARCH("X",B28)))</formula>
    </cfRule>
  </conditionalFormatting>
  <conditionalFormatting sqref="B27">
    <cfRule type="cellIs" dxfId="13" priority="8" operator="equal">
      <formula>"X"</formula>
    </cfRule>
  </conditionalFormatting>
  <conditionalFormatting sqref="C16:C17">
    <cfRule type="cellIs" dxfId="12" priority="6" operator="equal">
      <formula>0</formula>
    </cfRule>
  </conditionalFormatting>
  <conditionalFormatting sqref="C24">
    <cfRule type="containsText" dxfId="11" priority="5" operator="containsText" text="X">
      <formula>NOT(ISERROR(SEARCH("X",C24)))</formula>
    </cfRule>
  </conditionalFormatting>
  <conditionalFormatting sqref="C27">
    <cfRule type="cellIs" dxfId="10" priority="4" operator="equal">
      <formula>"X"</formula>
    </cfRule>
  </conditionalFormatting>
  <conditionalFormatting sqref="C28 C32 C30">
    <cfRule type="cellIs" dxfId="9" priority="3" operator="equal">
      <formula>"X"</formula>
    </cfRule>
  </conditionalFormatting>
  <conditionalFormatting sqref="C24 C27:C28 C30:C34">
    <cfRule type="cellIs" dxfId="8" priority="2" operator="equal">
      <formula>0</formula>
    </cfRule>
  </conditionalFormatting>
  <conditionalFormatting sqref="D17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0728-6631-42F2-A023-35AB0C13B6F2}">
  <dimension ref="A1:S80"/>
  <sheetViews>
    <sheetView topLeftCell="A3" zoomScale="70" zoomScaleNormal="70" workbookViewId="0">
      <selection activeCell="D8" sqref="D8"/>
    </sheetView>
  </sheetViews>
  <sheetFormatPr baseColWidth="10" defaultColWidth="11.44140625" defaultRowHeight="12.6" x14ac:dyDescent="0.3"/>
  <cols>
    <col min="1" max="1" width="8.6640625" style="127" customWidth="1"/>
    <col min="2" max="2" width="3.88671875" style="127" customWidth="1"/>
    <col min="3" max="3" width="40.6640625" style="127" bestFit="1" customWidth="1"/>
    <col min="4" max="4" width="23" style="127" bestFit="1" customWidth="1"/>
    <col min="5" max="5" width="28.6640625" style="127" bestFit="1" customWidth="1"/>
    <col min="6" max="6" width="23.44140625" style="127" bestFit="1" customWidth="1"/>
    <col min="7" max="7" width="28.88671875" style="127" customWidth="1"/>
    <col min="8" max="8" width="24" style="127" customWidth="1"/>
    <col min="9" max="9" width="26.33203125" style="127" customWidth="1"/>
    <col min="10" max="10" width="29" style="127" customWidth="1"/>
    <col min="11" max="11" width="22.88671875" style="127" customWidth="1"/>
    <col min="12" max="16384" width="11.44140625" style="127"/>
  </cols>
  <sheetData>
    <row r="1" spans="1:19" ht="15" customHeight="1" x14ac:dyDescent="0.3">
      <c r="A1" s="401" t="s">
        <v>173</v>
      </c>
      <c r="B1" s="401"/>
      <c r="C1" s="401"/>
      <c r="D1" s="401"/>
      <c r="E1" s="402" t="s">
        <v>172</v>
      </c>
      <c r="F1" s="402"/>
      <c r="G1" s="402"/>
      <c r="H1" s="221"/>
      <c r="M1" s="128" t="s">
        <v>171</v>
      </c>
    </row>
    <row r="2" spans="1:19" ht="13.2" thickBot="1" x14ac:dyDescent="0.35"/>
    <row r="3" spans="1:19" s="130" customFormat="1" ht="24.75" customHeight="1" x14ac:dyDescent="0.3">
      <c r="A3" s="403" t="s">
        <v>170</v>
      </c>
      <c r="B3" s="404"/>
      <c r="C3" s="404"/>
      <c r="D3" s="404"/>
      <c r="E3" s="404"/>
      <c r="F3" s="404" t="s">
        <v>169</v>
      </c>
      <c r="G3" s="405"/>
      <c r="H3" s="129"/>
    </row>
    <row r="4" spans="1:19" s="130" customFormat="1" ht="29.25" customHeight="1" thickBot="1" x14ac:dyDescent="0.35">
      <c r="A4" s="406" t="s">
        <v>168</v>
      </c>
      <c r="B4" s="407"/>
      <c r="C4" s="407"/>
      <c r="D4" s="407"/>
      <c r="E4" s="407"/>
      <c r="F4" s="407"/>
      <c r="G4" s="408"/>
      <c r="H4" s="131"/>
    </row>
    <row r="5" spans="1:19" ht="13.2" thickBot="1" x14ac:dyDescent="0.35"/>
    <row r="6" spans="1:19" ht="22.5" customHeight="1" thickTop="1" x14ac:dyDescent="0.3">
      <c r="A6" s="395" t="s">
        <v>130</v>
      </c>
      <c r="B6" s="132"/>
      <c r="C6" s="397" t="s">
        <v>167</v>
      </c>
      <c r="D6" s="397"/>
      <c r="E6" s="397"/>
      <c r="F6" s="397"/>
      <c r="G6" s="398"/>
      <c r="H6" s="133"/>
      <c r="I6" s="134"/>
      <c r="J6" s="134"/>
      <c r="K6" s="134"/>
    </row>
    <row r="7" spans="1:19" ht="37.799999999999997" x14ac:dyDescent="0.3">
      <c r="A7" s="396"/>
      <c r="B7" s="135"/>
      <c r="C7" s="136" t="s">
        <v>166</v>
      </c>
      <c r="D7" s="136" t="s">
        <v>165</v>
      </c>
      <c r="E7" s="136" t="s">
        <v>164</v>
      </c>
      <c r="F7" s="136" t="s">
        <v>163</v>
      </c>
      <c r="G7" s="137" t="s">
        <v>162</v>
      </c>
      <c r="H7" s="138" t="s">
        <v>161</v>
      </c>
      <c r="I7" s="139" t="s">
        <v>160</v>
      </c>
      <c r="J7" s="139" t="s">
        <v>159</v>
      </c>
      <c r="K7" s="139" t="s">
        <v>158</v>
      </c>
    </row>
    <row r="8" spans="1:19" ht="14.4" x14ac:dyDescent="0.3">
      <c r="A8" s="396"/>
      <c r="B8" s="135"/>
      <c r="C8" s="140" t="s">
        <v>157</v>
      </c>
      <c r="D8" s="216">
        <f>IF('Poller Sizing'!D8="",'Poller Sizing'!B4/'Poller Sizing'!C8,'Poller Sizing'!B4/'Poller Sizing'!D8)</f>
        <v>9000</v>
      </c>
      <c r="E8" s="141">
        <v>2</v>
      </c>
      <c r="F8" s="141">
        <v>5</v>
      </c>
      <c r="G8" s="142">
        <f>IF('Poller Sizing'!B5="",D8*E8,'Poller Sizing'!B5)</f>
        <v>18000</v>
      </c>
      <c r="H8" s="143" t="e">
        <f>'Poller Sizing'!#REF!*(86400/(F8*60))*G8</f>
        <v>#REF!</v>
      </c>
      <c r="I8" s="144" t="e">
        <f>(('Poller Sizing'!#REF!*24*60)/F8)*D8</f>
        <v>#REF!</v>
      </c>
      <c r="J8" s="145" t="e">
        <f>((450000*5/F8)*G8)*('Poller Sizing'!#REF!/6)</f>
        <v>#REF!</v>
      </c>
      <c r="K8" s="145" t="e">
        <f>IF(E8&lt;&gt;0,((450000*5/F8)*D8)*('Poller Sizing'!#REF!/6),0)</f>
        <v>#REF!</v>
      </c>
      <c r="R8" s="146"/>
      <c r="S8" s="147"/>
    </row>
    <row r="9" spans="1:19" ht="14.4" x14ac:dyDescent="0.3">
      <c r="A9" s="396"/>
      <c r="B9" s="135"/>
      <c r="C9" s="140" t="s">
        <v>156</v>
      </c>
      <c r="D9" s="141">
        <v>0</v>
      </c>
      <c r="E9" s="141">
        <v>2</v>
      </c>
      <c r="F9" s="141">
        <v>5</v>
      </c>
      <c r="G9" s="142">
        <f t="shared" ref="G9:G32" si="0">D9*E9</f>
        <v>0</v>
      </c>
      <c r="H9" s="143">
        <f>Architecture!$E$23*(86400/(F9*60))*G9</f>
        <v>0</v>
      </c>
      <c r="I9" s="144">
        <f>((Architecture!$E$21*24*60)/F9)*D9</f>
        <v>0</v>
      </c>
      <c r="J9" s="145">
        <f>((450000*5/F9)*G9)*(Architecture!$D$22/6)</f>
        <v>0</v>
      </c>
      <c r="K9" s="145">
        <f>IF(E9&lt;&gt;0,((450000*5/F9)*D9)*(Architecture!$D$22/6),0)</f>
        <v>0</v>
      </c>
      <c r="R9" s="146"/>
      <c r="S9" s="147"/>
    </row>
    <row r="10" spans="1:19" ht="14.4" x14ac:dyDescent="0.3">
      <c r="A10" s="396"/>
      <c r="B10" s="135"/>
      <c r="C10" s="140" t="s">
        <v>155</v>
      </c>
      <c r="D10" s="148">
        <v>0</v>
      </c>
      <c r="E10" s="148">
        <v>2</v>
      </c>
      <c r="F10" s="141">
        <v>5</v>
      </c>
      <c r="G10" s="142">
        <f>D10*E10</f>
        <v>0</v>
      </c>
      <c r="H10" s="143">
        <f>Architecture!$E$23*(86400/(F10*60))*G10</f>
        <v>0</v>
      </c>
      <c r="I10" s="144">
        <f>((Architecture!$E$21*24*60)/F10)*D10</f>
        <v>0</v>
      </c>
      <c r="J10" s="145">
        <f>((450000*5/F10)*G10)*(Architecture!$D$22/6)</f>
        <v>0</v>
      </c>
      <c r="K10" s="145">
        <f>IF(E10&lt;&gt;0,((450000*5/F10)*D10)*(Architecture!$D$22/6),0)</f>
        <v>0</v>
      </c>
      <c r="R10" s="146"/>
      <c r="S10" s="147"/>
    </row>
    <row r="11" spans="1:19" ht="14.4" x14ac:dyDescent="0.3">
      <c r="A11" s="396"/>
      <c r="B11" s="135"/>
      <c r="C11" s="140" t="s">
        <v>154</v>
      </c>
      <c r="D11" s="148">
        <v>0</v>
      </c>
      <c r="E11" s="148">
        <v>1</v>
      </c>
      <c r="F11" s="141">
        <v>5</v>
      </c>
      <c r="G11" s="142">
        <f t="shared" si="0"/>
        <v>0</v>
      </c>
      <c r="H11" s="143">
        <f>Architecture!$E$23*(86400/(F11*60))*G11</f>
        <v>0</v>
      </c>
      <c r="I11" s="144">
        <f>((Architecture!$E$21*24*60)/F11)*D11</f>
        <v>0</v>
      </c>
      <c r="J11" s="145">
        <f>((450000*5/F11)*G11)*(Architecture!$D$22/6)</f>
        <v>0</v>
      </c>
      <c r="K11" s="145">
        <f>IF(E11&lt;&gt;0,((450000*5/F11)*D11)*(Architecture!$D$22/6),0)</f>
        <v>0</v>
      </c>
      <c r="R11" s="146"/>
      <c r="S11" s="147"/>
    </row>
    <row r="12" spans="1:19" ht="14.4" x14ac:dyDescent="0.3">
      <c r="A12" s="396"/>
      <c r="B12" s="135"/>
      <c r="C12" s="140" t="s">
        <v>153</v>
      </c>
      <c r="D12" s="141">
        <v>0</v>
      </c>
      <c r="E12" s="141">
        <v>1</v>
      </c>
      <c r="F12" s="141">
        <v>5</v>
      </c>
      <c r="G12" s="142">
        <f t="shared" si="0"/>
        <v>0</v>
      </c>
      <c r="H12" s="143">
        <f>Architecture!$E$23*(86400/(F12*60))*G12</f>
        <v>0</v>
      </c>
      <c r="I12" s="144">
        <f>((Architecture!$E$21*24*60)/F12)*D12</f>
        <v>0</v>
      </c>
      <c r="J12" s="145">
        <f>((450000*5/F12)*G12)*(Architecture!$D$22/6)</f>
        <v>0</v>
      </c>
      <c r="K12" s="145">
        <f>IF(E12&lt;&gt;0,((450000*5/F12)*D12)*(Architecture!$D$22/6),0)</f>
        <v>0</v>
      </c>
      <c r="R12" s="146"/>
      <c r="S12" s="147"/>
    </row>
    <row r="13" spans="1:19" ht="14.4" x14ac:dyDescent="0.3">
      <c r="A13" s="396"/>
      <c r="B13" s="135"/>
      <c r="C13" s="140" t="s">
        <v>152</v>
      </c>
      <c r="D13" s="148">
        <v>0</v>
      </c>
      <c r="E13" s="148">
        <v>2</v>
      </c>
      <c r="F13" s="148">
        <v>5</v>
      </c>
      <c r="G13" s="142">
        <f t="shared" si="0"/>
        <v>0</v>
      </c>
      <c r="H13" s="143">
        <f>Architecture!$E$23*(86400/(F13*60))*G13</f>
        <v>0</v>
      </c>
      <c r="I13" s="144">
        <f>((Architecture!$E$21*24*60)/F13)*D13</f>
        <v>0</v>
      </c>
      <c r="J13" s="145">
        <f>((450000*5/F13)*G13)*(Architecture!$D$22/6)</f>
        <v>0</v>
      </c>
      <c r="K13" s="145">
        <f>IF(E13&lt;&gt;0,((450000*5/F13)*D13)*(Architecture!$D$22/6),0)</f>
        <v>0</v>
      </c>
      <c r="R13" s="146"/>
      <c r="S13" s="147"/>
    </row>
    <row r="14" spans="1:19" ht="14.4" x14ac:dyDescent="0.3">
      <c r="A14" s="396"/>
      <c r="B14" s="135"/>
      <c r="C14" s="140" t="s">
        <v>151</v>
      </c>
      <c r="D14" s="141">
        <v>0</v>
      </c>
      <c r="E14" s="141">
        <v>0</v>
      </c>
      <c r="F14" s="141">
        <v>5</v>
      </c>
      <c r="G14" s="142">
        <f t="shared" si="0"/>
        <v>0</v>
      </c>
      <c r="H14" s="143">
        <f>Architecture!$E$23*(86400/(F14*60))*G14</f>
        <v>0</v>
      </c>
      <c r="I14" s="144">
        <f>((Architecture!$E$21*24*60)/F14)*D14</f>
        <v>0</v>
      </c>
      <c r="J14" s="145">
        <f>((450000*5/F14)*G14)*(Architecture!$D$22/6)</f>
        <v>0</v>
      </c>
      <c r="K14" s="145">
        <f>IF(E14&lt;&gt;0,((450000*5/F14)*D14)*(Architecture!$D$22/6),0)</f>
        <v>0</v>
      </c>
      <c r="R14" s="146"/>
      <c r="S14" s="147"/>
    </row>
    <row r="15" spans="1:19" ht="14.4" x14ac:dyDescent="0.3">
      <c r="A15" s="396"/>
      <c r="B15" s="135"/>
      <c r="C15" s="140" t="s">
        <v>150</v>
      </c>
      <c r="D15" s="141">
        <v>0</v>
      </c>
      <c r="E15" s="141">
        <v>2</v>
      </c>
      <c r="F15" s="141">
        <v>5</v>
      </c>
      <c r="G15" s="142">
        <f t="shared" si="0"/>
        <v>0</v>
      </c>
      <c r="H15" s="143">
        <f>Architecture!$E$23*(86400/(F15*60))*G15</f>
        <v>0</v>
      </c>
      <c r="I15" s="144">
        <f>((Architecture!$E$21*24*60)/F15)*D15</f>
        <v>0</v>
      </c>
      <c r="J15" s="145">
        <f>((450000*5/F15)*G15)*(Architecture!$D$22/6)</f>
        <v>0</v>
      </c>
      <c r="K15" s="145">
        <f>IF(E15&lt;&gt;0,((450000*5/F15)*D15)*(Architecture!$D$22/6),0)</f>
        <v>0</v>
      </c>
      <c r="R15" s="146"/>
      <c r="S15" s="147"/>
    </row>
    <row r="16" spans="1:19" ht="14.4" x14ac:dyDescent="0.3">
      <c r="A16" s="396"/>
      <c r="B16" s="135"/>
      <c r="C16" s="140" t="s">
        <v>149</v>
      </c>
      <c r="D16" s="148">
        <v>0</v>
      </c>
      <c r="E16" s="148">
        <v>4</v>
      </c>
      <c r="F16" s="148">
        <v>5</v>
      </c>
      <c r="G16" s="142">
        <f t="shared" si="0"/>
        <v>0</v>
      </c>
      <c r="H16" s="143">
        <f>Architecture!$E$23*(86400/(F16*60))*G16</f>
        <v>0</v>
      </c>
      <c r="I16" s="144">
        <f>((Architecture!$E$21*24*60)/F16)*D16</f>
        <v>0</v>
      </c>
      <c r="J16" s="145">
        <f>((450000*5/F16)*G16)*(Architecture!$D$22/6)</f>
        <v>0</v>
      </c>
      <c r="K16" s="145">
        <f>IF(E16&lt;&gt;0,((450000*5/F16)*D16)*(Architecture!$D$22/6),0)</f>
        <v>0</v>
      </c>
      <c r="R16" s="146"/>
      <c r="S16" s="147"/>
    </row>
    <row r="17" spans="1:19" ht="14.4" x14ac:dyDescent="0.3">
      <c r="A17" s="396"/>
      <c r="B17" s="135"/>
      <c r="C17" s="140" t="s">
        <v>148</v>
      </c>
      <c r="D17" s="141">
        <v>0</v>
      </c>
      <c r="E17" s="141">
        <v>0</v>
      </c>
      <c r="F17" s="141">
        <v>60</v>
      </c>
      <c r="G17" s="142">
        <f t="shared" si="0"/>
        <v>0</v>
      </c>
      <c r="H17" s="143">
        <f>Architecture!$E$23*(86400/(F17*60))*G17</f>
        <v>0</v>
      </c>
      <c r="I17" s="144">
        <f>((Architecture!$E$21*24*60)/F17)*D17</f>
        <v>0</v>
      </c>
      <c r="J17" s="145">
        <f>((450000*5/F17)*G17)*(Architecture!$D$22/6)</f>
        <v>0</v>
      </c>
      <c r="K17" s="145">
        <f>IF(E17&lt;&gt;0,((450000*5/F17)*D17)*(Architecture!$D$22/6),0)</f>
        <v>0</v>
      </c>
      <c r="R17" s="146"/>
      <c r="S17" s="147"/>
    </row>
    <row r="18" spans="1:19" ht="14.4" x14ac:dyDescent="0.3">
      <c r="A18" s="396"/>
      <c r="B18" s="135"/>
      <c r="C18" s="140" t="s">
        <v>147</v>
      </c>
      <c r="D18" s="148">
        <v>0</v>
      </c>
      <c r="E18" s="148">
        <v>2</v>
      </c>
      <c r="F18" s="148">
        <v>60</v>
      </c>
      <c r="G18" s="142">
        <f t="shared" si="0"/>
        <v>0</v>
      </c>
      <c r="H18" s="143">
        <f>Architecture!$E$23*(86400/(F18*60))*G18</f>
        <v>0</v>
      </c>
      <c r="I18" s="144">
        <f>((Architecture!$E$21*24*60)/F18)*D18</f>
        <v>0</v>
      </c>
      <c r="J18" s="145">
        <f>((450000*5/F18)*G18)*(Architecture!$D$22/6)</f>
        <v>0</v>
      </c>
      <c r="K18" s="145">
        <f>IF(E18&lt;&gt;0,((450000*5/F18)*D18)*(Architecture!$D$22/6),0)</f>
        <v>0</v>
      </c>
      <c r="R18" s="146"/>
      <c r="S18" s="147"/>
    </row>
    <row r="19" spans="1:19" ht="14.4" x14ac:dyDescent="0.3">
      <c r="A19" s="396"/>
      <c r="B19" s="135"/>
      <c r="C19" s="140" t="s">
        <v>146</v>
      </c>
      <c r="D19" s="148">
        <v>0</v>
      </c>
      <c r="E19" s="148">
        <v>3</v>
      </c>
      <c r="F19" s="148">
        <v>5</v>
      </c>
      <c r="G19" s="142">
        <f t="shared" si="0"/>
        <v>0</v>
      </c>
      <c r="H19" s="143">
        <f>Architecture!$E$23*(86400/(F19*60))*G19</f>
        <v>0</v>
      </c>
      <c r="I19" s="144">
        <f>((Architecture!$E$21*24*60)/F19)*D19</f>
        <v>0</v>
      </c>
      <c r="J19" s="145">
        <f>((450000*5/F19)*G19)*(Architecture!$D$22/6)</f>
        <v>0</v>
      </c>
      <c r="K19" s="145">
        <f>IF(E19&lt;&gt;0,((450000*5/F19)*D19)*(Architecture!$D$22/6),0)</f>
        <v>0</v>
      </c>
      <c r="R19" s="146"/>
      <c r="S19" s="147"/>
    </row>
    <row r="20" spans="1:19" ht="14.4" x14ac:dyDescent="0.3">
      <c r="A20" s="396"/>
      <c r="B20" s="135"/>
      <c r="C20" s="140" t="s">
        <v>145</v>
      </c>
      <c r="D20" s="141">
        <v>0</v>
      </c>
      <c r="E20" s="141">
        <v>2</v>
      </c>
      <c r="F20" s="141">
        <v>5</v>
      </c>
      <c r="G20" s="142">
        <f t="shared" si="0"/>
        <v>0</v>
      </c>
      <c r="H20" s="143">
        <f>Architecture!$E$23*(86400/(F20*60))*G20</f>
        <v>0</v>
      </c>
      <c r="I20" s="144">
        <f>((Architecture!$E$21*24*60)/F20)*D20</f>
        <v>0</v>
      </c>
      <c r="J20" s="145">
        <f>((450000*5/F20)*G20)*(Architecture!$D$22/6)</f>
        <v>0</v>
      </c>
      <c r="K20" s="145">
        <f>IF(E20&lt;&gt;0,((450000*5/F20)*D20)*(Architecture!$D$22/6),0)</f>
        <v>0</v>
      </c>
      <c r="R20" s="146"/>
      <c r="S20" s="147"/>
    </row>
    <row r="21" spans="1:19" ht="14.4" x14ac:dyDescent="0.3">
      <c r="A21" s="396"/>
      <c r="B21" s="135"/>
      <c r="C21" s="140" t="s">
        <v>144</v>
      </c>
      <c r="D21" s="148">
        <v>0</v>
      </c>
      <c r="E21" s="141">
        <v>0</v>
      </c>
      <c r="F21" s="141">
        <v>5</v>
      </c>
      <c r="G21" s="142">
        <f t="shared" si="0"/>
        <v>0</v>
      </c>
      <c r="H21" s="143">
        <f>Architecture!$E$23*(86400/(F21*60))*G21</f>
        <v>0</v>
      </c>
      <c r="I21" s="144">
        <f>((Architecture!$E$21*24*60)/F21)*D21</f>
        <v>0</v>
      </c>
      <c r="J21" s="145">
        <f>((450000*5/F21)*G21)*(Architecture!$D$22/6)</f>
        <v>0</v>
      </c>
      <c r="K21" s="145">
        <f>IF(E21&lt;&gt;0,((450000*5/F21)*D21)*(Architecture!$D$22/6),0)</f>
        <v>0</v>
      </c>
      <c r="R21" s="146"/>
      <c r="S21" s="147"/>
    </row>
    <row r="22" spans="1:19" ht="14.4" x14ac:dyDescent="0.3">
      <c r="A22" s="396"/>
      <c r="B22" s="135"/>
      <c r="C22" s="149" t="s">
        <v>143</v>
      </c>
      <c r="D22" s="148">
        <v>0</v>
      </c>
      <c r="E22" s="141">
        <v>0</v>
      </c>
      <c r="F22" s="141">
        <v>5</v>
      </c>
      <c r="G22" s="142">
        <f t="shared" si="0"/>
        <v>0</v>
      </c>
      <c r="H22" s="143">
        <f>Architecture!$E$23*(86400/(F22*60))*G22</f>
        <v>0</v>
      </c>
      <c r="I22" s="144">
        <f>((Architecture!$E$21*24*60)/F22)*D22</f>
        <v>0</v>
      </c>
      <c r="J22" s="145">
        <f>((450000*5/F22)*G22)*(Architecture!$D$22/6)</f>
        <v>0</v>
      </c>
      <c r="K22" s="145">
        <f>IF(E22&lt;&gt;0,((450000*5/F22)*D22)*(Architecture!$D$22/6),0)</f>
        <v>0</v>
      </c>
      <c r="R22" s="150"/>
      <c r="S22" s="147"/>
    </row>
    <row r="23" spans="1:19" ht="14.4" x14ac:dyDescent="0.3">
      <c r="A23" s="396"/>
      <c r="B23" s="135"/>
      <c r="C23" s="140" t="s">
        <v>142</v>
      </c>
      <c r="D23" s="141">
        <v>0</v>
      </c>
      <c r="E23" s="141">
        <v>0</v>
      </c>
      <c r="F23" s="141">
        <v>5</v>
      </c>
      <c r="G23" s="142">
        <f t="shared" si="0"/>
        <v>0</v>
      </c>
      <c r="H23" s="143">
        <f>Architecture!$E$23*(86400/(F23*60))*G23</f>
        <v>0</v>
      </c>
      <c r="I23" s="144">
        <f>((Architecture!$E$21*24*60)/F23)*D23</f>
        <v>0</v>
      </c>
      <c r="J23" s="145">
        <f>((450000*5/F23)*G23)*(Architecture!$D$22/6)</f>
        <v>0</v>
      </c>
      <c r="K23" s="145">
        <f>IF(E23&lt;&gt;0,((450000*5/F23)*D23)*(Architecture!$D$22/6),0)</f>
        <v>0</v>
      </c>
      <c r="R23" s="146"/>
      <c r="S23" s="147"/>
    </row>
    <row r="24" spans="1:19" ht="14.4" x14ac:dyDescent="0.3">
      <c r="A24" s="396"/>
      <c r="B24" s="135"/>
      <c r="C24" s="140" t="s">
        <v>141</v>
      </c>
      <c r="D24" s="148">
        <v>0</v>
      </c>
      <c r="E24" s="141">
        <v>2</v>
      </c>
      <c r="F24" s="141">
        <v>5</v>
      </c>
      <c r="G24" s="142">
        <f t="shared" si="0"/>
        <v>0</v>
      </c>
      <c r="H24" s="143">
        <f>Architecture!$E$23*(86400/(F24*60))*G24</f>
        <v>0</v>
      </c>
      <c r="I24" s="144">
        <f>((Architecture!$E$21*24*60)/F24)*D24</f>
        <v>0</v>
      </c>
      <c r="J24" s="145">
        <f>((450000*5/F24)*G24)*(Architecture!$D$22/6)</f>
        <v>0</v>
      </c>
      <c r="K24" s="145">
        <f>IF(E24&lt;&gt;0,((450000*5/F24)*D24)*(Architecture!$D$22/6),0)</f>
        <v>0</v>
      </c>
      <c r="R24" s="146"/>
      <c r="S24" s="147"/>
    </row>
    <row r="25" spans="1:19" ht="14.4" x14ac:dyDescent="0.3">
      <c r="A25" s="396"/>
      <c r="B25" s="135"/>
      <c r="C25" s="140" t="s">
        <v>140</v>
      </c>
      <c r="D25" s="148">
        <v>0</v>
      </c>
      <c r="E25" s="148">
        <v>2</v>
      </c>
      <c r="F25" s="148">
        <v>5</v>
      </c>
      <c r="G25" s="142">
        <f t="shared" si="0"/>
        <v>0</v>
      </c>
      <c r="H25" s="143">
        <f>Architecture!$E$23*(86400/(F25*60))*G25</f>
        <v>0</v>
      </c>
      <c r="I25" s="144">
        <f>((Architecture!$E$21*24*60)/F25)*D25</f>
        <v>0</v>
      </c>
      <c r="J25" s="145">
        <f>((450000*5/F25)*G25)*(Architecture!$D$22/6)</f>
        <v>0</v>
      </c>
      <c r="K25" s="145">
        <f>IF(E25&lt;&gt;0,((450000*5/F25)*D25)*(Architecture!$D$22/6),0)</f>
        <v>0</v>
      </c>
      <c r="R25" s="146"/>
      <c r="S25" s="147"/>
    </row>
    <row r="26" spans="1:19" ht="14.4" x14ac:dyDescent="0.3">
      <c r="A26" s="396"/>
      <c r="B26" s="135"/>
      <c r="C26" s="140" t="s">
        <v>139</v>
      </c>
      <c r="D26" s="148">
        <v>0</v>
      </c>
      <c r="E26" s="141">
        <v>0</v>
      </c>
      <c r="F26" s="141">
        <v>300</v>
      </c>
      <c r="G26" s="142">
        <f t="shared" si="0"/>
        <v>0</v>
      </c>
      <c r="H26" s="143">
        <f>Architecture!$E$23*(86400/(F26*60))*G26</f>
        <v>0</v>
      </c>
      <c r="I26" s="144">
        <f>((Architecture!$E$21*24*60)/F26)*D26</f>
        <v>0</v>
      </c>
      <c r="J26" s="145">
        <f>((450000*5/F26)*G26)*(Architecture!$D$22/6)</f>
        <v>0</v>
      </c>
      <c r="K26" s="145">
        <f>IF(E26&lt;&gt;0,((450000*5/F26)*D26)*(Architecture!$D$22/6),0)</f>
        <v>0</v>
      </c>
      <c r="R26" s="146"/>
      <c r="S26" s="147"/>
    </row>
    <row r="27" spans="1:19" ht="14.4" x14ac:dyDescent="0.3">
      <c r="A27" s="396"/>
      <c r="B27" s="135"/>
      <c r="C27" s="140" t="s">
        <v>138</v>
      </c>
      <c r="D27" s="141">
        <v>0</v>
      </c>
      <c r="E27" s="148">
        <v>3</v>
      </c>
      <c r="F27" s="148">
        <v>300</v>
      </c>
      <c r="G27" s="142">
        <f t="shared" si="0"/>
        <v>0</v>
      </c>
      <c r="H27" s="143">
        <f>Architecture!$E$23*(86400/(F27*60))*G27</f>
        <v>0</v>
      </c>
      <c r="I27" s="144">
        <f>((Architecture!$E$21*24*60)/F27)*D27</f>
        <v>0</v>
      </c>
      <c r="J27" s="145">
        <f>((450000*5/F27)*G27)*(Architecture!$D$22/6)</f>
        <v>0</v>
      </c>
      <c r="K27" s="145">
        <f>IF(E27&lt;&gt;0,((450000*5/F27)*D27)*(Architecture!$D$22/6),0)</f>
        <v>0</v>
      </c>
      <c r="R27" s="146"/>
      <c r="S27" s="147"/>
    </row>
    <row r="28" spans="1:19" ht="14.4" x14ac:dyDescent="0.3">
      <c r="A28" s="396"/>
      <c r="B28" s="135"/>
      <c r="C28" s="140" t="s">
        <v>137</v>
      </c>
      <c r="D28" s="148">
        <v>0</v>
      </c>
      <c r="E28" s="148">
        <v>0</v>
      </c>
      <c r="F28" s="148">
        <v>5</v>
      </c>
      <c r="G28" s="142">
        <f t="shared" si="0"/>
        <v>0</v>
      </c>
      <c r="H28" s="143">
        <f>Architecture!$E$23*(86400/(F28*60))*G28</f>
        <v>0</v>
      </c>
      <c r="I28" s="144">
        <f>((Architecture!$E$21*24*60)/F28)*D28</f>
        <v>0</v>
      </c>
      <c r="J28" s="145">
        <f>((450000*5/F28)*G28)*(Architecture!$D$22/6)</f>
        <v>0</v>
      </c>
      <c r="K28" s="145">
        <f>IF(E28&lt;&gt;0,((450000*5/F28)*D28)*(Architecture!$D$22/6),0)</f>
        <v>0</v>
      </c>
      <c r="R28" s="146"/>
      <c r="S28" s="147"/>
    </row>
    <row r="29" spans="1:19" ht="14.4" x14ac:dyDescent="0.3">
      <c r="A29" s="396"/>
      <c r="B29" s="135"/>
      <c r="C29" s="140" t="s">
        <v>136</v>
      </c>
      <c r="D29" s="141">
        <v>0</v>
      </c>
      <c r="E29" s="148">
        <v>2</v>
      </c>
      <c r="F29" s="148">
        <v>5</v>
      </c>
      <c r="G29" s="142">
        <f t="shared" si="0"/>
        <v>0</v>
      </c>
      <c r="H29" s="143">
        <f>Architecture!$E$23*(86400/(F29*60))*G29</f>
        <v>0</v>
      </c>
      <c r="I29" s="144">
        <f>((Architecture!$E$21*24*60)/F29)*D29</f>
        <v>0</v>
      </c>
      <c r="J29" s="145">
        <f>((450000*5/F29)*G29)*(Architecture!$D$22/6)</f>
        <v>0</v>
      </c>
      <c r="K29" s="145">
        <f>IF(E29&lt;&gt;0,((450000*5/F29)*D29)*(Architecture!$D$22/6),0)</f>
        <v>0</v>
      </c>
      <c r="R29" s="146"/>
      <c r="S29" s="147"/>
    </row>
    <row r="30" spans="1:19" ht="14.4" x14ac:dyDescent="0.3">
      <c r="A30" s="396"/>
      <c r="B30" s="135"/>
      <c r="C30" s="140" t="s">
        <v>135</v>
      </c>
      <c r="D30" s="141">
        <v>0</v>
      </c>
      <c r="E30" s="141">
        <v>0</v>
      </c>
      <c r="F30" s="141">
        <v>5</v>
      </c>
      <c r="G30" s="142">
        <f t="shared" si="0"/>
        <v>0</v>
      </c>
      <c r="H30" s="143">
        <f>Architecture!$E$23*(86400/(F30*60))*G30</f>
        <v>0</v>
      </c>
      <c r="I30" s="144">
        <f>((Architecture!$E$21*24*60)/F30)*D30</f>
        <v>0</v>
      </c>
      <c r="J30" s="145">
        <f>((450000*5/F30)*G30)*(Architecture!$D$22/6)</f>
        <v>0</v>
      </c>
      <c r="K30" s="145">
        <f>IF(E30&lt;&gt;0,((450000*5/F30)*D30)*(Architecture!$D$22/6),0)</f>
        <v>0</v>
      </c>
      <c r="R30" s="146"/>
      <c r="S30" s="147"/>
    </row>
    <row r="31" spans="1:19" ht="14.4" x14ac:dyDescent="0.3">
      <c r="A31" s="396"/>
      <c r="B31" s="135"/>
      <c r="C31" s="140"/>
      <c r="D31" s="148">
        <v>0</v>
      </c>
      <c r="E31" s="141">
        <v>2</v>
      </c>
      <c r="F31" s="141">
        <v>5</v>
      </c>
      <c r="G31" s="142">
        <f t="shared" si="0"/>
        <v>0</v>
      </c>
      <c r="H31" s="143">
        <f>Architecture!$E$23*(86400/(F31*60))*G31</f>
        <v>0</v>
      </c>
      <c r="I31" s="144">
        <f>((Architecture!$E$21*24*60)/F31)*D31</f>
        <v>0</v>
      </c>
      <c r="J31" s="145">
        <f>((450000*5/F31)*G31)*(Architecture!$D$22/6)</f>
        <v>0</v>
      </c>
      <c r="K31" s="145">
        <f>IF(E31&lt;&gt;0,((450000*5/F31)*D31)*(Architecture!$D$22/6),0)</f>
        <v>0</v>
      </c>
    </row>
    <row r="32" spans="1:19" ht="15" thickBot="1" x14ac:dyDescent="0.35">
      <c r="A32" s="396"/>
      <c r="B32" s="135"/>
      <c r="C32" s="149"/>
      <c r="D32" s="148">
        <v>0</v>
      </c>
      <c r="E32" s="148">
        <v>2</v>
      </c>
      <c r="F32" s="141">
        <v>5</v>
      </c>
      <c r="G32" s="142">
        <f t="shared" si="0"/>
        <v>0</v>
      </c>
    </row>
    <row r="33" spans="1:13" ht="19.5" customHeight="1" thickBot="1" x14ac:dyDescent="0.35">
      <c r="A33" s="396"/>
      <c r="B33" s="135"/>
      <c r="C33" s="151" t="s">
        <v>134</v>
      </c>
      <c r="D33" s="141">
        <f>'Poller Sizing'!B3</f>
        <v>0</v>
      </c>
      <c r="E33" s="399">
        <v>0</v>
      </c>
      <c r="F33" s="399"/>
      <c r="G33" s="152">
        <f>SUM(D8:D32)</f>
        <v>9000</v>
      </c>
      <c r="H33" s="153"/>
      <c r="J33" s="154"/>
      <c r="K33" s="154"/>
    </row>
    <row r="34" spans="1:13" ht="19.5" customHeight="1" thickBot="1" x14ac:dyDescent="0.35">
      <c r="A34" s="396"/>
      <c r="B34" s="135"/>
      <c r="C34" s="135"/>
      <c r="D34" s="155"/>
      <c r="E34" s="400" t="s">
        <v>132</v>
      </c>
      <c r="F34" s="400"/>
      <c r="G34" s="156">
        <f>SUM(G8:G32)</f>
        <v>18000</v>
      </c>
      <c r="H34" s="153"/>
    </row>
    <row r="35" spans="1:13" ht="19.5" customHeight="1" thickBot="1" x14ac:dyDescent="0.35">
      <c r="A35" s="396"/>
      <c r="B35" s="135"/>
      <c r="C35" s="135"/>
      <c r="D35" s="155"/>
      <c r="E35" s="400" t="s">
        <v>131</v>
      </c>
      <c r="F35" s="400"/>
      <c r="G35" s="152">
        <f>SUMIF(E8:E32,"&lt;&gt;0",D8:D32)</f>
        <v>9000</v>
      </c>
      <c r="H35" s="153"/>
    </row>
    <row r="36" spans="1:13" ht="15" customHeight="1" x14ac:dyDescent="0.3">
      <c r="A36" s="396"/>
      <c r="B36" s="135"/>
      <c r="C36" s="135"/>
      <c r="D36" s="135"/>
      <c r="E36" s="135"/>
      <c r="F36" s="135"/>
      <c r="G36" s="157"/>
      <c r="H36" s="158"/>
    </row>
    <row r="37" spans="1:13" ht="23.25" customHeight="1" x14ac:dyDescent="0.3">
      <c r="A37" s="396" t="s">
        <v>130</v>
      </c>
      <c r="B37" s="135"/>
      <c r="H37" s="159"/>
    </row>
    <row r="38" spans="1:13" ht="15.75" customHeight="1" x14ac:dyDescent="0.3">
      <c r="A38" s="396"/>
      <c r="B38" s="135"/>
      <c r="H38" s="160"/>
    </row>
    <row r="39" spans="1:13" ht="15.75" customHeight="1" x14ac:dyDescent="0.3">
      <c r="A39" s="396"/>
      <c r="B39" s="135"/>
      <c r="H39" s="160"/>
    </row>
    <row r="40" spans="1:13" ht="15.75" customHeight="1" x14ac:dyDescent="0.3">
      <c r="A40" s="396"/>
      <c r="B40" s="135"/>
      <c r="H40" s="160"/>
    </row>
    <row r="41" spans="1:13" ht="15.75" customHeight="1" x14ac:dyDescent="0.3">
      <c r="A41" s="396"/>
      <c r="B41" s="135"/>
      <c r="H41" s="160"/>
    </row>
    <row r="42" spans="1:13" ht="15" customHeight="1" x14ac:dyDescent="0.3">
      <c r="A42" s="396"/>
      <c r="B42" s="135"/>
      <c r="C42" s="161"/>
      <c r="D42" s="162"/>
      <c r="E42" s="162"/>
      <c r="F42" s="163"/>
      <c r="G42" s="164"/>
      <c r="H42" s="160"/>
    </row>
    <row r="43" spans="1:13" ht="22.5" customHeight="1" x14ac:dyDescent="0.3">
      <c r="A43" s="396"/>
      <c r="B43" s="135"/>
      <c r="C43" s="438" t="s">
        <v>129</v>
      </c>
      <c r="D43" s="439"/>
      <c r="E43" s="439"/>
      <c r="F43" s="439"/>
      <c r="G43" s="165" t="s">
        <v>128</v>
      </c>
      <c r="H43" s="160"/>
    </row>
    <row r="44" spans="1:13" ht="17.25" customHeight="1" x14ac:dyDescent="0.3">
      <c r="A44" s="396"/>
      <c r="B44" s="135"/>
      <c r="C44" s="418" t="s">
        <v>127</v>
      </c>
      <c r="D44" s="418"/>
      <c r="E44" s="418"/>
      <c r="F44" s="418"/>
      <c r="G44" s="166">
        <f>G33*0.05</f>
        <v>450</v>
      </c>
      <c r="H44" s="160"/>
      <c r="M44" s="127" t="s">
        <v>126</v>
      </c>
    </row>
    <row r="45" spans="1:13" ht="17.25" customHeight="1" x14ac:dyDescent="0.3">
      <c r="A45" s="396"/>
      <c r="B45" s="135"/>
      <c r="C45" s="418" t="s">
        <v>125</v>
      </c>
      <c r="D45" s="418"/>
      <c r="E45" s="418"/>
      <c r="F45" s="418"/>
      <c r="G45" s="166">
        <f>G33*0.02</f>
        <v>180</v>
      </c>
      <c r="H45" s="160"/>
      <c r="M45" s="127" t="s">
        <v>124</v>
      </c>
    </row>
    <row r="46" spans="1:13" ht="15" customHeight="1" x14ac:dyDescent="0.3">
      <c r="A46" s="396"/>
      <c r="B46" s="135"/>
      <c r="C46" s="135"/>
      <c r="D46" s="135"/>
      <c r="E46" s="135"/>
      <c r="F46" s="163"/>
      <c r="G46" s="157"/>
      <c r="H46" s="158"/>
    </row>
    <row r="47" spans="1:13" s="128" customFormat="1" ht="19.5" customHeight="1" x14ac:dyDescent="0.3">
      <c r="A47" s="396"/>
      <c r="B47" s="167"/>
      <c r="C47" s="419" t="s">
        <v>123</v>
      </c>
      <c r="D47" s="420"/>
      <c r="E47" s="420"/>
      <c r="F47" s="420"/>
      <c r="G47" s="168" t="s">
        <v>37</v>
      </c>
    </row>
    <row r="48" spans="1:13" s="170" customFormat="1" ht="15.75" customHeight="1" x14ac:dyDescent="0.3">
      <c r="A48" s="396"/>
      <c r="B48" s="135"/>
      <c r="C48" s="409" t="s">
        <v>40</v>
      </c>
      <c r="D48" s="410"/>
      <c r="E48" s="410"/>
      <c r="F48" s="411"/>
      <c r="G48" s="169">
        <v>2</v>
      </c>
      <c r="M48" s="170" t="s">
        <v>112</v>
      </c>
    </row>
    <row r="49" spans="1:13" s="170" customFormat="1" ht="15.75" customHeight="1" x14ac:dyDescent="0.3">
      <c r="A49" s="396"/>
      <c r="B49" s="135"/>
      <c r="C49" s="409" t="s">
        <v>41</v>
      </c>
      <c r="D49" s="410"/>
      <c r="E49" s="410"/>
      <c r="F49" s="411"/>
      <c r="G49" s="169">
        <v>2</v>
      </c>
      <c r="M49" s="170" t="s">
        <v>112</v>
      </c>
    </row>
    <row r="50" spans="1:13" s="170" customFormat="1" ht="15.75" customHeight="1" x14ac:dyDescent="0.3">
      <c r="A50" s="396"/>
      <c r="B50" s="135"/>
      <c r="C50" s="409" t="s">
        <v>42</v>
      </c>
      <c r="D50" s="410"/>
      <c r="E50" s="410"/>
      <c r="F50" s="411"/>
      <c r="G50" s="169">
        <v>2</v>
      </c>
      <c r="M50" s="170" t="s">
        <v>112</v>
      </c>
    </row>
    <row r="51" spans="1:13" s="170" customFormat="1" ht="15.75" customHeight="1" x14ac:dyDescent="0.3">
      <c r="A51" s="396"/>
      <c r="B51" s="135"/>
      <c r="C51" s="409" t="s">
        <v>43</v>
      </c>
      <c r="D51" s="410"/>
      <c r="E51" s="410"/>
      <c r="F51" s="411"/>
      <c r="G51" s="169">
        <v>3</v>
      </c>
      <c r="M51" s="170" t="s">
        <v>112</v>
      </c>
    </row>
    <row r="52" spans="1:13" s="170" customFormat="1" ht="15.75" customHeight="1" x14ac:dyDescent="0.3">
      <c r="A52" s="396"/>
      <c r="B52" s="135"/>
      <c r="C52" s="409" t="s">
        <v>44</v>
      </c>
      <c r="D52" s="410"/>
      <c r="E52" s="410"/>
      <c r="F52" s="411"/>
      <c r="G52" s="171">
        <f>IFERROR((G44*30)/G33,0)</f>
        <v>1.5</v>
      </c>
    </row>
    <row r="53" spans="1:13" s="170" customFormat="1" ht="15.75" customHeight="1" x14ac:dyDescent="0.3">
      <c r="A53" s="396"/>
      <c r="B53" s="135"/>
      <c r="C53" s="409" t="s">
        <v>45</v>
      </c>
      <c r="D53" s="410"/>
      <c r="E53" s="410"/>
      <c r="F53" s="411"/>
      <c r="G53" s="171">
        <f>IFERROR((G45*30)/D33,0)</f>
        <v>0</v>
      </c>
    </row>
    <row r="54" spans="1:13" s="170" customFormat="1" ht="15.75" customHeight="1" x14ac:dyDescent="0.3">
      <c r="A54" s="396"/>
      <c r="B54" s="135"/>
      <c r="C54" s="409" t="s">
        <v>46</v>
      </c>
      <c r="D54" s="410"/>
      <c r="E54" s="410"/>
      <c r="F54" s="411"/>
      <c r="G54" s="172">
        <f>IFERROR(AVERAGEIF(D8:D32,"&lt;&gt;0",E8:E32),0)</f>
        <v>2</v>
      </c>
    </row>
    <row r="55" spans="1:13" s="170" customFormat="1" ht="15.75" customHeight="1" x14ac:dyDescent="0.3">
      <c r="A55" s="396"/>
      <c r="B55" s="135"/>
      <c r="C55" s="409" t="s">
        <v>47</v>
      </c>
      <c r="D55" s="410"/>
      <c r="E55" s="410"/>
      <c r="F55" s="411"/>
      <c r="G55" s="172">
        <f>IFERROR(SUMPRODUCT(D8:D32,F8:F32)/G33,0)</f>
        <v>5</v>
      </c>
    </row>
    <row r="56" spans="1:13" s="175" customFormat="1" ht="15" customHeight="1" x14ac:dyDescent="0.3">
      <c r="A56" s="396"/>
      <c r="B56" s="162"/>
      <c r="C56" s="173"/>
      <c r="D56" s="173"/>
      <c r="E56" s="173"/>
      <c r="F56" s="173"/>
      <c r="G56" s="174"/>
    </row>
    <row r="57" spans="1:13" ht="28.8" x14ac:dyDescent="0.3">
      <c r="A57" s="396"/>
      <c r="B57" s="135"/>
      <c r="C57" s="414" t="s">
        <v>122</v>
      </c>
      <c r="D57" s="415"/>
      <c r="E57" s="176" t="s">
        <v>121</v>
      </c>
      <c r="F57" s="176" t="s">
        <v>120</v>
      </c>
      <c r="G57" s="177" t="s">
        <v>50</v>
      </c>
      <c r="H57" s="178" t="s">
        <v>64</v>
      </c>
      <c r="I57" s="179" t="s">
        <v>63</v>
      </c>
      <c r="J57" s="179" t="s">
        <v>62</v>
      </c>
    </row>
    <row r="58" spans="1:13" ht="15.75" customHeight="1" x14ac:dyDescent="0.3">
      <c r="A58" s="396"/>
      <c r="B58" s="135"/>
      <c r="C58" s="416" t="s">
        <v>58</v>
      </c>
      <c r="D58" s="417"/>
      <c r="E58" s="180" t="s">
        <v>115</v>
      </c>
      <c r="F58" s="181">
        <v>6</v>
      </c>
      <c r="G58" s="182">
        <f t="shared" ref="G58:G65" si="1">IFERROR((I58*H58+J58*H58)/1024/1024,0)</f>
        <v>0</v>
      </c>
      <c r="H58" s="183">
        <f>F58*31*D33*G48*G49*G51</f>
        <v>0</v>
      </c>
      <c r="I58" s="184">
        <v>72</v>
      </c>
      <c r="J58" s="184">
        <f>(4+4+1+4+6+6)*J78</f>
        <v>70</v>
      </c>
      <c r="M58" s="170" t="s">
        <v>112</v>
      </c>
    </row>
    <row r="59" spans="1:13" ht="15.75" customHeight="1" x14ac:dyDescent="0.3">
      <c r="A59" s="396"/>
      <c r="B59" s="135"/>
      <c r="C59" s="416" t="s">
        <v>119</v>
      </c>
      <c r="D59" s="417"/>
      <c r="E59" s="180" t="s">
        <v>117</v>
      </c>
      <c r="F59" s="181">
        <v>24</v>
      </c>
      <c r="G59" s="182">
        <f t="shared" si="1"/>
        <v>9.5141601562499997E-2</v>
      </c>
      <c r="H59" s="183">
        <f>F59*G48*G49*G51</f>
        <v>288</v>
      </c>
      <c r="I59" s="184">
        <v>254</v>
      </c>
      <c r="J59" s="184">
        <f>(4+4+4+4+1+4+6+6)*J78</f>
        <v>92.399999999999991</v>
      </c>
      <c r="M59" s="170" t="s">
        <v>112</v>
      </c>
    </row>
    <row r="60" spans="1:13" ht="15.75" customHeight="1" x14ac:dyDescent="0.3">
      <c r="A60" s="396"/>
      <c r="B60" s="135"/>
      <c r="C60" s="416" t="s">
        <v>59</v>
      </c>
      <c r="D60" s="417"/>
      <c r="E60" s="180" t="s">
        <v>115</v>
      </c>
      <c r="F60" s="181">
        <v>6</v>
      </c>
      <c r="G60" s="182">
        <f t="shared" si="1"/>
        <v>5670.59326171875</v>
      </c>
      <c r="H60" s="183">
        <f>F60*31*G33*G48*G49*G50*G51</f>
        <v>40176000</v>
      </c>
      <c r="I60" s="184">
        <v>78</v>
      </c>
      <c r="J60" s="184">
        <f>(4+4+1+4+6+6)*J78</f>
        <v>70</v>
      </c>
      <c r="M60" s="170" t="s">
        <v>112</v>
      </c>
    </row>
    <row r="61" spans="1:13" ht="15.75" customHeight="1" x14ac:dyDescent="0.3">
      <c r="A61" s="396"/>
      <c r="B61" s="135"/>
      <c r="C61" s="412" t="s">
        <v>118</v>
      </c>
      <c r="D61" s="413"/>
      <c r="E61" s="180" t="s">
        <v>117</v>
      </c>
      <c r="F61" s="181">
        <v>24</v>
      </c>
      <c r="G61" s="182">
        <f t="shared" si="1"/>
        <v>0.11612548828124999</v>
      </c>
      <c r="H61" s="183">
        <f>F61*G48*G49*G50*G51</f>
        <v>576</v>
      </c>
      <c r="I61" s="184">
        <v>119</v>
      </c>
      <c r="J61" s="184">
        <f>(4+4+4+4+1+4+6+6)*J78</f>
        <v>92.399999999999991</v>
      </c>
      <c r="M61" s="170" t="s">
        <v>112</v>
      </c>
    </row>
    <row r="62" spans="1:13" ht="15.75" customHeight="1" x14ac:dyDescent="0.3">
      <c r="A62" s="396"/>
      <c r="B62" s="135"/>
      <c r="C62" s="416" t="s">
        <v>57</v>
      </c>
      <c r="D62" s="417"/>
      <c r="E62" s="180" t="s">
        <v>113</v>
      </c>
      <c r="F62" s="181">
        <v>6</v>
      </c>
      <c r="G62" s="182">
        <f t="shared" si="1"/>
        <v>290.6982421875</v>
      </c>
      <c r="H62" s="183">
        <f>G33*G48*G49*G50*G51*G52*F62</f>
        <v>1944000</v>
      </c>
      <c r="I62" s="184">
        <v>56</v>
      </c>
      <c r="J62" s="184">
        <f>(4+1+1+4+4+1+1+4+4+6+6)*J78</f>
        <v>100.8</v>
      </c>
      <c r="M62" s="170" t="s">
        <v>112</v>
      </c>
    </row>
    <row r="63" spans="1:13" ht="15.75" customHeight="1" x14ac:dyDescent="0.3">
      <c r="A63" s="396"/>
      <c r="B63" s="135"/>
      <c r="C63" s="416" t="s">
        <v>56</v>
      </c>
      <c r="D63" s="417"/>
      <c r="E63" s="180" t="s">
        <v>113</v>
      </c>
      <c r="F63" s="181">
        <v>6</v>
      </c>
      <c r="G63" s="182">
        <f t="shared" si="1"/>
        <v>0</v>
      </c>
      <c r="H63" s="183">
        <f>D33*G48*G49*G51*G53*F63</f>
        <v>0</v>
      </c>
      <c r="I63" s="184">
        <v>76</v>
      </c>
      <c r="J63" s="184">
        <f>(4+1+1+4+4+1+1+4+4+6+6)*J78</f>
        <v>100.8</v>
      </c>
      <c r="M63" s="170" t="s">
        <v>112</v>
      </c>
    </row>
    <row r="64" spans="1:13" ht="15.75" customHeight="1" x14ac:dyDescent="0.3">
      <c r="A64" s="396"/>
      <c r="B64" s="135"/>
      <c r="C64" s="412" t="s">
        <v>114</v>
      </c>
      <c r="D64" s="413"/>
      <c r="E64" s="180" t="s">
        <v>116</v>
      </c>
      <c r="F64" s="181">
        <v>3</v>
      </c>
      <c r="G64" s="182">
        <f t="shared" si="1"/>
        <v>39602.197265625</v>
      </c>
      <c r="H64" s="183">
        <f>G33*G48*G49*G50*G54*F64*31*24</f>
        <v>321408000</v>
      </c>
      <c r="I64" s="184">
        <v>62</v>
      </c>
      <c r="J64" s="184">
        <f>(4+4+4+6+6)*J78</f>
        <v>67.199999999999989</v>
      </c>
      <c r="M64" s="170" t="s">
        <v>112</v>
      </c>
    </row>
    <row r="65" spans="1:13" ht="15.75" customHeight="1" x14ac:dyDescent="0.3">
      <c r="A65" s="396"/>
      <c r="B65" s="135"/>
      <c r="C65" s="412" t="s">
        <v>114</v>
      </c>
      <c r="D65" s="413"/>
      <c r="E65" s="180" t="s">
        <v>115</v>
      </c>
      <c r="F65" s="181">
        <v>6</v>
      </c>
      <c r="G65" s="182">
        <f t="shared" si="1"/>
        <v>10881.40869140625</v>
      </c>
      <c r="H65" s="183">
        <f>G33*G48*G49*G50*G51*G54*F65*31</f>
        <v>80352000</v>
      </c>
      <c r="I65" s="184">
        <v>72</v>
      </c>
      <c r="J65" s="184">
        <f>(1+4+4+4+6+6)*J78</f>
        <v>70</v>
      </c>
      <c r="M65" s="170" t="s">
        <v>112</v>
      </c>
    </row>
    <row r="66" spans="1:13" ht="15.75" customHeight="1" thickBot="1" x14ac:dyDescent="0.35">
      <c r="A66" s="422"/>
      <c r="B66" s="185"/>
      <c r="C66" s="421" t="s">
        <v>114</v>
      </c>
      <c r="D66" s="421"/>
      <c r="E66" s="186" t="s">
        <v>113</v>
      </c>
      <c r="F66" s="187">
        <v>1</v>
      </c>
      <c r="G66" s="188">
        <f>IFERROR(((I66*H66)*2)/1024/1024,0)</f>
        <v>4291.259765625</v>
      </c>
      <c r="H66" s="183">
        <f>(60/G55)*24*F66*31*G33*G54</f>
        <v>160704000</v>
      </c>
      <c r="I66" s="184">
        <v>14</v>
      </c>
      <c r="J66" s="184" t="s">
        <v>61</v>
      </c>
      <c r="M66" s="170" t="s">
        <v>112</v>
      </c>
    </row>
    <row r="67" spans="1:13" s="175" customFormat="1" ht="15.75" customHeight="1" thickTop="1" x14ac:dyDescent="0.3">
      <c r="B67" s="189"/>
      <c r="C67" s="173"/>
      <c r="D67" s="173"/>
      <c r="E67" s="173"/>
      <c r="F67" s="173"/>
      <c r="G67" s="190"/>
    </row>
    <row r="68" spans="1:13" s="128" customFormat="1" ht="15" thickBot="1" x14ac:dyDescent="0.35">
      <c r="B68" s="191"/>
      <c r="C68" s="192"/>
      <c r="D68" s="193"/>
      <c r="E68" s="191"/>
      <c r="F68" s="191"/>
      <c r="G68" s="194"/>
    </row>
    <row r="69" spans="1:13" ht="18" customHeight="1" thickTop="1" x14ac:dyDescent="0.3">
      <c r="A69" s="395" t="s">
        <v>111</v>
      </c>
      <c r="B69" s="132"/>
      <c r="C69" s="423" t="s">
        <v>110</v>
      </c>
      <c r="D69" s="424"/>
      <c r="E69" s="424" t="s">
        <v>109</v>
      </c>
      <c r="F69" s="424"/>
      <c r="G69" s="195" t="s">
        <v>108</v>
      </c>
      <c r="H69" s="159" t="s">
        <v>107</v>
      </c>
    </row>
    <row r="70" spans="1:13" ht="15.75" customHeight="1" x14ac:dyDescent="0.3">
      <c r="A70" s="396"/>
      <c r="B70" s="135"/>
      <c r="C70" s="425" t="s">
        <v>106</v>
      </c>
      <c r="D70" s="196" t="s">
        <v>105</v>
      </c>
      <c r="E70" s="427" t="s">
        <v>104</v>
      </c>
      <c r="F70" s="428"/>
      <c r="G70" s="197" t="e">
        <f>(SUM(J8:J31))/1000/1000/1000</f>
        <v>#REF!</v>
      </c>
      <c r="H70" s="198" t="e">
        <f>SUM(G70:G71)*2</f>
        <v>#REF!</v>
      </c>
    </row>
    <row r="71" spans="1:13" ht="15.75" customHeight="1" x14ac:dyDescent="0.3">
      <c r="A71" s="396"/>
      <c r="B71" s="135"/>
      <c r="C71" s="426"/>
      <c r="D71" s="196" t="s">
        <v>103</v>
      </c>
      <c r="E71" s="427" t="s">
        <v>102</v>
      </c>
      <c r="F71" s="428"/>
      <c r="G71" s="197" t="e">
        <f>SUM(K8:K31)/1000/1000/1000</f>
        <v>#REF!</v>
      </c>
      <c r="H71" s="198"/>
    </row>
    <row r="72" spans="1:13" ht="15.75" customHeight="1" x14ac:dyDescent="0.3">
      <c r="A72" s="396"/>
      <c r="B72" s="135"/>
      <c r="C72" s="425" t="s">
        <v>101</v>
      </c>
      <c r="D72" s="196" t="s">
        <v>100</v>
      </c>
      <c r="E72" s="427" t="s">
        <v>99</v>
      </c>
      <c r="F72" s="428"/>
      <c r="G72" s="197" t="e">
        <f>(SUM(H8:H31)*40)/1000/1000/1000</f>
        <v>#REF!</v>
      </c>
      <c r="H72" s="198"/>
    </row>
    <row r="73" spans="1:13" ht="15.75" customHeight="1" x14ac:dyDescent="0.3">
      <c r="A73" s="396"/>
      <c r="B73" s="135"/>
      <c r="C73" s="429"/>
      <c r="D73" s="196" t="s">
        <v>98</v>
      </c>
      <c r="E73" s="427" t="s">
        <v>97</v>
      </c>
      <c r="F73" s="428"/>
      <c r="G73" s="197">
        <f>((D33+G33+6*(G44+G45)+10)*162*Architecture!E24)/1000/1000/1000</f>
        <v>6.3022724999999988E-2</v>
      </c>
      <c r="H73" s="198"/>
    </row>
    <row r="74" spans="1:13" ht="15.75" customHeight="1" x14ac:dyDescent="0.3">
      <c r="A74" s="396"/>
      <c r="B74" s="135"/>
      <c r="C74" s="426"/>
      <c r="D74" s="196" t="s">
        <v>96</v>
      </c>
      <c r="E74" s="430" t="s">
        <v>95</v>
      </c>
      <c r="F74" s="427"/>
      <c r="G74" s="197">
        <f>G33*(Architecture!E21*160+D33*140)/1000/1000/1000</f>
        <v>0.52560000000000007</v>
      </c>
      <c r="H74" s="198"/>
    </row>
    <row r="75" spans="1:13" ht="15.75" customHeight="1" x14ac:dyDescent="0.3">
      <c r="A75" s="396"/>
      <c r="B75" s="135"/>
      <c r="C75" s="199" t="s">
        <v>94</v>
      </c>
      <c r="D75" s="431" t="s">
        <v>93</v>
      </c>
      <c r="E75" s="432"/>
      <c r="F75" s="433"/>
      <c r="G75" s="197" t="e">
        <f>(G72)*1.5</f>
        <v>#REF!</v>
      </c>
      <c r="H75" s="198"/>
    </row>
    <row r="76" spans="1:13" ht="15" customHeight="1" thickBot="1" x14ac:dyDescent="0.35">
      <c r="A76" s="396"/>
      <c r="B76" s="135"/>
      <c r="C76" s="200"/>
      <c r="D76" s="135"/>
      <c r="E76" s="135"/>
      <c r="F76" s="135"/>
      <c r="G76" s="157"/>
      <c r="H76" s="158"/>
    </row>
    <row r="77" spans="1:13" ht="20.25" customHeight="1" thickBot="1" x14ac:dyDescent="0.35">
      <c r="A77" s="396"/>
      <c r="B77" s="135"/>
      <c r="C77" s="434" t="s">
        <v>92</v>
      </c>
      <c r="D77" s="435"/>
      <c r="E77" s="435"/>
      <c r="F77" s="435"/>
      <c r="G77" s="201" t="e">
        <f>SUM(G70:G75)</f>
        <v>#REF!</v>
      </c>
      <c r="H77" s="202" t="e">
        <f>G77-H70</f>
        <v>#REF!</v>
      </c>
      <c r="J77" s="203" t="s">
        <v>65</v>
      </c>
    </row>
    <row r="78" spans="1:13" ht="15" customHeight="1" thickBot="1" x14ac:dyDescent="0.25">
      <c r="A78" s="396"/>
      <c r="B78" s="135"/>
      <c r="C78" s="200"/>
      <c r="D78" s="135"/>
      <c r="E78" s="135"/>
      <c r="F78" s="135"/>
      <c r="G78" s="157"/>
      <c r="J78" s="204">
        <v>2.8</v>
      </c>
    </row>
    <row r="79" spans="1:13" ht="20.25" customHeight="1" thickBot="1" x14ac:dyDescent="0.35">
      <c r="A79" s="422"/>
      <c r="B79" s="185"/>
      <c r="C79" s="436" t="s">
        <v>91</v>
      </c>
      <c r="D79" s="437"/>
      <c r="E79" s="437"/>
      <c r="F79" s="437"/>
      <c r="G79" s="205">
        <f>IFERROR(SUM(G58:G66)/1000,0)</f>
        <v>60.736368493652343</v>
      </c>
    </row>
    <row r="80" spans="1:13" ht="13.2" thickTop="1" x14ac:dyDescent="0.3"/>
  </sheetData>
  <sheetProtection algorithmName="SHA-512" hashValue="DF1iALIbcG6jpF46xnoSqxRdntp2yDsFl4WgQk3vJZ97KNOhU6Wmmexva5Og/znQmvqYPkTnjWFHJqBSO4vz1g==" saltValue="0Y7tGHfco946F4hrozAbCw==" spinCount="100000" sheet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2DA8-65DF-4F32-A898-5781D136BE51}">
  <dimension ref="A1:S80"/>
  <sheetViews>
    <sheetView zoomScale="70" zoomScaleNormal="70" workbookViewId="0">
      <selection activeCell="G8" sqref="G8"/>
    </sheetView>
  </sheetViews>
  <sheetFormatPr baseColWidth="10" defaultColWidth="11.44140625" defaultRowHeight="12.6" x14ac:dyDescent="0.3"/>
  <cols>
    <col min="1" max="1" width="8.6640625" style="127" customWidth="1"/>
    <col min="2" max="2" width="3.88671875" style="127" customWidth="1"/>
    <col min="3" max="3" width="40.6640625" style="127" bestFit="1" customWidth="1"/>
    <col min="4" max="4" width="23" style="127" bestFit="1" customWidth="1"/>
    <col min="5" max="5" width="28.6640625" style="127" bestFit="1" customWidth="1"/>
    <col min="6" max="6" width="23.44140625" style="127" bestFit="1" customWidth="1"/>
    <col min="7" max="7" width="28.88671875" style="127" customWidth="1"/>
    <col min="8" max="8" width="24" style="127" customWidth="1"/>
    <col min="9" max="9" width="26.33203125" style="127" customWidth="1"/>
    <col min="10" max="10" width="29" style="127" customWidth="1"/>
    <col min="11" max="11" width="22.88671875" style="127" customWidth="1"/>
    <col min="12" max="16384" width="11.44140625" style="127"/>
  </cols>
  <sheetData>
    <row r="1" spans="1:19" ht="15" customHeight="1" x14ac:dyDescent="0.3">
      <c r="A1" s="401" t="s">
        <v>173</v>
      </c>
      <c r="B1" s="401"/>
      <c r="C1" s="401"/>
      <c r="D1" s="401"/>
      <c r="E1" s="402" t="s">
        <v>172</v>
      </c>
      <c r="F1" s="402"/>
      <c r="G1" s="402"/>
      <c r="H1" s="215"/>
      <c r="M1" s="128" t="s">
        <v>171</v>
      </c>
    </row>
    <row r="2" spans="1:19" ht="13.2" thickBot="1" x14ac:dyDescent="0.35"/>
    <row r="3" spans="1:19" s="130" customFormat="1" ht="24.75" customHeight="1" x14ac:dyDescent="0.3">
      <c r="A3" s="403" t="s">
        <v>170</v>
      </c>
      <c r="B3" s="404"/>
      <c r="C3" s="404"/>
      <c r="D3" s="404"/>
      <c r="E3" s="404"/>
      <c r="F3" s="404" t="s">
        <v>169</v>
      </c>
      <c r="G3" s="405"/>
      <c r="H3" s="129"/>
    </row>
    <row r="4" spans="1:19" s="130" customFormat="1" ht="29.25" customHeight="1" thickBot="1" x14ac:dyDescent="0.35">
      <c r="A4" s="406" t="s">
        <v>168</v>
      </c>
      <c r="B4" s="407"/>
      <c r="C4" s="407"/>
      <c r="D4" s="407"/>
      <c r="E4" s="407"/>
      <c r="F4" s="407"/>
      <c r="G4" s="408"/>
      <c r="H4" s="131"/>
    </row>
    <row r="5" spans="1:19" ht="13.2" thickBot="1" x14ac:dyDescent="0.35"/>
    <row r="6" spans="1:19" ht="22.5" customHeight="1" thickTop="1" x14ac:dyDescent="0.3">
      <c r="A6" s="395" t="s">
        <v>130</v>
      </c>
      <c r="B6" s="132"/>
      <c r="C6" s="397" t="s">
        <v>167</v>
      </c>
      <c r="D6" s="397"/>
      <c r="E6" s="397"/>
      <c r="F6" s="397"/>
      <c r="G6" s="398"/>
      <c r="H6" s="133"/>
      <c r="I6" s="134"/>
      <c r="J6" s="134"/>
      <c r="K6" s="134"/>
    </row>
    <row r="7" spans="1:19" ht="37.799999999999997" x14ac:dyDescent="0.3">
      <c r="A7" s="396"/>
      <c r="B7" s="135"/>
      <c r="C7" s="136" t="s">
        <v>166</v>
      </c>
      <c r="D7" s="136" t="s">
        <v>165</v>
      </c>
      <c r="E7" s="136" t="s">
        <v>164</v>
      </c>
      <c r="F7" s="136" t="s">
        <v>163</v>
      </c>
      <c r="G7" s="137" t="s">
        <v>162</v>
      </c>
      <c r="H7" s="138" t="s">
        <v>161</v>
      </c>
      <c r="I7" s="139" t="s">
        <v>160</v>
      </c>
      <c r="J7" s="139" t="s">
        <v>159</v>
      </c>
      <c r="K7" s="139" t="s">
        <v>158</v>
      </c>
    </row>
    <row r="8" spans="1:19" ht="14.4" x14ac:dyDescent="0.3">
      <c r="A8" s="396"/>
      <c r="B8" s="135"/>
      <c r="C8" s="140" t="s">
        <v>157</v>
      </c>
      <c r="D8" s="216">
        <f>'Remote Server Sizing'!C20</f>
        <v>10000</v>
      </c>
      <c r="E8" s="141">
        <v>2</v>
      </c>
      <c r="F8" s="141">
        <v>5</v>
      </c>
      <c r="G8" s="142">
        <f>IF('Remote Server Sizing'!B5="",D8*E8,'Remote Server Sizing'!B5)</f>
        <v>20000</v>
      </c>
      <c r="H8" s="143">
        <f>'Remote Server Sizing'!$E$11*(86400/(F8*60))*G8</f>
        <v>1051200000</v>
      </c>
      <c r="I8" s="144">
        <f>(('Remote Server Sizing'!$E$9*24*60)/F8)*D8</f>
        <v>1051200000</v>
      </c>
      <c r="J8" s="145">
        <f>((450000*5/F8)*G8)*('Remote Server Sizing'!$D$10/6)</f>
        <v>9000000000</v>
      </c>
      <c r="K8" s="145">
        <f>IF(E8&lt;&gt;0,((450000*5/F8)*D8)*('Remote Server Sizing'!$D$10/6),0)</f>
        <v>4500000000</v>
      </c>
      <c r="R8" s="146"/>
      <c r="S8" s="147"/>
    </row>
    <row r="9" spans="1:19" ht="14.4" x14ac:dyDescent="0.3">
      <c r="A9" s="396"/>
      <c r="B9" s="135"/>
      <c r="C9" s="140" t="s">
        <v>156</v>
      </c>
      <c r="D9" s="141">
        <v>0</v>
      </c>
      <c r="E9" s="141">
        <v>2</v>
      </c>
      <c r="F9" s="141">
        <v>5</v>
      </c>
      <c r="G9" s="142">
        <f t="shared" ref="G9:G32" si="0">D9*E9</f>
        <v>0</v>
      </c>
      <c r="H9" s="143">
        <f>Architecture!$E$23*(86400/(F9*60))*G9</f>
        <v>0</v>
      </c>
      <c r="I9" s="144">
        <f>((Architecture!$E$21*24*60)/F9)*D9</f>
        <v>0</v>
      </c>
      <c r="J9" s="145">
        <f>((450000*5/F9)*G9)*(Architecture!$D$22/6)</f>
        <v>0</v>
      </c>
      <c r="K9" s="145">
        <f>IF(E9&lt;&gt;0,((450000*5/F9)*D9)*(Architecture!$D$22/6),0)</f>
        <v>0</v>
      </c>
      <c r="R9" s="146"/>
      <c r="S9" s="147"/>
    </row>
    <row r="10" spans="1:19" ht="14.4" x14ac:dyDescent="0.3">
      <c r="A10" s="396"/>
      <c r="B10" s="135"/>
      <c r="C10" s="140" t="s">
        <v>155</v>
      </c>
      <c r="D10" s="148">
        <v>0</v>
      </c>
      <c r="E10" s="148">
        <v>2</v>
      </c>
      <c r="F10" s="141">
        <v>5</v>
      </c>
      <c r="G10" s="142">
        <f>D10*E10</f>
        <v>0</v>
      </c>
      <c r="H10" s="143">
        <f>Architecture!$E$23*(86400/(F10*60))*G10</f>
        <v>0</v>
      </c>
      <c r="I10" s="144">
        <f>((Architecture!$E$21*24*60)/F10)*D10</f>
        <v>0</v>
      </c>
      <c r="J10" s="145">
        <f>((450000*5/F10)*G10)*(Architecture!$D$22/6)</f>
        <v>0</v>
      </c>
      <c r="K10" s="145">
        <f>IF(E10&lt;&gt;0,((450000*5/F10)*D10)*(Architecture!$D$22/6),0)</f>
        <v>0</v>
      </c>
      <c r="R10" s="146"/>
      <c r="S10" s="147"/>
    </row>
    <row r="11" spans="1:19" ht="14.4" x14ac:dyDescent="0.3">
      <c r="A11" s="396"/>
      <c r="B11" s="135"/>
      <c r="C11" s="140" t="s">
        <v>154</v>
      </c>
      <c r="D11" s="148">
        <v>0</v>
      </c>
      <c r="E11" s="148">
        <v>1</v>
      </c>
      <c r="F11" s="141">
        <v>5</v>
      </c>
      <c r="G11" s="142">
        <f t="shared" si="0"/>
        <v>0</v>
      </c>
      <c r="H11" s="143">
        <f>Architecture!$E$23*(86400/(F11*60))*G11</f>
        <v>0</v>
      </c>
      <c r="I11" s="144">
        <f>((Architecture!$E$21*24*60)/F11)*D11</f>
        <v>0</v>
      </c>
      <c r="J11" s="145">
        <f>((450000*5/F11)*G11)*(Architecture!$D$22/6)</f>
        <v>0</v>
      </c>
      <c r="K11" s="145">
        <f>IF(E11&lt;&gt;0,((450000*5/F11)*D11)*(Architecture!$D$22/6),0)</f>
        <v>0</v>
      </c>
      <c r="R11" s="146"/>
      <c r="S11" s="147"/>
    </row>
    <row r="12" spans="1:19" ht="14.4" x14ac:dyDescent="0.3">
      <c r="A12" s="396"/>
      <c r="B12" s="135"/>
      <c r="C12" s="140" t="s">
        <v>153</v>
      </c>
      <c r="D12" s="141">
        <v>0</v>
      </c>
      <c r="E12" s="141">
        <v>1</v>
      </c>
      <c r="F12" s="141">
        <v>5</v>
      </c>
      <c r="G12" s="142">
        <f t="shared" si="0"/>
        <v>0</v>
      </c>
      <c r="H12" s="143">
        <f>Architecture!$E$23*(86400/(F12*60))*G12</f>
        <v>0</v>
      </c>
      <c r="I12" s="144">
        <f>((Architecture!$E$21*24*60)/F12)*D12</f>
        <v>0</v>
      </c>
      <c r="J12" s="145">
        <f>((450000*5/F12)*G12)*(Architecture!$D$22/6)</f>
        <v>0</v>
      </c>
      <c r="K12" s="145">
        <f>IF(E12&lt;&gt;0,((450000*5/F12)*D12)*(Architecture!$D$22/6),0)</f>
        <v>0</v>
      </c>
      <c r="R12" s="146"/>
      <c r="S12" s="147"/>
    </row>
    <row r="13" spans="1:19" ht="14.4" x14ac:dyDescent="0.3">
      <c r="A13" s="396"/>
      <c r="B13" s="135"/>
      <c r="C13" s="140" t="s">
        <v>152</v>
      </c>
      <c r="D13" s="148">
        <v>0</v>
      </c>
      <c r="E13" s="148">
        <v>2</v>
      </c>
      <c r="F13" s="148">
        <v>5</v>
      </c>
      <c r="G13" s="142">
        <f t="shared" si="0"/>
        <v>0</v>
      </c>
      <c r="H13" s="143">
        <f>Architecture!$E$23*(86400/(F13*60))*G13</f>
        <v>0</v>
      </c>
      <c r="I13" s="144">
        <f>((Architecture!$E$21*24*60)/F13)*D13</f>
        <v>0</v>
      </c>
      <c r="J13" s="145">
        <f>((450000*5/F13)*G13)*(Architecture!$D$22/6)</f>
        <v>0</v>
      </c>
      <c r="K13" s="145">
        <f>IF(E13&lt;&gt;0,((450000*5/F13)*D13)*(Architecture!$D$22/6),0)</f>
        <v>0</v>
      </c>
      <c r="R13" s="146"/>
      <c r="S13" s="147"/>
    </row>
    <row r="14" spans="1:19" ht="14.4" x14ac:dyDescent="0.3">
      <c r="A14" s="396"/>
      <c r="B14" s="135"/>
      <c r="C14" s="140" t="s">
        <v>151</v>
      </c>
      <c r="D14" s="141">
        <v>0</v>
      </c>
      <c r="E14" s="141">
        <v>0</v>
      </c>
      <c r="F14" s="141">
        <v>5</v>
      </c>
      <c r="G14" s="142">
        <f t="shared" si="0"/>
        <v>0</v>
      </c>
      <c r="H14" s="143">
        <f>Architecture!$E$23*(86400/(F14*60))*G14</f>
        <v>0</v>
      </c>
      <c r="I14" s="144">
        <f>((Architecture!$E$21*24*60)/F14)*D14</f>
        <v>0</v>
      </c>
      <c r="J14" s="145">
        <f>((450000*5/F14)*G14)*(Architecture!$D$22/6)</f>
        <v>0</v>
      </c>
      <c r="K14" s="145">
        <f>IF(E14&lt;&gt;0,((450000*5/F14)*D14)*(Architecture!$D$22/6),0)</f>
        <v>0</v>
      </c>
      <c r="R14" s="146"/>
      <c r="S14" s="147"/>
    </row>
    <row r="15" spans="1:19" ht="14.4" x14ac:dyDescent="0.3">
      <c r="A15" s="396"/>
      <c r="B15" s="135"/>
      <c r="C15" s="140" t="s">
        <v>150</v>
      </c>
      <c r="D15" s="141">
        <v>0</v>
      </c>
      <c r="E15" s="141">
        <v>2</v>
      </c>
      <c r="F15" s="141">
        <v>5</v>
      </c>
      <c r="G15" s="142">
        <f t="shared" si="0"/>
        <v>0</v>
      </c>
      <c r="H15" s="143">
        <f>Architecture!$E$23*(86400/(F15*60))*G15</f>
        <v>0</v>
      </c>
      <c r="I15" s="144">
        <f>((Architecture!$E$21*24*60)/F15)*D15</f>
        <v>0</v>
      </c>
      <c r="J15" s="145">
        <f>((450000*5/F15)*G15)*(Architecture!$D$22/6)</f>
        <v>0</v>
      </c>
      <c r="K15" s="145">
        <f>IF(E15&lt;&gt;0,((450000*5/F15)*D15)*(Architecture!$D$22/6),0)</f>
        <v>0</v>
      </c>
      <c r="R15" s="146"/>
      <c r="S15" s="147"/>
    </row>
    <row r="16" spans="1:19" ht="14.4" x14ac:dyDescent="0.3">
      <c r="A16" s="396"/>
      <c r="B16" s="135"/>
      <c r="C16" s="140" t="s">
        <v>149</v>
      </c>
      <c r="D16" s="148">
        <v>0</v>
      </c>
      <c r="E16" s="148">
        <v>4</v>
      </c>
      <c r="F16" s="148">
        <v>5</v>
      </c>
      <c r="G16" s="142">
        <f t="shared" si="0"/>
        <v>0</v>
      </c>
      <c r="H16" s="143">
        <f>Architecture!$E$23*(86400/(F16*60))*G16</f>
        <v>0</v>
      </c>
      <c r="I16" s="144">
        <f>((Architecture!$E$21*24*60)/F16)*D16</f>
        <v>0</v>
      </c>
      <c r="J16" s="145">
        <f>((450000*5/F16)*G16)*(Architecture!$D$22/6)</f>
        <v>0</v>
      </c>
      <c r="K16" s="145">
        <f>IF(E16&lt;&gt;0,((450000*5/F16)*D16)*(Architecture!$D$22/6),0)</f>
        <v>0</v>
      </c>
      <c r="R16" s="146"/>
      <c r="S16" s="147"/>
    </row>
    <row r="17" spans="1:19" ht="14.4" x14ac:dyDescent="0.3">
      <c r="A17" s="396"/>
      <c r="B17" s="135"/>
      <c r="C17" s="140" t="s">
        <v>148</v>
      </c>
      <c r="D17" s="141">
        <v>0</v>
      </c>
      <c r="E17" s="141">
        <v>0</v>
      </c>
      <c r="F17" s="141">
        <v>60</v>
      </c>
      <c r="G17" s="142">
        <f t="shared" si="0"/>
        <v>0</v>
      </c>
      <c r="H17" s="143">
        <f>Architecture!$E$23*(86400/(F17*60))*G17</f>
        <v>0</v>
      </c>
      <c r="I17" s="144">
        <f>((Architecture!$E$21*24*60)/F17)*D17</f>
        <v>0</v>
      </c>
      <c r="J17" s="145">
        <f>((450000*5/F17)*G17)*(Architecture!$D$22/6)</f>
        <v>0</v>
      </c>
      <c r="K17" s="145">
        <f>IF(E17&lt;&gt;0,((450000*5/F17)*D17)*(Architecture!$D$22/6),0)</f>
        <v>0</v>
      </c>
      <c r="R17" s="146"/>
      <c r="S17" s="147"/>
    </row>
    <row r="18" spans="1:19" ht="14.4" x14ac:dyDescent="0.3">
      <c r="A18" s="396"/>
      <c r="B18" s="135"/>
      <c r="C18" s="140" t="s">
        <v>147</v>
      </c>
      <c r="D18" s="148">
        <v>0</v>
      </c>
      <c r="E18" s="148">
        <v>2</v>
      </c>
      <c r="F18" s="148">
        <v>60</v>
      </c>
      <c r="G18" s="142">
        <f t="shared" si="0"/>
        <v>0</v>
      </c>
      <c r="H18" s="143">
        <f>Architecture!$E$23*(86400/(F18*60))*G18</f>
        <v>0</v>
      </c>
      <c r="I18" s="144">
        <f>((Architecture!$E$21*24*60)/F18)*D18</f>
        <v>0</v>
      </c>
      <c r="J18" s="145">
        <f>((450000*5/F18)*G18)*(Architecture!$D$22/6)</f>
        <v>0</v>
      </c>
      <c r="K18" s="145">
        <f>IF(E18&lt;&gt;0,((450000*5/F18)*D18)*(Architecture!$D$22/6),0)</f>
        <v>0</v>
      </c>
      <c r="R18" s="146"/>
      <c r="S18" s="147"/>
    </row>
    <row r="19" spans="1:19" ht="14.4" x14ac:dyDescent="0.3">
      <c r="A19" s="396"/>
      <c r="B19" s="135"/>
      <c r="C19" s="140" t="s">
        <v>146</v>
      </c>
      <c r="D19" s="148">
        <v>0</v>
      </c>
      <c r="E19" s="148">
        <v>3</v>
      </c>
      <c r="F19" s="148">
        <v>5</v>
      </c>
      <c r="G19" s="142">
        <f t="shared" si="0"/>
        <v>0</v>
      </c>
      <c r="H19" s="143">
        <f>Architecture!$E$23*(86400/(F19*60))*G19</f>
        <v>0</v>
      </c>
      <c r="I19" s="144">
        <f>((Architecture!$E$21*24*60)/F19)*D19</f>
        <v>0</v>
      </c>
      <c r="J19" s="145">
        <f>((450000*5/F19)*G19)*(Architecture!$D$22/6)</f>
        <v>0</v>
      </c>
      <c r="K19" s="145">
        <f>IF(E19&lt;&gt;0,((450000*5/F19)*D19)*(Architecture!$D$22/6),0)</f>
        <v>0</v>
      </c>
      <c r="R19" s="146"/>
      <c r="S19" s="147"/>
    </row>
    <row r="20" spans="1:19" ht="14.4" x14ac:dyDescent="0.3">
      <c r="A20" s="396"/>
      <c r="B20" s="135"/>
      <c r="C20" s="140" t="s">
        <v>145</v>
      </c>
      <c r="D20" s="141">
        <v>0</v>
      </c>
      <c r="E20" s="141">
        <v>2</v>
      </c>
      <c r="F20" s="141">
        <v>5</v>
      </c>
      <c r="G20" s="142">
        <f t="shared" si="0"/>
        <v>0</v>
      </c>
      <c r="H20" s="143">
        <f>Architecture!$E$23*(86400/(F20*60))*G20</f>
        <v>0</v>
      </c>
      <c r="I20" s="144">
        <f>((Architecture!$E$21*24*60)/F20)*D20</f>
        <v>0</v>
      </c>
      <c r="J20" s="145">
        <f>((450000*5/F20)*G20)*(Architecture!$D$22/6)</f>
        <v>0</v>
      </c>
      <c r="K20" s="145">
        <f>IF(E20&lt;&gt;0,((450000*5/F20)*D20)*(Architecture!$D$22/6),0)</f>
        <v>0</v>
      </c>
      <c r="R20" s="146"/>
      <c r="S20" s="147"/>
    </row>
    <row r="21" spans="1:19" ht="14.4" x14ac:dyDescent="0.3">
      <c r="A21" s="396"/>
      <c r="B21" s="135"/>
      <c r="C21" s="140" t="s">
        <v>144</v>
      </c>
      <c r="D21" s="148">
        <v>0</v>
      </c>
      <c r="E21" s="141">
        <v>0</v>
      </c>
      <c r="F21" s="141">
        <v>5</v>
      </c>
      <c r="G21" s="142">
        <f t="shared" si="0"/>
        <v>0</v>
      </c>
      <c r="H21" s="143">
        <f>Architecture!$E$23*(86400/(F21*60))*G21</f>
        <v>0</v>
      </c>
      <c r="I21" s="144">
        <f>((Architecture!$E$21*24*60)/F21)*D21</f>
        <v>0</v>
      </c>
      <c r="J21" s="145">
        <f>((450000*5/F21)*G21)*(Architecture!$D$22/6)</f>
        <v>0</v>
      </c>
      <c r="K21" s="145">
        <f>IF(E21&lt;&gt;0,((450000*5/F21)*D21)*(Architecture!$D$22/6),0)</f>
        <v>0</v>
      </c>
      <c r="R21" s="146"/>
      <c r="S21" s="147"/>
    </row>
    <row r="22" spans="1:19" ht="14.4" x14ac:dyDescent="0.3">
      <c r="A22" s="396"/>
      <c r="B22" s="135"/>
      <c r="C22" s="149" t="s">
        <v>143</v>
      </c>
      <c r="D22" s="148">
        <v>0</v>
      </c>
      <c r="E22" s="141">
        <v>0</v>
      </c>
      <c r="F22" s="141">
        <v>5</v>
      </c>
      <c r="G22" s="142">
        <f t="shared" si="0"/>
        <v>0</v>
      </c>
      <c r="H22" s="143">
        <f>Architecture!$E$23*(86400/(F22*60))*G22</f>
        <v>0</v>
      </c>
      <c r="I22" s="144">
        <f>((Architecture!$E$21*24*60)/F22)*D22</f>
        <v>0</v>
      </c>
      <c r="J22" s="145">
        <f>((450000*5/F22)*G22)*(Architecture!$D$22/6)</f>
        <v>0</v>
      </c>
      <c r="K22" s="145">
        <f>IF(E22&lt;&gt;0,((450000*5/F22)*D22)*(Architecture!$D$22/6),0)</f>
        <v>0</v>
      </c>
      <c r="R22" s="150"/>
      <c r="S22" s="147"/>
    </row>
    <row r="23" spans="1:19" ht="14.4" x14ac:dyDescent="0.3">
      <c r="A23" s="396"/>
      <c r="B23" s="135"/>
      <c r="C23" s="140" t="s">
        <v>142</v>
      </c>
      <c r="D23" s="141">
        <v>0</v>
      </c>
      <c r="E23" s="141">
        <v>0</v>
      </c>
      <c r="F23" s="141">
        <v>5</v>
      </c>
      <c r="G23" s="142">
        <f t="shared" si="0"/>
        <v>0</v>
      </c>
      <c r="H23" s="143">
        <f>Architecture!$E$23*(86400/(F23*60))*G23</f>
        <v>0</v>
      </c>
      <c r="I23" s="144">
        <f>((Architecture!$E$21*24*60)/F23)*D23</f>
        <v>0</v>
      </c>
      <c r="J23" s="145">
        <f>((450000*5/F23)*G23)*(Architecture!$D$22/6)</f>
        <v>0</v>
      </c>
      <c r="K23" s="145">
        <f>IF(E23&lt;&gt;0,((450000*5/F23)*D23)*(Architecture!$D$22/6),0)</f>
        <v>0</v>
      </c>
      <c r="R23" s="146"/>
      <c r="S23" s="147"/>
    </row>
    <row r="24" spans="1:19" ht="14.4" x14ac:dyDescent="0.3">
      <c r="A24" s="396"/>
      <c r="B24" s="135"/>
      <c r="C24" s="140" t="s">
        <v>141</v>
      </c>
      <c r="D24" s="148">
        <v>0</v>
      </c>
      <c r="E24" s="141">
        <v>2</v>
      </c>
      <c r="F24" s="141">
        <v>5</v>
      </c>
      <c r="G24" s="142">
        <f t="shared" si="0"/>
        <v>0</v>
      </c>
      <c r="H24" s="143">
        <f>Architecture!$E$23*(86400/(F24*60))*G24</f>
        <v>0</v>
      </c>
      <c r="I24" s="144">
        <f>((Architecture!$E$21*24*60)/F24)*D24</f>
        <v>0</v>
      </c>
      <c r="J24" s="145">
        <f>((450000*5/F24)*G24)*(Architecture!$D$22/6)</f>
        <v>0</v>
      </c>
      <c r="K24" s="145">
        <f>IF(E24&lt;&gt;0,((450000*5/F24)*D24)*(Architecture!$D$22/6),0)</f>
        <v>0</v>
      </c>
      <c r="R24" s="146"/>
      <c r="S24" s="147"/>
    </row>
    <row r="25" spans="1:19" ht="14.4" x14ac:dyDescent="0.3">
      <c r="A25" s="396"/>
      <c r="B25" s="135"/>
      <c r="C25" s="140" t="s">
        <v>140</v>
      </c>
      <c r="D25" s="148">
        <v>0</v>
      </c>
      <c r="E25" s="148">
        <v>2</v>
      </c>
      <c r="F25" s="148">
        <v>5</v>
      </c>
      <c r="G25" s="142">
        <f t="shared" si="0"/>
        <v>0</v>
      </c>
      <c r="H25" s="143">
        <f>Architecture!$E$23*(86400/(F25*60))*G25</f>
        <v>0</v>
      </c>
      <c r="I25" s="144">
        <f>((Architecture!$E$21*24*60)/F25)*D25</f>
        <v>0</v>
      </c>
      <c r="J25" s="145">
        <f>((450000*5/F25)*G25)*(Architecture!$D$22/6)</f>
        <v>0</v>
      </c>
      <c r="K25" s="145">
        <f>IF(E25&lt;&gt;0,((450000*5/F25)*D25)*(Architecture!$D$22/6),0)</f>
        <v>0</v>
      </c>
      <c r="R25" s="146"/>
      <c r="S25" s="147"/>
    </row>
    <row r="26" spans="1:19" ht="14.4" x14ac:dyDescent="0.3">
      <c r="A26" s="396"/>
      <c r="B26" s="135"/>
      <c r="C26" s="140" t="s">
        <v>139</v>
      </c>
      <c r="D26" s="148">
        <v>0</v>
      </c>
      <c r="E26" s="141">
        <v>0</v>
      </c>
      <c r="F26" s="141">
        <v>300</v>
      </c>
      <c r="G26" s="142">
        <f t="shared" si="0"/>
        <v>0</v>
      </c>
      <c r="H26" s="143">
        <f>Architecture!$E$23*(86400/(F26*60))*G26</f>
        <v>0</v>
      </c>
      <c r="I26" s="144">
        <f>((Architecture!$E$21*24*60)/F26)*D26</f>
        <v>0</v>
      </c>
      <c r="J26" s="145">
        <f>((450000*5/F26)*G26)*(Architecture!$D$22/6)</f>
        <v>0</v>
      </c>
      <c r="K26" s="145">
        <f>IF(E26&lt;&gt;0,((450000*5/F26)*D26)*(Architecture!$D$22/6),0)</f>
        <v>0</v>
      </c>
      <c r="R26" s="146"/>
      <c r="S26" s="147"/>
    </row>
    <row r="27" spans="1:19" ht="14.4" x14ac:dyDescent="0.3">
      <c r="A27" s="396"/>
      <c r="B27" s="135"/>
      <c r="C27" s="140" t="s">
        <v>138</v>
      </c>
      <c r="D27" s="141">
        <v>0</v>
      </c>
      <c r="E27" s="148">
        <v>3</v>
      </c>
      <c r="F27" s="148">
        <v>300</v>
      </c>
      <c r="G27" s="142">
        <f t="shared" si="0"/>
        <v>0</v>
      </c>
      <c r="H27" s="143">
        <f>Architecture!$E$23*(86400/(F27*60))*G27</f>
        <v>0</v>
      </c>
      <c r="I27" s="144">
        <f>((Architecture!$E$21*24*60)/F27)*D27</f>
        <v>0</v>
      </c>
      <c r="J27" s="145">
        <f>((450000*5/F27)*G27)*(Architecture!$D$22/6)</f>
        <v>0</v>
      </c>
      <c r="K27" s="145">
        <f>IF(E27&lt;&gt;0,((450000*5/F27)*D27)*(Architecture!$D$22/6),0)</f>
        <v>0</v>
      </c>
      <c r="R27" s="146"/>
      <c r="S27" s="147"/>
    </row>
    <row r="28" spans="1:19" ht="14.4" x14ac:dyDescent="0.3">
      <c r="A28" s="396"/>
      <c r="B28" s="135"/>
      <c r="C28" s="140" t="s">
        <v>137</v>
      </c>
      <c r="D28" s="148">
        <v>0</v>
      </c>
      <c r="E28" s="148">
        <v>0</v>
      </c>
      <c r="F28" s="148">
        <v>5</v>
      </c>
      <c r="G28" s="142">
        <f t="shared" si="0"/>
        <v>0</v>
      </c>
      <c r="H28" s="143">
        <f>Architecture!$E$23*(86400/(F28*60))*G28</f>
        <v>0</v>
      </c>
      <c r="I28" s="144">
        <f>((Architecture!$E$21*24*60)/F28)*D28</f>
        <v>0</v>
      </c>
      <c r="J28" s="145">
        <f>((450000*5/F28)*G28)*(Architecture!$D$22/6)</f>
        <v>0</v>
      </c>
      <c r="K28" s="145">
        <f>IF(E28&lt;&gt;0,((450000*5/F28)*D28)*(Architecture!$D$22/6),0)</f>
        <v>0</v>
      </c>
      <c r="R28" s="146"/>
      <c r="S28" s="147"/>
    </row>
    <row r="29" spans="1:19" ht="14.4" x14ac:dyDescent="0.3">
      <c r="A29" s="396"/>
      <c r="B29" s="135"/>
      <c r="C29" s="140" t="s">
        <v>136</v>
      </c>
      <c r="D29" s="141">
        <v>0</v>
      </c>
      <c r="E29" s="148">
        <v>2</v>
      </c>
      <c r="F29" s="148">
        <v>5</v>
      </c>
      <c r="G29" s="142">
        <f t="shared" si="0"/>
        <v>0</v>
      </c>
      <c r="H29" s="143">
        <f>Architecture!$E$23*(86400/(F29*60))*G29</f>
        <v>0</v>
      </c>
      <c r="I29" s="144">
        <f>((Architecture!$E$21*24*60)/F29)*D29</f>
        <v>0</v>
      </c>
      <c r="J29" s="145">
        <f>((450000*5/F29)*G29)*(Architecture!$D$22/6)</f>
        <v>0</v>
      </c>
      <c r="K29" s="145">
        <f>IF(E29&lt;&gt;0,((450000*5/F29)*D29)*(Architecture!$D$22/6),0)</f>
        <v>0</v>
      </c>
      <c r="R29" s="146"/>
      <c r="S29" s="147"/>
    </row>
    <row r="30" spans="1:19" ht="14.4" x14ac:dyDescent="0.3">
      <c r="A30" s="396"/>
      <c r="B30" s="135"/>
      <c r="C30" s="140" t="s">
        <v>135</v>
      </c>
      <c r="D30" s="141">
        <v>0</v>
      </c>
      <c r="E30" s="141">
        <v>0</v>
      </c>
      <c r="F30" s="141">
        <v>5</v>
      </c>
      <c r="G30" s="142">
        <f t="shared" si="0"/>
        <v>0</v>
      </c>
      <c r="H30" s="143">
        <f>Architecture!$E$23*(86400/(F30*60))*G30</f>
        <v>0</v>
      </c>
      <c r="I30" s="144">
        <f>((Architecture!$E$21*24*60)/F30)*D30</f>
        <v>0</v>
      </c>
      <c r="J30" s="145">
        <f>((450000*5/F30)*G30)*(Architecture!$D$22/6)</f>
        <v>0</v>
      </c>
      <c r="K30" s="145">
        <f>IF(E30&lt;&gt;0,((450000*5/F30)*D30)*(Architecture!$D$22/6),0)</f>
        <v>0</v>
      </c>
      <c r="R30" s="146"/>
      <c r="S30" s="147"/>
    </row>
    <row r="31" spans="1:19" ht="14.4" x14ac:dyDescent="0.3">
      <c r="A31" s="396"/>
      <c r="B31" s="135"/>
      <c r="C31" s="140"/>
      <c r="D31" s="148">
        <v>0</v>
      </c>
      <c r="E31" s="141">
        <v>2</v>
      </c>
      <c r="F31" s="141">
        <v>5</v>
      </c>
      <c r="G31" s="142">
        <f t="shared" si="0"/>
        <v>0</v>
      </c>
      <c r="H31" s="143">
        <f>Architecture!$E$23*(86400/(F31*60))*G31</f>
        <v>0</v>
      </c>
      <c r="I31" s="144">
        <f>((Architecture!$E$21*24*60)/F31)*D31</f>
        <v>0</v>
      </c>
      <c r="J31" s="145">
        <f>((450000*5/F31)*G31)*(Architecture!$D$22/6)</f>
        <v>0</v>
      </c>
      <c r="K31" s="145">
        <f>IF(E31&lt;&gt;0,((450000*5/F31)*D31)*(Architecture!$D$22/6),0)</f>
        <v>0</v>
      </c>
    </row>
    <row r="32" spans="1:19" ht="15" thickBot="1" x14ac:dyDescent="0.35">
      <c r="A32" s="396"/>
      <c r="B32" s="135"/>
      <c r="C32" s="149"/>
      <c r="D32" s="148">
        <v>0</v>
      </c>
      <c r="E32" s="148">
        <v>2</v>
      </c>
      <c r="F32" s="141">
        <v>5</v>
      </c>
      <c r="G32" s="142">
        <f t="shared" si="0"/>
        <v>0</v>
      </c>
    </row>
    <row r="33" spans="1:13" ht="19.5" customHeight="1" thickBot="1" x14ac:dyDescent="0.35">
      <c r="A33" s="396"/>
      <c r="B33" s="135"/>
      <c r="C33" s="151" t="s">
        <v>134</v>
      </c>
      <c r="D33" s="141">
        <f>'Poller Sizing'!B3</f>
        <v>0</v>
      </c>
      <c r="E33" s="399">
        <v>0</v>
      </c>
      <c r="F33" s="399"/>
      <c r="G33" s="152">
        <f>SUM(D8:D32)</f>
        <v>10000</v>
      </c>
      <c r="H33" s="153"/>
      <c r="J33" s="154"/>
      <c r="K33" s="154"/>
    </row>
    <row r="34" spans="1:13" ht="19.5" customHeight="1" thickBot="1" x14ac:dyDescent="0.35">
      <c r="A34" s="396"/>
      <c r="B34" s="135"/>
      <c r="C34" s="135"/>
      <c r="D34" s="155"/>
      <c r="E34" s="400" t="s">
        <v>132</v>
      </c>
      <c r="F34" s="400"/>
      <c r="G34" s="156">
        <f>SUM(G8:G32)</f>
        <v>20000</v>
      </c>
      <c r="H34" s="153"/>
    </row>
    <row r="35" spans="1:13" ht="19.5" customHeight="1" thickBot="1" x14ac:dyDescent="0.35">
      <c r="A35" s="396"/>
      <c r="B35" s="135"/>
      <c r="C35" s="135"/>
      <c r="D35" s="155"/>
      <c r="E35" s="400" t="s">
        <v>131</v>
      </c>
      <c r="F35" s="400"/>
      <c r="G35" s="152">
        <f>SUMIF(E8:E32,"&lt;&gt;0",D8:D32)</f>
        <v>10000</v>
      </c>
      <c r="H35" s="153"/>
    </row>
    <row r="36" spans="1:13" ht="15" customHeight="1" x14ac:dyDescent="0.3">
      <c r="A36" s="396"/>
      <c r="B36" s="135"/>
      <c r="C36" s="135"/>
      <c r="D36" s="135"/>
      <c r="E36" s="135"/>
      <c r="F36" s="135"/>
      <c r="G36" s="157"/>
      <c r="H36" s="158"/>
    </row>
    <row r="37" spans="1:13" ht="23.25" customHeight="1" x14ac:dyDescent="0.3">
      <c r="A37" s="396" t="s">
        <v>130</v>
      </c>
      <c r="B37" s="135"/>
      <c r="H37" s="159"/>
    </row>
    <row r="38" spans="1:13" ht="15.75" customHeight="1" x14ac:dyDescent="0.3">
      <c r="A38" s="396"/>
      <c r="B38" s="135"/>
      <c r="H38" s="160"/>
    </row>
    <row r="39" spans="1:13" ht="15.75" customHeight="1" x14ac:dyDescent="0.3">
      <c r="A39" s="396"/>
      <c r="B39" s="135"/>
      <c r="H39" s="160"/>
    </row>
    <row r="40" spans="1:13" ht="15.75" customHeight="1" x14ac:dyDescent="0.3">
      <c r="A40" s="396"/>
      <c r="B40" s="135"/>
      <c r="H40" s="160"/>
    </row>
    <row r="41" spans="1:13" ht="15.75" customHeight="1" x14ac:dyDescent="0.3">
      <c r="A41" s="396"/>
      <c r="B41" s="135"/>
      <c r="H41" s="160"/>
    </row>
    <row r="42" spans="1:13" ht="15" customHeight="1" x14ac:dyDescent="0.3">
      <c r="A42" s="396"/>
      <c r="B42" s="135"/>
      <c r="C42" s="161"/>
      <c r="D42" s="162"/>
      <c r="E42" s="162"/>
      <c r="F42" s="163"/>
      <c r="G42" s="164"/>
      <c r="H42" s="160"/>
    </row>
    <row r="43" spans="1:13" ht="22.5" customHeight="1" x14ac:dyDescent="0.3">
      <c r="A43" s="396"/>
      <c r="B43" s="135"/>
      <c r="C43" s="438" t="s">
        <v>129</v>
      </c>
      <c r="D43" s="439"/>
      <c r="E43" s="439"/>
      <c r="F43" s="439"/>
      <c r="G43" s="165" t="s">
        <v>128</v>
      </c>
      <c r="H43" s="160"/>
    </row>
    <row r="44" spans="1:13" ht="17.25" customHeight="1" x14ac:dyDescent="0.3">
      <c r="A44" s="396"/>
      <c r="B44" s="135"/>
      <c r="C44" s="418" t="s">
        <v>127</v>
      </c>
      <c r="D44" s="418"/>
      <c r="E44" s="418"/>
      <c r="F44" s="418"/>
      <c r="G44" s="166">
        <f>G33*0.05</f>
        <v>500</v>
      </c>
      <c r="H44" s="160"/>
      <c r="M44" s="127" t="s">
        <v>126</v>
      </c>
    </row>
    <row r="45" spans="1:13" ht="17.25" customHeight="1" x14ac:dyDescent="0.3">
      <c r="A45" s="396"/>
      <c r="B45" s="135"/>
      <c r="C45" s="418" t="s">
        <v>125</v>
      </c>
      <c r="D45" s="418"/>
      <c r="E45" s="418"/>
      <c r="F45" s="418"/>
      <c r="G45" s="166">
        <f>G33*0.02</f>
        <v>200</v>
      </c>
      <c r="H45" s="160"/>
      <c r="M45" s="127" t="s">
        <v>124</v>
      </c>
    </row>
    <row r="46" spans="1:13" ht="15" customHeight="1" x14ac:dyDescent="0.3">
      <c r="A46" s="396"/>
      <c r="B46" s="135"/>
      <c r="C46" s="135"/>
      <c r="D46" s="135"/>
      <c r="E46" s="135"/>
      <c r="F46" s="163"/>
      <c r="G46" s="157"/>
      <c r="H46" s="158"/>
    </row>
    <row r="47" spans="1:13" s="128" customFormat="1" ht="19.5" customHeight="1" x14ac:dyDescent="0.3">
      <c r="A47" s="396"/>
      <c r="B47" s="167"/>
      <c r="C47" s="419" t="s">
        <v>123</v>
      </c>
      <c r="D47" s="420"/>
      <c r="E47" s="420"/>
      <c r="F47" s="420"/>
      <c r="G47" s="168" t="s">
        <v>37</v>
      </c>
    </row>
    <row r="48" spans="1:13" s="170" customFormat="1" ht="15.75" customHeight="1" x14ac:dyDescent="0.3">
      <c r="A48" s="396"/>
      <c r="B48" s="135"/>
      <c r="C48" s="409" t="s">
        <v>40</v>
      </c>
      <c r="D48" s="410"/>
      <c r="E48" s="410"/>
      <c r="F48" s="411"/>
      <c r="G48" s="169">
        <v>2</v>
      </c>
      <c r="M48" s="170" t="s">
        <v>112</v>
      </c>
    </row>
    <row r="49" spans="1:13" s="170" customFormat="1" ht="15.75" customHeight="1" x14ac:dyDescent="0.3">
      <c r="A49" s="396"/>
      <c r="B49" s="135"/>
      <c r="C49" s="409" t="s">
        <v>41</v>
      </c>
      <c r="D49" s="410"/>
      <c r="E49" s="410"/>
      <c r="F49" s="411"/>
      <c r="G49" s="169">
        <v>2</v>
      </c>
      <c r="M49" s="170" t="s">
        <v>112</v>
      </c>
    </row>
    <row r="50" spans="1:13" s="170" customFormat="1" ht="15.75" customHeight="1" x14ac:dyDescent="0.3">
      <c r="A50" s="396"/>
      <c r="B50" s="135"/>
      <c r="C50" s="409" t="s">
        <v>42</v>
      </c>
      <c r="D50" s="410"/>
      <c r="E50" s="410"/>
      <c r="F50" s="411"/>
      <c r="G50" s="169">
        <v>2</v>
      </c>
      <c r="M50" s="170" t="s">
        <v>112</v>
      </c>
    </row>
    <row r="51" spans="1:13" s="170" customFormat="1" ht="15.75" customHeight="1" x14ac:dyDescent="0.3">
      <c r="A51" s="396"/>
      <c r="B51" s="135"/>
      <c r="C51" s="409" t="s">
        <v>43</v>
      </c>
      <c r="D51" s="410"/>
      <c r="E51" s="410"/>
      <c r="F51" s="411"/>
      <c r="G51" s="169">
        <v>3</v>
      </c>
      <c r="M51" s="170" t="s">
        <v>112</v>
      </c>
    </row>
    <row r="52" spans="1:13" s="170" customFormat="1" ht="15.75" customHeight="1" x14ac:dyDescent="0.3">
      <c r="A52" s="396"/>
      <c r="B52" s="135"/>
      <c r="C52" s="409" t="s">
        <v>44</v>
      </c>
      <c r="D52" s="410"/>
      <c r="E52" s="410"/>
      <c r="F52" s="411"/>
      <c r="G52" s="171">
        <f>IFERROR((G44*30)/G33,0)</f>
        <v>1.5</v>
      </c>
    </row>
    <row r="53" spans="1:13" s="170" customFormat="1" ht="15.75" customHeight="1" x14ac:dyDescent="0.3">
      <c r="A53" s="396"/>
      <c r="B53" s="135"/>
      <c r="C53" s="409" t="s">
        <v>45</v>
      </c>
      <c r="D53" s="410"/>
      <c r="E53" s="410"/>
      <c r="F53" s="411"/>
      <c r="G53" s="171">
        <f>IFERROR((G45*30)/D33,0)</f>
        <v>0</v>
      </c>
    </row>
    <row r="54" spans="1:13" s="170" customFormat="1" ht="15.75" customHeight="1" x14ac:dyDescent="0.3">
      <c r="A54" s="396"/>
      <c r="B54" s="135"/>
      <c r="C54" s="409" t="s">
        <v>46</v>
      </c>
      <c r="D54" s="410"/>
      <c r="E54" s="410"/>
      <c r="F54" s="411"/>
      <c r="G54" s="172">
        <f>IFERROR(AVERAGEIF(D8:D32,"&lt;&gt;0",E8:E32),0)</f>
        <v>2</v>
      </c>
    </row>
    <row r="55" spans="1:13" s="170" customFormat="1" ht="15.75" customHeight="1" x14ac:dyDescent="0.3">
      <c r="A55" s="396"/>
      <c r="B55" s="135"/>
      <c r="C55" s="409" t="s">
        <v>47</v>
      </c>
      <c r="D55" s="410"/>
      <c r="E55" s="410"/>
      <c r="F55" s="411"/>
      <c r="G55" s="172">
        <f>IFERROR(SUMPRODUCT(D8:D32,F8:F32)/G33,0)</f>
        <v>5</v>
      </c>
    </row>
    <row r="56" spans="1:13" s="175" customFormat="1" ht="15" customHeight="1" x14ac:dyDescent="0.3">
      <c r="A56" s="396"/>
      <c r="B56" s="162"/>
      <c r="C56" s="173"/>
      <c r="D56" s="173"/>
      <c r="E56" s="173"/>
      <c r="F56" s="173"/>
      <c r="G56" s="174"/>
    </row>
    <row r="57" spans="1:13" ht="28.8" x14ac:dyDescent="0.3">
      <c r="A57" s="396"/>
      <c r="B57" s="135"/>
      <c r="C57" s="414" t="s">
        <v>122</v>
      </c>
      <c r="D57" s="415"/>
      <c r="E57" s="176" t="s">
        <v>121</v>
      </c>
      <c r="F57" s="176" t="s">
        <v>120</v>
      </c>
      <c r="G57" s="177" t="s">
        <v>50</v>
      </c>
      <c r="H57" s="178" t="s">
        <v>64</v>
      </c>
      <c r="I57" s="179" t="s">
        <v>63</v>
      </c>
      <c r="J57" s="179" t="s">
        <v>62</v>
      </c>
    </row>
    <row r="58" spans="1:13" ht="15.75" customHeight="1" x14ac:dyDescent="0.3">
      <c r="A58" s="396"/>
      <c r="B58" s="135"/>
      <c r="C58" s="416" t="s">
        <v>58</v>
      </c>
      <c r="D58" s="417"/>
      <c r="E58" s="180" t="s">
        <v>115</v>
      </c>
      <c r="F58" s="181">
        <v>6</v>
      </c>
      <c r="G58" s="182">
        <f t="shared" ref="G58:G65" si="1">IFERROR((I58*H58+J58*H58)/1024/1024,0)</f>
        <v>0</v>
      </c>
      <c r="H58" s="183">
        <f>F58*31*D33*G48*G49*G51</f>
        <v>0</v>
      </c>
      <c r="I58" s="184">
        <v>72</v>
      </c>
      <c r="J58" s="184">
        <f>(4+4+1+4+6+6)*J78</f>
        <v>70</v>
      </c>
      <c r="M58" s="170" t="s">
        <v>112</v>
      </c>
    </row>
    <row r="59" spans="1:13" ht="15.75" customHeight="1" x14ac:dyDescent="0.3">
      <c r="A59" s="396"/>
      <c r="B59" s="135"/>
      <c r="C59" s="416" t="s">
        <v>119</v>
      </c>
      <c r="D59" s="417"/>
      <c r="E59" s="180" t="s">
        <v>117</v>
      </c>
      <c r="F59" s="181">
        <v>24</v>
      </c>
      <c r="G59" s="182">
        <f t="shared" si="1"/>
        <v>9.5141601562499997E-2</v>
      </c>
      <c r="H59" s="183">
        <f>F59*G48*G49*G51</f>
        <v>288</v>
      </c>
      <c r="I59" s="184">
        <v>254</v>
      </c>
      <c r="J59" s="184">
        <f>(4+4+4+4+1+4+6+6)*J78</f>
        <v>92.399999999999991</v>
      </c>
      <c r="M59" s="170" t="s">
        <v>112</v>
      </c>
    </row>
    <row r="60" spans="1:13" ht="15.75" customHeight="1" x14ac:dyDescent="0.3">
      <c r="A60" s="396"/>
      <c r="B60" s="135"/>
      <c r="C60" s="416" t="s">
        <v>59</v>
      </c>
      <c r="D60" s="417"/>
      <c r="E60" s="180" t="s">
        <v>115</v>
      </c>
      <c r="F60" s="181">
        <v>6</v>
      </c>
      <c r="G60" s="182">
        <f t="shared" si="1"/>
        <v>6300.6591796875</v>
      </c>
      <c r="H60" s="183">
        <f>F60*31*G33*G48*G49*G50*G51</f>
        <v>44640000</v>
      </c>
      <c r="I60" s="184">
        <v>78</v>
      </c>
      <c r="J60" s="184">
        <f>(4+4+1+4+6+6)*J78</f>
        <v>70</v>
      </c>
      <c r="M60" s="170" t="s">
        <v>112</v>
      </c>
    </row>
    <row r="61" spans="1:13" ht="15.75" customHeight="1" x14ac:dyDescent="0.3">
      <c r="A61" s="396"/>
      <c r="B61" s="135"/>
      <c r="C61" s="412" t="s">
        <v>118</v>
      </c>
      <c r="D61" s="413"/>
      <c r="E61" s="180" t="s">
        <v>117</v>
      </c>
      <c r="F61" s="181">
        <v>24</v>
      </c>
      <c r="G61" s="182">
        <f t="shared" si="1"/>
        <v>0.11612548828124999</v>
      </c>
      <c r="H61" s="183">
        <f>F61*G48*G49*G50*G51</f>
        <v>576</v>
      </c>
      <c r="I61" s="184">
        <v>119</v>
      </c>
      <c r="J61" s="184">
        <f>(4+4+4+4+1+4+6+6)*J78</f>
        <v>92.399999999999991</v>
      </c>
      <c r="M61" s="170" t="s">
        <v>112</v>
      </c>
    </row>
    <row r="62" spans="1:13" ht="15.75" customHeight="1" x14ac:dyDescent="0.3">
      <c r="A62" s="396"/>
      <c r="B62" s="135"/>
      <c r="C62" s="416" t="s">
        <v>57</v>
      </c>
      <c r="D62" s="417"/>
      <c r="E62" s="180" t="s">
        <v>113</v>
      </c>
      <c r="F62" s="181">
        <v>6</v>
      </c>
      <c r="G62" s="182">
        <f t="shared" si="1"/>
        <v>322.998046875</v>
      </c>
      <c r="H62" s="183">
        <f>G33*G48*G49*G50*G51*G52*F62</f>
        <v>2160000</v>
      </c>
      <c r="I62" s="184">
        <v>56</v>
      </c>
      <c r="J62" s="184">
        <f>(4+1+1+4+4+1+1+4+4+6+6)*J78</f>
        <v>100.8</v>
      </c>
      <c r="M62" s="170" t="s">
        <v>112</v>
      </c>
    </row>
    <row r="63" spans="1:13" ht="15.75" customHeight="1" x14ac:dyDescent="0.3">
      <c r="A63" s="396"/>
      <c r="B63" s="135"/>
      <c r="C63" s="416" t="s">
        <v>56</v>
      </c>
      <c r="D63" s="417"/>
      <c r="E63" s="180" t="s">
        <v>113</v>
      </c>
      <c r="F63" s="181">
        <v>6</v>
      </c>
      <c r="G63" s="182">
        <f t="shared" si="1"/>
        <v>0</v>
      </c>
      <c r="H63" s="183">
        <f>D33*G48*G49*G51*G53*F63</f>
        <v>0</v>
      </c>
      <c r="I63" s="184">
        <v>76</v>
      </c>
      <c r="J63" s="184">
        <f>(4+1+1+4+4+1+1+4+4+6+6)*J78</f>
        <v>100.8</v>
      </c>
      <c r="M63" s="170" t="s">
        <v>112</v>
      </c>
    </row>
    <row r="64" spans="1:13" ht="15.75" customHeight="1" x14ac:dyDescent="0.3">
      <c r="A64" s="396"/>
      <c r="B64" s="135"/>
      <c r="C64" s="412" t="s">
        <v>114</v>
      </c>
      <c r="D64" s="413"/>
      <c r="E64" s="180" t="s">
        <v>116</v>
      </c>
      <c r="F64" s="181">
        <v>3</v>
      </c>
      <c r="G64" s="182">
        <f t="shared" si="1"/>
        <v>44002.44140625</v>
      </c>
      <c r="H64" s="183">
        <f>G33*G48*G49*G50*G54*F64*31*24</f>
        <v>357120000</v>
      </c>
      <c r="I64" s="184">
        <v>62</v>
      </c>
      <c r="J64" s="184">
        <f>(4+4+4+6+6)*J78</f>
        <v>67.199999999999989</v>
      </c>
      <c r="M64" s="170" t="s">
        <v>112</v>
      </c>
    </row>
    <row r="65" spans="1:13" ht="15.75" customHeight="1" x14ac:dyDescent="0.3">
      <c r="A65" s="396"/>
      <c r="B65" s="135"/>
      <c r="C65" s="412" t="s">
        <v>114</v>
      </c>
      <c r="D65" s="413"/>
      <c r="E65" s="180" t="s">
        <v>115</v>
      </c>
      <c r="F65" s="181">
        <v>6</v>
      </c>
      <c r="G65" s="182">
        <f t="shared" si="1"/>
        <v>12090.4541015625</v>
      </c>
      <c r="H65" s="183">
        <f>G33*G48*G49*G50*G51*G54*F65*31</f>
        <v>89280000</v>
      </c>
      <c r="I65" s="184">
        <v>72</v>
      </c>
      <c r="J65" s="184">
        <f>(1+4+4+4+6+6)*J78</f>
        <v>70</v>
      </c>
      <c r="M65" s="170" t="s">
        <v>112</v>
      </c>
    </row>
    <row r="66" spans="1:13" ht="15.75" customHeight="1" thickBot="1" x14ac:dyDescent="0.35">
      <c r="A66" s="422"/>
      <c r="B66" s="185"/>
      <c r="C66" s="421" t="s">
        <v>114</v>
      </c>
      <c r="D66" s="421"/>
      <c r="E66" s="186" t="s">
        <v>113</v>
      </c>
      <c r="F66" s="187">
        <v>1</v>
      </c>
      <c r="G66" s="188">
        <f>IFERROR(((I66*H66)*2)/1024/1024,0)</f>
        <v>4768.06640625</v>
      </c>
      <c r="H66" s="183">
        <f>(60/G55)*24*F66*31*G33*G54</f>
        <v>178560000</v>
      </c>
      <c r="I66" s="184">
        <v>14</v>
      </c>
      <c r="J66" s="184" t="s">
        <v>61</v>
      </c>
      <c r="M66" s="170" t="s">
        <v>112</v>
      </c>
    </row>
    <row r="67" spans="1:13" s="175" customFormat="1" ht="15.75" customHeight="1" thickTop="1" x14ac:dyDescent="0.3">
      <c r="B67" s="189"/>
      <c r="C67" s="173"/>
      <c r="D67" s="173"/>
      <c r="E67" s="173"/>
      <c r="F67" s="173"/>
      <c r="G67" s="190"/>
    </row>
    <row r="68" spans="1:13" s="128" customFormat="1" ht="15" thickBot="1" x14ac:dyDescent="0.35">
      <c r="B68" s="191"/>
      <c r="C68" s="192"/>
      <c r="D68" s="193"/>
      <c r="E68" s="191"/>
      <c r="F68" s="191"/>
      <c r="G68" s="194"/>
    </row>
    <row r="69" spans="1:13" ht="18" customHeight="1" thickTop="1" x14ac:dyDescent="0.3">
      <c r="A69" s="395" t="s">
        <v>111</v>
      </c>
      <c r="B69" s="132"/>
      <c r="C69" s="423" t="s">
        <v>110</v>
      </c>
      <c r="D69" s="424"/>
      <c r="E69" s="424" t="s">
        <v>109</v>
      </c>
      <c r="F69" s="424"/>
      <c r="G69" s="195" t="s">
        <v>108</v>
      </c>
      <c r="H69" s="159" t="s">
        <v>107</v>
      </c>
    </row>
    <row r="70" spans="1:13" ht="15.75" customHeight="1" x14ac:dyDescent="0.3">
      <c r="A70" s="396"/>
      <c r="B70" s="135"/>
      <c r="C70" s="425" t="s">
        <v>106</v>
      </c>
      <c r="D70" s="196" t="s">
        <v>105</v>
      </c>
      <c r="E70" s="427" t="s">
        <v>104</v>
      </c>
      <c r="F70" s="428"/>
      <c r="G70" s="197">
        <f>(SUM(J8:J31))/1000/1000/1000</f>
        <v>9</v>
      </c>
      <c r="H70" s="198">
        <f>SUM(G70:G71)*2</f>
        <v>27</v>
      </c>
    </row>
    <row r="71" spans="1:13" ht="15.75" customHeight="1" x14ac:dyDescent="0.3">
      <c r="A71" s="396"/>
      <c r="B71" s="135"/>
      <c r="C71" s="426"/>
      <c r="D71" s="196" t="s">
        <v>103</v>
      </c>
      <c r="E71" s="427" t="s">
        <v>102</v>
      </c>
      <c r="F71" s="428"/>
      <c r="G71" s="197">
        <f>SUM(K8:K31)/1000/1000/1000</f>
        <v>4.5</v>
      </c>
      <c r="H71" s="198"/>
    </row>
    <row r="72" spans="1:13" ht="15.75" customHeight="1" x14ac:dyDescent="0.3">
      <c r="A72" s="396"/>
      <c r="B72" s="135"/>
      <c r="C72" s="425" t="s">
        <v>101</v>
      </c>
      <c r="D72" s="196" t="s">
        <v>100</v>
      </c>
      <c r="E72" s="427" t="s">
        <v>99</v>
      </c>
      <c r="F72" s="428"/>
      <c r="G72" s="197">
        <f>(SUM(H8:H31)*40)/1000/1000/1000</f>
        <v>42.048000000000002</v>
      </c>
      <c r="H72" s="198"/>
    </row>
    <row r="73" spans="1:13" ht="15.75" customHeight="1" x14ac:dyDescent="0.3">
      <c r="A73" s="396"/>
      <c r="B73" s="135"/>
      <c r="C73" s="429"/>
      <c r="D73" s="196" t="s">
        <v>98</v>
      </c>
      <c r="E73" s="427" t="s">
        <v>97</v>
      </c>
      <c r="F73" s="428"/>
      <c r="G73" s="197">
        <f>((D33+G33+6*(G44+G45)+10)*162*Architecture!E24)/1000/1000/1000</f>
        <v>7.0019774999999992E-2</v>
      </c>
      <c r="H73" s="198"/>
    </row>
    <row r="74" spans="1:13" ht="15.75" customHeight="1" x14ac:dyDescent="0.3">
      <c r="A74" s="396"/>
      <c r="B74" s="135"/>
      <c r="C74" s="426"/>
      <c r="D74" s="196" t="s">
        <v>96</v>
      </c>
      <c r="E74" s="430" t="s">
        <v>95</v>
      </c>
      <c r="F74" s="427"/>
      <c r="G74" s="197">
        <f>G33*(Architecture!E21*160+D33*140)/1000/1000/1000</f>
        <v>0.58399999999999996</v>
      </c>
      <c r="H74" s="198"/>
    </row>
    <row r="75" spans="1:13" ht="15.75" customHeight="1" x14ac:dyDescent="0.3">
      <c r="A75" s="396"/>
      <c r="B75" s="135"/>
      <c r="C75" s="199" t="s">
        <v>94</v>
      </c>
      <c r="D75" s="431" t="s">
        <v>93</v>
      </c>
      <c r="E75" s="432"/>
      <c r="F75" s="433"/>
      <c r="G75" s="197">
        <f>(G72)*1.5</f>
        <v>63.072000000000003</v>
      </c>
      <c r="H75" s="198"/>
    </row>
    <row r="76" spans="1:13" ht="15" customHeight="1" thickBot="1" x14ac:dyDescent="0.35">
      <c r="A76" s="396"/>
      <c r="B76" s="135"/>
      <c r="C76" s="200"/>
      <c r="D76" s="135"/>
      <c r="E76" s="135"/>
      <c r="F76" s="135"/>
      <c r="G76" s="157"/>
      <c r="H76" s="158"/>
    </row>
    <row r="77" spans="1:13" ht="20.25" customHeight="1" thickBot="1" x14ac:dyDescent="0.35">
      <c r="A77" s="396"/>
      <c r="B77" s="135"/>
      <c r="C77" s="434" t="s">
        <v>92</v>
      </c>
      <c r="D77" s="435"/>
      <c r="E77" s="435"/>
      <c r="F77" s="435"/>
      <c r="G77" s="201">
        <f>SUM(G70:G75)</f>
        <v>119.274019775</v>
      </c>
      <c r="H77" s="202">
        <f>G77-H70</f>
        <v>92.274019774999999</v>
      </c>
      <c r="J77" s="203" t="s">
        <v>65</v>
      </c>
    </row>
    <row r="78" spans="1:13" ht="15" customHeight="1" thickBot="1" x14ac:dyDescent="0.25">
      <c r="A78" s="396"/>
      <c r="B78" s="135"/>
      <c r="C78" s="200"/>
      <c r="D78" s="135"/>
      <c r="E78" s="135"/>
      <c r="F78" s="135"/>
      <c r="G78" s="157"/>
      <c r="J78" s="204">
        <v>2.8</v>
      </c>
    </row>
    <row r="79" spans="1:13" ht="20.25" customHeight="1" thickBot="1" x14ac:dyDescent="0.35">
      <c r="A79" s="422"/>
      <c r="B79" s="185"/>
      <c r="C79" s="436" t="s">
        <v>91</v>
      </c>
      <c r="D79" s="437"/>
      <c r="E79" s="437"/>
      <c r="F79" s="437"/>
      <c r="G79" s="205">
        <f>IFERROR(SUM(G58:G66)/1000,0)</f>
        <v>67.484830407714853</v>
      </c>
    </row>
    <row r="80" spans="1:13" ht="13.2" thickTop="1" x14ac:dyDescent="0.3"/>
  </sheetData>
  <sheetProtection algorithmName="SHA-512" hashValue="DF1iALIbcG6jpF46xnoSqxRdntp2yDsFl4WgQk3vJZ97KNOhU6Wmmexva5Og/znQmvqYPkTnjWFHJqBSO4vz1g==" saltValue="0Y7tGHfco946F4hrozAbCw==" spinCount="100000" sheet="1"/>
  <mergeCells count="46">
    <mergeCell ref="A6:A36"/>
    <mergeCell ref="C6:G6"/>
    <mergeCell ref="E33:F33"/>
    <mergeCell ref="E34:F34"/>
    <mergeCell ref="E35:F35"/>
    <mergeCell ref="A1:D1"/>
    <mergeCell ref="E1:G1"/>
    <mergeCell ref="A3:E3"/>
    <mergeCell ref="F3:G3"/>
    <mergeCell ref="A4:G4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C44:F44"/>
    <mergeCell ref="C45:F45"/>
    <mergeCell ref="C47:F47"/>
    <mergeCell ref="C48:F48"/>
    <mergeCell ref="C49:F49"/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1E33-BA09-45DD-863C-96E9851BC63B}">
  <dimension ref="A1:S80"/>
  <sheetViews>
    <sheetView topLeftCell="A2" zoomScale="70" zoomScaleNormal="70" workbookViewId="0">
      <selection activeCell="H8" sqref="H8"/>
    </sheetView>
  </sheetViews>
  <sheetFormatPr baseColWidth="10" defaultColWidth="11.44140625" defaultRowHeight="12.6" x14ac:dyDescent="0.3"/>
  <cols>
    <col min="1" max="1" width="8.6640625" style="127" customWidth="1"/>
    <col min="2" max="2" width="3.88671875" style="127" customWidth="1"/>
    <col min="3" max="3" width="40.6640625" style="127" bestFit="1" customWidth="1"/>
    <col min="4" max="4" width="23" style="127" bestFit="1" customWidth="1"/>
    <col min="5" max="5" width="28.6640625" style="127" bestFit="1" customWidth="1"/>
    <col min="6" max="6" width="23.44140625" style="127" bestFit="1" customWidth="1"/>
    <col min="7" max="7" width="28.88671875" style="127" customWidth="1"/>
    <col min="8" max="8" width="24" style="127" customWidth="1"/>
    <col min="9" max="9" width="26.33203125" style="127" customWidth="1"/>
    <col min="10" max="10" width="29" style="127" customWidth="1"/>
    <col min="11" max="11" width="22.88671875" style="127" customWidth="1"/>
    <col min="12" max="16384" width="11.44140625" style="127"/>
  </cols>
  <sheetData>
    <row r="1" spans="1:19" ht="15" customHeight="1" x14ac:dyDescent="0.3">
      <c r="A1" s="401" t="s">
        <v>173</v>
      </c>
      <c r="B1" s="401"/>
      <c r="C1" s="401"/>
      <c r="D1" s="401"/>
      <c r="E1" s="402" t="s">
        <v>172</v>
      </c>
      <c r="F1" s="402"/>
      <c r="G1" s="402"/>
      <c r="H1" s="214"/>
      <c r="M1" s="128" t="s">
        <v>171</v>
      </c>
    </row>
    <row r="2" spans="1:19" ht="13.2" thickBot="1" x14ac:dyDescent="0.35"/>
    <row r="3" spans="1:19" s="130" customFormat="1" ht="24.75" customHeight="1" x14ac:dyDescent="0.3">
      <c r="A3" s="403" t="s">
        <v>170</v>
      </c>
      <c r="B3" s="404"/>
      <c r="C3" s="404"/>
      <c r="D3" s="404"/>
      <c r="E3" s="404"/>
      <c r="F3" s="404" t="s">
        <v>169</v>
      </c>
      <c r="G3" s="405"/>
      <c r="H3" s="129"/>
    </row>
    <row r="4" spans="1:19" s="130" customFormat="1" ht="29.25" customHeight="1" thickBot="1" x14ac:dyDescent="0.35">
      <c r="A4" s="406" t="s">
        <v>168</v>
      </c>
      <c r="B4" s="407"/>
      <c r="C4" s="407"/>
      <c r="D4" s="407"/>
      <c r="E4" s="407"/>
      <c r="F4" s="407"/>
      <c r="G4" s="408"/>
      <c r="H4" s="131"/>
    </row>
    <row r="5" spans="1:19" ht="13.2" thickBot="1" x14ac:dyDescent="0.35"/>
    <row r="6" spans="1:19" ht="22.5" customHeight="1" thickTop="1" x14ac:dyDescent="0.3">
      <c r="A6" s="395" t="s">
        <v>130</v>
      </c>
      <c r="B6" s="132"/>
      <c r="C6" s="397" t="s">
        <v>167</v>
      </c>
      <c r="D6" s="397"/>
      <c r="E6" s="397"/>
      <c r="F6" s="397"/>
      <c r="G6" s="398"/>
      <c r="H6" s="133"/>
      <c r="I6" s="134"/>
      <c r="J6" s="134"/>
      <c r="K6" s="134"/>
    </row>
    <row r="7" spans="1:19" ht="37.799999999999997" x14ac:dyDescent="0.3">
      <c r="A7" s="396"/>
      <c r="B7" s="135"/>
      <c r="C7" s="136" t="s">
        <v>166</v>
      </c>
      <c r="D7" s="136" t="s">
        <v>165</v>
      </c>
      <c r="E7" s="136" t="s">
        <v>164</v>
      </c>
      <c r="F7" s="136" t="s">
        <v>163</v>
      </c>
      <c r="G7" s="137" t="s">
        <v>162</v>
      </c>
      <c r="H7" s="138" t="s">
        <v>161</v>
      </c>
      <c r="I7" s="139" t="s">
        <v>160</v>
      </c>
      <c r="J7" s="139" t="s">
        <v>159</v>
      </c>
      <c r="K7" s="139" t="s">
        <v>158</v>
      </c>
    </row>
    <row r="8" spans="1:19" ht="14.4" x14ac:dyDescent="0.3">
      <c r="A8" s="396"/>
      <c r="B8" s="135"/>
      <c r="C8" s="140" t="s">
        <v>157</v>
      </c>
      <c r="D8" s="216">
        <f>'Final sizing'!N3</f>
        <v>1666.6666666666667</v>
      </c>
      <c r="E8" s="141">
        <v>2</v>
      </c>
      <c r="F8" s="141">
        <v>5</v>
      </c>
      <c r="G8" s="142">
        <f>IF(Architecture!B13="X",IF(Architecture!E7="",D8*E8/(Architecture!C14+1),Architecture!E7/Architecture!C14),Architecture!E7/Architecture!C14)</f>
        <v>1111.1111111111111</v>
      </c>
      <c r="H8" s="143">
        <f>Architecture!$E$23*(86400/(F8*60))*G8</f>
        <v>58400000</v>
      </c>
      <c r="I8" s="144">
        <f>((Architecture!$E$21*24*60)/F8)*D8</f>
        <v>175200000</v>
      </c>
      <c r="J8" s="145">
        <f>((450000*5/F8)*G8)*(Architecture!$D$22/6)</f>
        <v>500000000</v>
      </c>
      <c r="K8" s="145">
        <f>IF(E8&lt;&gt;0,((450000*5/F8)*D8)*(Architecture!$D$22/6),0)</f>
        <v>750000000</v>
      </c>
      <c r="R8" s="146"/>
      <c r="S8" s="147"/>
    </row>
    <row r="9" spans="1:19" ht="14.4" x14ac:dyDescent="0.3">
      <c r="A9" s="396"/>
      <c r="B9" s="135"/>
      <c r="C9" s="140" t="s">
        <v>156</v>
      </c>
      <c r="D9" s="141">
        <v>0</v>
      </c>
      <c r="E9" s="141">
        <v>2</v>
      </c>
      <c r="F9" s="141">
        <v>5</v>
      </c>
      <c r="G9" s="142">
        <f t="shared" ref="G9:G32" si="0">D9*E9</f>
        <v>0</v>
      </c>
      <c r="H9" s="143">
        <f>Architecture!$E$23*(86400/(F9*60))*G9</f>
        <v>0</v>
      </c>
      <c r="I9" s="144">
        <f>((Architecture!$E$21*24*60)/F9)*D9</f>
        <v>0</v>
      </c>
      <c r="J9" s="145">
        <f>((450000*5/F9)*G9)*(Architecture!$D$22/6)</f>
        <v>0</v>
      </c>
      <c r="K9" s="145">
        <f>IF(E9&lt;&gt;0,((450000*5/F9)*D9)*(Architecture!$D$22/6),0)</f>
        <v>0</v>
      </c>
      <c r="R9" s="146"/>
      <c r="S9" s="147"/>
    </row>
    <row r="10" spans="1:19" ht="14.4" x14ac:dyDescent="0.3">
      <c r="A10" s="396"/>
      <c r="B10" s="135"/>
      <c r="C10" s="140" t="s">
        <v>155</v>
      </c>
      <c r="D10" s="148">
        <v>0</v>
      </c>
      <c r="E10" s="148">
        <v>2</v>
      </c>
      <c r="F10" s="141">
        <v>5</v>
      </c>
      <c r="G10" s="142">
        <f t="shared" si="0"/>
        <v>0</v>
      </c>
      <c r="H10" s="143">
        <f>Architecture!$E$23*(86400/(F10*60))*G10</f>
        <v>0</v>
      </c>
      <c r="I10" s="144">
        <f>((Architecture!$E$21*24*60)/F10)*D10</f>
        <v>0</v>
      </c>
      <c r="J10" s="145">
        <f>((450000*5/F10)*G10)*(Architecture!$D$22/6)</f>
        <v>0</v>
      </c>
      <c r="K10" s="145">
        <f>IF(E10&lt;&gt;0,((450000*5/F10)*D10)*(Architecture!$D$22/6),0)</f>
        <v>0</v>
      </c>
      <c r="R10" s="146"/>
      <c r="S10" s="147"/>
    </row>
    <row r="11" spans="1:19" ht="14.4" x14ac:dyDescent="0.3">
      <c r="A11" s="396"/>
      <c r="B11" s="135"/>
      <c r="C11" s="140" t="s">
        <v>154</v>
      </c>
      <c r="D11" s="148">
        <v>0</v>
      </c>
      <c r="E11" s="148">
        <v>1</v>
      </c>
      <c r="F11" s="141">
        <v>5</v>
      </c>
      <c r="G11" s="142">
        <f t="shared" si="0"/>
        <v>0</v>
      </c>
      <c r="H11" s="143">
        <f>Architecture!$E$23*(86400/(F11*60))*G11</f>
        <v>0</v>
      </c>
      <c r="I11" s="144">
        <f>((Architecture!$E$21*24*60)/F11)*D11</f>
        <v>0</v>
      </c>
      <c r="J11" s="145">
        <f>((450000*5/F11)*G11)*(Architecture!$D$22/6)</f>
        <v>0</v>
      </c>
      <c r="K11" s="145">
        <f>IF(E11&lt;&gt;0,((450000*5/F11)*D11)*(Architecture!$D$22/6),0)</f>
        <v>0</v>
      </c>
      <c r="R11" s="146"/>
      <c r="S11" s="147"/>
    </row>
    <row r="12" spans="1:19" ht="14.4" x14ac:dyDescent="0.3">
      <c r="A12" s="396"/>
      <c r="B12" s="135"/>
      <c r="C12" s="140" t="s">
        <v>153</v>
      </c>
      <c r="D12" s="141">
        <v>0</v>
      </c>
      <c r="E12" s="141">
        <v>1</v>
      </c>
      <c r="F12" s="141">
        <v>5</v>
      </c>
      <c r="G12" s="142">
        <f t="shared" si="0"/>
        <v>0</v>
      </c>
      <c r="H12" s="143">
        <f>Architecture!$E$23*(86400/(F12*60))*G12</f>
        <v>0</v>
      </c>
      <c r="I12" s="144">
        <f>((Architecture!$E$21*24*60)/F12)*D12</f>
        <v>0</v>
      </c>
      <c r="J12" s="145">
        <f>((450000*5/F12)*G12)*(Architecture!$D$22/6)</f>
        <v>0</v>
      </c>
      <c r="K12" s="145">
        <f>IF(E12&lt;&gt;0,((450000*5/F12)*D12)*(Architecture!$D$22/6),0)</f>
        <v>0</v>
      </c>
      <c r="R12" s="146"/>
      <c r="S12" s="147"/>
    </row>
    <row r="13" spans="1:19" ht="14.4" x14ac:dyDescent="0.3">
      <c r="A13" s="396"/>
      <c r="B13" s="135"/>
      <c r="C13" s="140" t="s">
        <v>152</v>
      </c>
      <c r="D13" s="148">
        <v>0</v>
      </c>
      <c r="E13" s="148">
        <v>2</v>
      </c>
      <c r="F13" s="148">
        <v>5</v>
      </c>
      <c r="G13" s="142">
        <f t="shared" si="0"/>
        <v>0</v>
      </c>
      <c r="H13" s="143">
        <f>Architecture!$E$23*(86400/(F13*60))*G13</f>
        <v>0</v>
      </c>
      <c r="I13" s="144">
        <f>((Architecture!$E$21*24*60)/F13)*D13</f>
        <v>0</v>
      </c>
      <c r="J13" s="145">
        <f>((450000*5/F13)*G13)*(Architecture!$D$22/6)</f>
        <v>0</v>
      </c>
      <c r="K13" s="145">
        <f>IF(E13&lt;&gt;0,((450000*5/F13)*D13)*(Architecture!$D$22/6),0)</f>
        <v>0</v>
      </c>
      <c r="R13" s="146"/>
      <c r="S13" s="147"/>
    </row>
    <row r="14" spans="1:19" ht="14.4" x14ac:dyDescent="0.3">
      <c r="A14" s="396"/>
      <c r="B14" s="135"/>
      <c r="C14" s="140" t="s">
        <v>151</v>
      </c>
      <c r="D14" s="141">
        <v>0</v>
      </c>
      <c r="E14" s="141">
        <v>0</v>
      </c>
      <c r="F14" s="141">
        <v>5</v>
      </c>
      <c r="G14" s="142">
        <f t="shared" si="0"/>
        <v>0</v>
      </c>
      <c r="H14" s="143">
        <f>Architecture!$E$23*(86400/(F14*60))*G14</f>
        <v>0</v>
      </c>
      <c r="I14" s="144">
        <f>((Architecture!$E$21*24*60)/F14)*D14</f>
        <v>0</v>
      </c>
      <c r="J14" s="145">
        <f>((450000*5/F14)*G14)*(Architecture!$D$22/6)</f>
        <v>0</v>
      </c>
      <c r="K14" s="145">
        <f>IF(E14&lt;&gt;0,((450000*5/F14)*D14)*(Architecture!$D$22/6),0)</f>
        <v>0</v>
      </c>
      <c r="R14" s="146"/>
      <c r="S14" s="147"/>
    </row>
    <row r="15" spans="1:19" ht="14.4" x14ac:dyDescent="0.3">
      <c r="A15" s="396"/>
      <c r="B15" s="135"/>
      <c r="C15" s="140" t="s">
        <v>150</v>
      </c>
      <c r="D15" s="141">
        <v>0</v>
      </c>
      <c r="E15" s="141">
        <v>2</v>
      </c>
      <c r="F15" s="141">
        <v>5</v>
      </c>
      <c r="G15" s="142">
        <f t="shared" si="0"/>
        <v>0</v>
      </c>
      <c r="H15" s="143">
        <f>Architecture!$E$23*(86400/(F15*60))*G15</f>
        <v>0</v>
      </c>
      <c r="I15" s="144">
        <f>((Architecture!$E$21*24*60)/F15)*D15</f>
        <v>0</v>
      </c>
      <c r="J15" s="145">
        <f>((450000*5/F15)*G15)*(Architecture!$D$22/6)</f>
        <v>0</v>
      </c>
      <c r="K15" s="145">
        <f>IF(E15&lt;&gt;0,((450000*5/F15)*D15)*(Architecture!$D$22/6),0)</f>
        <v>0</v>
      </c>
      <c r="R15" s="146"/>
      <c r="S15" s="147"/>
    </row>
    <row r="16" spans="1:19" ht="14.4" x14ac:dyDescent="0.3">
      <c r="A16" s="396"/>
      <c r="B16" s="135"/>
      <c r="C16" s="140" t="s">
        <v>149</v>
      </c>
      <c r="D16" s="148">
        <v>0</v>
      </c>
      <c r="E16" s="148">
        <v>4</v>
      </c>
      <c r="F16" s="148">
        <v>5</v>
      </c>
      <c r="G16" s="142">
        <f t="shared" si="0"/>
        <v>0</v>
      </c>
      <c r="H16" s="143">
        <f>Architecture!$E$23*(86400/(F16*60))*G16</f>
        <v>0</v>
      </c>
      <c r="I16" s="144">
        <f>((Architecture!$E$21*24*60)/F16)*D16</f>
        <v>0</v>
      </c>
      <c r="J16" s="145">
        <f>((450000*5/F16)*G16)*(Architecture!$D$22/6)</f>
        <v>0</v>
      </c>
      <c r="K16" s="145">
        <f>IF(E16&lt;&gt;0,((450000*5/F16)*D16)*(Architecture!$D$22/6),0)</f>
        <v>0</v>
      </c>
      <c r="R16" s="146"/>
      <c r="S16" s="147"/>
    </row>
    <row r="17" spans="1:19" ht="14.4" x14ac:dyDescent="0.3">
      <c r="A17" s="396"/>
      <c r="B17" s="135"/>
      <c r="C17" s="140" t="s">
        <v>148</v>
      </c>
      <c r="D17" s="141">
        <v>0</v>
      </c>
      <c r="E17" s="141">
        <v>0</v>
      </c>
      <c r="F17" s="141">
        <v>60</v>
      </c>
      <c r="G17" s="142">
        <f t="shared" si="0"/>
        <v>0</v>
      </c>
      <c r="H17" s="143">
        <f>Architecture!$E$23*(86400/(F17*60))*G17</f>
        <v>0</v>
      </c>
      <c r="I17" s="144">
        <f>((Architecture!$E$21*24*60)/F17)*D17</f>
        <v>0</v>
      </c>
      <c r="J17" s="145">
        <f>((450000*5/F17)*G17)*(Architecture!$D$22/6)</f>
        <v>0</v>
      </c>
      <c r="K17" s="145">
        <f>IF(E17&lt;&gt;0,((450000*5/F17)*D17)*(Architecture!$D$22/6),0)</f>
        <v>0</v>
      </c>
      <c r="R17" s="146"/>
      <c r="S17" s="147"/>
    </row>
    <row r="18" spans="1:19" ht="14.4" x14ac:dyDescent="0.3">
      <c r="A18" s="396"/>
      <c r="B18" s="135"/>
      <c r="C18" s="140" t="s">
        <v>147</v>
      </c>
      <c r="D18" s="148">
        <v>0</v>
      </c>
      <c r="E18" s="148">
        <v>2</v>
      </c>
      <c r="F18" s="148">
        <v>60</v>
      </c>
      <c r="G18" s="142">
        <f t="shared" si="0"/>
        <v>0</v>
      </c>
      <c r="H18" s="143">
        <f>Architecture!$E$23*(86400/(F18*60))*G18</f>
        <v>0</v>
      </c>
      <c r="I18" s="144">
        <f>((Architecture!$E$21*24*60)/F18)*D18</f>
        <v>0</v>
      </c>
      <c r="J18" s="145">
        <f>((450000*5/F18)*G18)*(Architecture!$D$22/6)</f>
        <v>0</v>
      </c>
      <c r="K18" s="145">
        <f>IF(E18&lt;&gt;0,((450000*5/F18)*D18)*(Architecture!$D$22/6),0)</f>
        <v>0</v>
      </c>
      <c r="R18" s="146"/>
      <c r="S18" s="147"/>
    </row>
    <row r="19" spans="1:19" ht="14.4" x14ac:dyDescent="0.3">
      <c r="A19" s="396"/>
      <c r="B19" s="135"/>
      <c r="C19" s="140" t="s">
        <v>146</v>
      </c>
      <c r="D19" s="148">
        <v>0</v>
      </c>
      <c r="E19" s="148">
        <v>3</v>
      </c>
      <c r="F19" s="148">
        <v>5</v>
      </c>
      <c r="G19" s="142">
        <f t="shared" si="0"/>
        <v>0</v>
      </c>
      <c r="H19" s="143">
        <f>Architecture!$E$23*(86400/(F19*60))*G19</f>
        <v>0</v>
      </c>
      <c r="I19" s="144">
        <f>((Architecture!$E$21*24*60)/F19)*D19</f>
        <v>0</v>
      </c>
      <c r="J19" s="145">
        <f>((450000*5/F19)*G19)*(Architecture!$D$22/6)</f>
        <v>0</v>
      </c>
      <c r="K19" s="145">
        <f>IF(E19&lt;&gt;0,((450000*5/F19)*D19)*(Architecture!$D$22/6),0)</f>
        <v>0</v>
      </c>
      <c r="R19" s="146"/>
      <c r="S19" s="147"/>
    </row>
    <row r="20" spans="1:19" ht="14.4" x14ac:dyDescent="0.3">
      <c r="A20" s="396"/>
      <c r="B20" s="135"/>
      <c r="C20" s="140" t="s">
        <v>145</v>
      </c>
      <c r="D20" s="141">
        <v>0</v>
      </c>
      <c r="E20" s="141">
        <v>2</v>
      </c>
      <c r="F20" s="141">
        <v>5</v>
      </c>
      <c r="G20" s="142">
        <f t="shared" si="0"/>
        <v>0</v>
      </c>
      <c r="H20" s="143">
        <f>Architecture!$E$23*(86400/(F20*60))*G20</f>
        <v>0</v>
      </c>
      <c r="I20" s="144">
        <f>((Architecture!$E$21*24*60)/F20)*D20</f>
        <v>0</v>
      </c>
      <c r="J20" s="145">
        <f>((450000*5/F20)*G20)*(Architecture!$D$22/6)</f>
        <v>0</v>
      </c>
      <c r="K20" s="145">
        <f>IF(E20&lt;&gt;0,((450000*5/F20)*D20)*(Architecture!$D$22/6),0)</f>
        <v>0</v>
      </c>
      <c r="R20" s="146"/>
      <c r="S20" s="147"/>
    </row>
    <row r="21" spans="1:19" ht="14.4" x14ac:dyDescent="0.3">
      <c r="A21" s="396"/>
      <c r="B21" s="135"/>
      <c r="C21" s="140" t="s">
        <v>144</v>
      </c>
      <c r="D21" s="148">
        <v>0</v>
      </c>
      <c r="E21" s="141">
        <v>0</v>
      </c>
      <c r="F21" s="141">
        <v>5</v>
      </c>
      <c r="G21" s="142">
        <f t="shared" si="0"/>
        <v>0</v>
      </c>
      <c r="H21" s="143">
        <f>Architecture!$E$23*(86400/(F21*60))*G21</f>
        <v>0</v>
      </c>
      <c r="I21" s="144">
        <f>((Architecture!$E$21*24*60)/F21)*D21</f>
        <v>0</v>
      </c>
      <c r="J21" s="145">
        <f>((450000*5/F21)*G21)*(Architecture!$D$22/6)</f>
        <v>0</v>
      </c>
      <c r="K21" s="145">
        <f>IF(E21&lt;&gt;0,((450000*5/F21)*D21)*(Architecture!$D$22/6),0)</f>
        <v>0</v>
      </c>
      <c r="R21" s="146"/>
      <c r="S21" s="147"/>
    </row>
    <row r="22" spans="1:19" ht="14.4" x14ac:dyDescent="0.3">
      <c r="A22" s="396"/>
      <c r="B22" s="135"/>
      <c r="C22" s="149" t="s">
        <v>143</v>
      </c>
      <c r="D22" s="148">
        <v>0</v>
      </c>
      <c r="E22" s="141">
        <v>0</v>
      </c>
      <c r="F22" s="141">
        <v>5</v>
      </c>
      <c r="G22" s="142">
        <f t="shared" si="0"/>
        <v>0</v>
      </c>
      <c r="H22" s="143">
        <f>Architecture!$E$23*(86400/(F22*60))*G22</f>
        <v>0</v>
      </c>
      <c r="I22" s="144">
        <f>((Architecture!$E$21*24*60)/F22)*D22</f>
        <v>0</v>
      </c>
      <c r="J22" s="145">
        <f>((450000*5/F22)*G22)*(Architecture!$D$22/6)</f>
        <v>0</v>
      </c>
      <c r="K22" s="145">
        <f>IF(E22&lt;&gt;0,((450000*5/F22)*D22)*(Architecture!$D$22/6),0)</f>
        <v>0</v>
      </c>
      <c r="R22" s="150"/>
      <c r="S22" s="147"/>
    </row>
    <row r="23" spans="1:19" ht="14.4" x14ac:dyDescent="0.3">
      <c r="A23" s="396"/>
      <c r="B23" s="135"/>
      <c r="C23" s="140" t="s">
        <v>142</v>
      </c>
      <c r="D23" s="141">
        <v>0</v>
      </c>
      <c r="E23" s="141">
        <v>0</v>
      </c>
      <c r="F23" s="141">
        <v>5</v>
      </c>
      <c r="G23" s="142">
        <f t="shared" si="0"/>
        <v>0</v>
      </c>
      <c r="H23" s="143">
        <f>Architecture!$E$23*(86400/(F23*60))*G23</f>
        <v>0</v>
      </c>
      <c r="I23" s="144">
        <f>((Architecture!$E$21*24*60)/F23)*D23</f>
        <v>0</v>
      </c>
      <c r="J23" s="145">
        <f>((450000*5/F23)*G23)*(Architecture!$D$22/6)</f>
        <v>0</v>
      </c>
      <c r="K23" s="145">
        <f>IF(E23&lt;&gt;0,((450000*5/F23)*D23)*(Architecture!$D$22/6),0)</f>
        <v>0</v>
      </c>
      <c r="R23" s="146"/>
      <c r="S23" s="147"/>
    </row>
    <row r="24" spans="1:19" ht="14.4" x14ac:dyDescent="0.3">
      <c r="A24" s="396"/>
      <c r="B24" s="135"/>
      <c r="C24" s="140" t="s">
        <v>141</v>
      </c>
      <c r="D24" s="148">
        <v>0</v>
      </c>
      <c r="E24" s="141">
        <v>2</v>
      </c>
      <c r="F24" s="141">
        <v>5</v>
      </c>
      <c r="G24" s="142">
        <f t="shared" si="0"/>
        <v>0</v>
      </c>
      <c r="H24" s="143">
        <f>Architecture!$E$23*(86400/(F24*60))*G24</f>
        <v>0</v>
      </c>
      <c r="I24" s="144">
        <f>((Architecture!$E$21*24*60)/F24)*D24</f>
        <v>0</v>
      </c>
      <c r="J24" s="145">
        <f>((450000*5/F24)*G24)*(Architecture!$D$22/6)</f>
        <v>0</v>
      </c>
      <c r="K24" s="145">
        <f>IF(E24&lt;&gt;0,((450000*5/F24)*D24)*(Architecture!$D$22/6),0)</f>
        <v>0</v>
      </c>
      <c r="R24" s="146"/>
      <c r="S24" s="147"/>
    </row>
    <row r="25" spans="1:19" ht="14.4" x14ac:dyDescent="0.3">
      <c r="A25" s="396"/>
      <c r="B25" s="135"/>
      <c r="C25" s="140" t="s">
        <v>140</v>
      </c>
      <c r="D25" s="148">
        <v>0</v>
      </c>
      <c r="E25" s="148">
        <v>2</v>
      </c>
      <c r="F25" s="148">
        <v>5</v>
      </c>
      <c r="G25" s="142">
        <f t="shared" si="0"/>
        <v>0</v>
      </c>
      <c r="H25" s="143">
        <f>Architecture!$E$23*(86400/(F25*60))*G25</f>
        <v>0</v>
      </c>
      <c r="I25" s="144">
        <f>((Architecture!$E$21*24*60)/F25)*D25</f>
        <v>0</v>
      </c>
      <c r="J25" s="145">
        <f>((450000*5/F25)*G25)*(Architecture!$D$22/6)</f>
        <v>0</v>
      </c>
      <c r="K25" s="145">
        <f>IF(E25&lt;&gt;0,((450000*5/F25)*D25)*(Architecture!$D$22/6),0)</f>
        <v>0</v>
      </c>
      <c r="R25" s="146"/>
      <c r="S25" s="147"/>
    </row>
    <row r="26" spans="1:19" ht="14.4" x14ac:dyDescent="0.3">
      <c r="A26" s="396"/>
      <c r="B26" s="135"/>
      <c r="C26" s="140" t="s">
        <v>139</v>
      </c>
      <c r="D26" s="148">
        <v>0</v>
      </c>
      <c r="E26" s="141">
        <v>0</v>
      </c>
      <c r="F26" s="141">
        <v>300</v>
      </c>
      <c r="G26" s="142">
        <f t="shared" si="0"/>
        <v>0</v>
      </c>
      <c r="H26" s="143">
        <f>Architecture!$E$23*(86400/(F26*60))*G26</f>
        <v>0</v>
      </c>
      <c r="I26" s="144">
        <f>((Architecture!$E$21*24*60)/F26)*D26</f>
        <v>0</v>
      </c>
      <c r="J26" s="145">
        <f>((450000*5/F26)*G26)*(Architecture!$D$22/6)</f>
        <v>0</v>
      </c>
      <c r="K26" s="145">
        <f>IF(E26&lt;&gt;0,((450000*5/F26)*D26)*(Architecture!$D$22/6),0)</f>
        <v>0</v>
      </c>
      <c r="R26" s="146"/>
      <c r="S26" s="147"/>
    </row>
    <row r="27" spans="1:19" ht="14.4" x14ac:dyDescent="0.3">
      <c r="A27" s="396"/>
      <c r="B27" s="135"/>
      <c r="C27" s="140" t="s">
        <v>138</v>
      </c>
      <c r="D27" s="141">
        <v>0</v>
      </c>
      <c r="E27" s="148">
        <v>3</v>
      </c>
      <c r="F27" s="148">
        <v>300</v>
      </c>
      <c r="G27" s="142">
        <f t="shared" si="0"/>
        <v>0</v>
      </c>
      <c r="H27" s="143">
        <f>Architecture!$E$23*(86400/(F27*60))*G27</f>
        <v>0</v>
      </c>
      <c r="I27" s="144">
        <f>((Architecture!$E$21*24*60)/F27)*D27</f>
        <v>0</v>
      </c>
      <c r="J27" s="145">
        <f>((450000*5/F27)*G27)*(Architecture!$D$22/6)</f>
        <v>0</v>
      </c>
      <c r="K27" s="145">
        <f>IF(E27&lt;&gt;0,((450000*5/F27)*D27)*(Architecture!$D$22/6),0)</f>
        <v>0</v>
      </c>
      <c r="R27" s="146"/>
      <c r="S27" s="147"/>
    </row>
    <row r="28" spans="1:19" ht="14.4" x14ac:dyDescent="0.3">
      <c r="A28" s="396"/>
      <c r="B28" s="135"/>
      <c r="C28" s="140" t="s">
        <v>137</v>
      </c>
      <c r="D28" s="148">
        <v>0</v>
      </c>
      <c r="E28" s="148">
        <v>0</v>
      </c>
      <c r="F28" s="148">
        <v>5</v>
      </c>
      <c r="G28" s="142">
        <f t="shared" si="0"/>
        <v>0</v>
      </c>
      <c r="H28" s="143">
        <f>Architecture!$E$23*(86400/(F28*60))*G28</f>
        <v>0</v>
      </c>
      <c r="I28" s="144">
        <f>((Architecture!$E$21*24*60)/F28)*D28</f>
        <v>0</v>
      </c>
      <c r="J28" s="145">
        <f>((450000*5/F28)*G28)*(Architecture!$D$22/6)</f>
        <v>0</v>
      </c>
      <c r="K28" s="145">
        <f>IF(E28&lt;&gt;0,((450000*5/F28)*D28)*(Architecture!$D$22/6),0)</f>
        <v>0</v>
      </c>
      <c r="R28" s="146"/>
      <c r="S28" s="147"/>
    </row>
    <row r="29" spans="1:19" ht="14.4" x14ac:dyDescent="0.3">
      <c r="A29" s="396"/>
      <c r="B29" s="135"/>
      <c r="C29" s="140" t="s">
        <v>136</v>
      </c>
      <c r="D29" s="141">
        <v>0</v>
      </c>
      <c r="E29" s="148">
        <v>2</v>
      </c>
      <c r="F29" s="148">
        <v>5</v>
      </c>
      <c r="G29" s="142">
        <f t="shared" si="0"/>
        <v>0</v>
      </c>
      <c r="H29" s="143">
        <f>Architecture!$E$23*(86400/(F29*60))*G29</f>
        <v>0</v>
      </c>
      <c r="I29" s="144">
        <f>((Architecture!$E$21*24*60)/F29)*D29</f>
        <v>0</v>
      </c>
      <c r="J29" s="145">
        <f>((450000*5/F29)*G29)*(Architecture!$D$22/6)</f>
        <v>0</v>
      </c>
      <c r="K29" s="145">
        <f>IF(E29&lt;&gt;0,((450000*5/F29)*D29)*(Architecture!$D$22/6),0)</f>
        <v>0</v>
      </c>
      <c r="R29" s="146"/>
      <c r="S29" s="147"/>
    </row>
    <row r="30" spans="1:19" ht="14.4" x14ac:dyDescent="0.3">
      <c r="A30" s="396"/>
      <c r="B30" s="135"/>
      <c r="C30" s="140" t="s">
        <v>135</v>
      </c>
      <c r="D30" s="141">
        <v>0</v>
      </c>
      <c r="E30" s="141">
        <v>0</v>
      </c>
      <c r="F30" s="141">
        <v>5</v>
      </c>
      <c r="G30" s="142">
        <f t="shared" si="0"/>
        <v>0</v>
      </c>
      <c r="H30" s="143">
        <f>Architecture!$E$23*(86400/(F30*60))*G30</f>
        <v>0</v>
      </c>
      <c r="I30" s="144">
        <f>((Architecture!$E$21*24*60)/F30)*D30</f>
        <v>0</v>
      </c>
      <c r="J30" s="145">
        <f>((450000*5/F30)*G30)*(Architecture!$D$22/6)</f>
        <v>0</v>
      </c>
      <c r="K30" s="145">
        <f>IF(E30&lt;&gt;0,((450000*5/F30)*D30)*(Architecture!$D$22/6),0)</f>
        <v>0</v>
      </c>
      <c r="R30" s="146"/>
      <c r="S30" s="147"/>
    </row>
    <row r="31" spans="1:19" ht="14.4" x14ac:dyDescent="0.3">
      <c r="A31" s="396"/>
      <c r="B31" s="135"/>
      <c r="C31" s="140"/>
      <c r="D31" s="148">
        <v>0</v>
      </c>
      <c r="E31" s="141">
        <v>2</v>
      </c>
      <c r="F31" s="141">
        <v>5</v>
      </c>
      <c r="G31" s="142">
        <f t="shared" si="0"/>
        <v>0</v>
      </c>
      <c r="H31" s="143">
        <f>Architecture!$E$23*(86400/(F31*60))*G31</f>
        <v>0</v>
      </c>
      <c r="I31" s="144">
        <f>((Architecture!$E$21*24*60)/F31)*D31</f>
        <v>0</v>
      </c>
      <c r="J31" s="145">
        <f>((450000*5/F31)*G31)*(Architecture!$D$22/6)</f>
        <v>0</v>
      </c>
      <c r="K31" s="145">
        <f>IF(E31&lt;&gt;0,((450000*5/F31)*D31)*(Architecture!$D$22/6),0)</f>
        <v>0</v>
      </c>
    </row>
    <row r="32" spans="1:19" ht="15" thickBot="1" x14ac:dyDescent="0.35">
      <c r="A32" s="396"/>
      <c r="B32" s="135"/>
      <c r="C32" s="149"/>
      <c r="D32" s="148">
        <v>0</v>
      </c>
      <c r="E32" s="148">
        <v>2</v>
      </c>
      <c r="F32" s="141">
        <v>5</v>
      </c>
      <c r="G32" s="142">
        <f t="shared" si="0"/>
        <v>0</v>
      </c>
    </row>
    <row r="33" spans="1:13" ht="19.5" customHeight="1" thickBot="1" x14ac:dyDescent="0.35">
      <c r="A33" s="396"/>
      <c r="B33" s="135"/>
      <c r="C33" s="151" t="s">
        <v>134</v>
      </c>
      <c r="D33" s="141">
        <f>Architecture!A7</f>
        <v>500</v>
      </c>
      <c r="E33" s="399" t="s">
        <v>133</v>
      </c>
      <c r="F33" s="399"/>
      <c r="G33" s="152">
        <f>SUM(D8:D32)</f>
        <v>1666.6666666666667</v>
      </c>
      <c r="H33" s="153"/>
      <c r="J33" s="154"/>
      <c r="K33" s="154"/>
    </row>
    <row r="34" spans="1:13" ht="19.5" customHeight="1" thickBot="1" x14ac:dyDescent="0.35">
      <c r="A34" s="396"/>
      <c r="B34" s="135"/>
      <c r="C34" s="135"/>
      <c r="D34" s="155"/>
      <c r="E34" s="400" t="s">
        <v>132</v>
      </c>
      <c r="F34" s="400"/>
      <c r="G34" s="156">
        <f>SUM(G8:G32)</f>
        <v>1111.1111111111111</v>
      </c>
      <c r="H34" s="153"/>
    </row>
    <row r="35" spans="1:13" ht="19.5" customHeight="1" thickBot="1" x14ac:dyDescent="0.35">
      <c r="A35" s="396"/>
      <c r="B35" s="135"/>
      <c r="C35" s="135"/>
      <c r="D35" s="155"/>
      <c r="E35" s="400" t="s">
        <v>131</v>
      </c>
      <c r="F35" s="400"/>
      <c r="G35" s="152">
        <f>SUMIF(E8:E32,"&lt;&gt;0",D8:D32)</f>
        <v>1666.6666666666667</v>
      </c>
      <c r="H35" s="153"/>
    </row>
    <row r="36" spans="1:13" ht="15" customHeight="1" x14ac:dyDescent="0.3">
      <c r="A36" s="396"/>
      <c r="B36" s="135"/>
      <c r="C36" s="135"/>
      <c r="D36" s="135"/>
      <c r="E36" s="135"/>
      <c r="F36" s="135"/>
      <c r="G36" s="157"/>
      <c r="H36" s="158"/>
    </row>
    <row r="37" spans="1:13" ht="23.25" customHeight="1" x14ac:dyDescent="0.3">
      <c r="A37" s="396" t="s">
        <v>130</v>
      </c>
      <c r="B37" s="135"/>
      <c r="H37" s="159"/>
    </row>
    <row r="38" spans="1:13" ht="15.75" customHeight="1" x14ac:dyDescent="0.3">
      <c r="A38" s="396"/>
      <c r="B38" s="135"/>
      <c r="H38" s="160"/>
    </row>
    <row r="39" spans="1:13" ht="15.75" customHeight="1" x14ac:dyDescent="0.3">
      <c r="A39" s="396"/>
      <c r="B39" s="135"/>
      <c r="H39" s="160"/>
    </row>
    <row r="40" spans="1:13" ht="15.75" customHeight="1" x14ac:dyDescent="0.3">
      <c r="A40" s="396"/>
      <c r="B40" s="135"/>
      <c r="H40" s="160"/>
    </row>
    <row r="41" spans="1:13" ht="15.75" customHeight="1" x14ac:dyDescent="0.3">
      <c r="A41" s="396"/>
      <c r="B41" s="135"/>
      <c r="H41" s="160"/>
    </row>
    <row r="42" spans="1:13" ht="15" customHeight="1" x14ac:dyDescent="0.3">
      <c r="A42" s="396"/>
      <c r="B42" s="135"/>
      <c r="C42" s="161"/>
      <c r="D42" s="162"/>
      <c r="E42" s="162"/>
      <c r="F42" s="163"/>
      <c r="G42" s="164"/>
      <c r="H42" s="160"/>
    </row>
    <row r="43" spans="1:13" ht="22.5" customHeight="1" x14ac:dyDescent="0.3">
      <c r="A43" s="396"/>
      <c r="B43" s="135"/>
      <c r="C43" s="438" t="s">
        <v>129</v>
      </c>
      <c r="D43" s="439"/>
      <c r="E43" s="439"/>
      <c r="F43" s="439"/>
      <c r="G43" s="165" t="s">
        <v>128</v>
      </c>
      <c r="H43" s="160"/>
    </row>
    <row r="44" spans="1:13" ht="17.25" customHeight="1" x14ac:dyDescent="0.3">
      <c r="A44" s="396"/>
      <c r="B44" s="135"/>
      <c r="C44" s="418" t="s">
        <v>127</v>
      </c>
      <c r="D44" s="418"/>
      <c r="E44" s="418"/>
      <c r="F44" s="418"/>
      <c r="G44" s="166">
        <f>G33*0.05</f>
        <v>83.333333333333343</v>
      </c>
      <c r="H44" s="160"/>
      <c r="M44" s="127" t="s">
        <v>126</v>
      </c>
    </row>
    <row r="45" spans="1:13" ht="17.25" customHeight="1" x14ac:dyDescent="0.3">
      <c r="A45" s="396"/>
      <c r="B45" s="135"/>
      <c r="C45" s="418" t="s">
        <v>125</v>
      </c>
      <c r="D45" s="418"/>
      <c r="E45" s="418"/>
      <c r="F45" s="418"/>
      <c r="G45" s="166">
        <f>G33*0.02</f>
        <v>33.333333333333336</v>
      </c>
      <c r="H45" s="160"/>
      <c r="M45" s="127" t="s">
        <v>124</v>
      </c>
    </row>
    <row r="46" spans="1:13" ht="15" customHeight="1" x14ac:dyDescent="0.3">
      <c r="A46" s="396"/>
      <c r="B46" s="135"/>
      <c r="C46" s="135"/>
      <c r="D46" s="135"/>
      <c r="E46" s="135"/>
      <c r="F46" s="163"/>
      <c r="G46" s="157"/>
      <c r="H46" s="158"/>
    </row>
    <row r="47" spans="1:13" s="128" customFormat="1" ht="19.5" customHeight="1" x14ac:dyDescent="0.3">
      <c r="A47" s="396"/>
      <c r="B47" s="167"/>
      <c r="C47" s="419" t="s">
        <v>123</v>
      </c>
      <c r="D47" s="420"/>
      <c r="E47" s="420"/>
      <c r="F47" s="420"/>
      <c r="G47" s="168" t="s">
        <v>37</v>
      </c>
    </row>
    <row r="48" spans="1:13" s="170" customFormat="1" ht="15.75" customHeight="1" x14ac:dyDescent="0.3">
      <c r="A48" s="396"/>
      <c r="B48" s="135"/>
      <c r="C48" s="409" t="s">
        <v>40</v>
      </c>
      <c r="D48" s="410"/>
      <c r="E48" s="410"/>
      <c r="F48" s="411"/>
      <c r="G48" s="169">
        <v>2</v>
      </c>
      <c r="M48" s="170" t="s">
        <v>112</v>
      </c>
    </row>
    <row r="49" spans="1:13" s="170" customFormat="1" ht="15.75" customHeight="1" x14ac:dyDescent="0.3">
      <c r="A49" s="396"/>
      <c r="B49" s="135"/>
      <c r="C49" s="409" t="s">
        <v>41</v>
      </c>
      <c r="D49" s="410"/>
      <c r="E49" s="410"/>
      <c r="F49" s="411"/>
      <c r="G49" s="169">
        <v>2</v>
      </c>
      <c r="M49" s="170" t="s">
        <v>112</v>
      </c>
    </row>
    <row r="50" spans="1:13" s="170" customFormat="1" ht="15.75" customHeight="1" x14ac:dyDescent="0.3">
      <c r="A50" s="396"/>
      <c r="B50" s="135"/>
      <c r="C50" s="409" t="s">
        <v>42</v>
      </c>
      <c r="D50" s="410"/>
      <c r="E50" s="410"/>
      <c r="F50" s="411"/>
      <c r="G50" s="169">
        <v>2</v>
      </c>
      <c r="M50" s="170" t="s">
        <v>112</v>
      </c>
    </row>
    <row r="51" spans="1:13" s="170" customFormat="1" ht="15.75" customHeight="1" x14ac:dyDescent="0.3">
      <c r="A51" s="396"/>
      <c r="B51" s="135"/>
      <c r="C51" s="409" t="s">
        <v>43</v>
      </c>
      <c r="D51" s="410"/>
      <c r="E51" s="410"/>
      <c r="F51" s="411"/>
      <c r="G51" s="169">
        <v>3</v>
      </c>
      <c r="M51" s="170" t="s">
        <v>112</v>
      </c>
    </row>
    <row r="52" spans="1:13" s="170" customFormat="1" ht="15.75" customHeight="1" x14ac:dyDescent="0.3">
      <c r="A52" s="396"/>
      <c r="B52" s="135"/>
      <c r="C52" s="409" t="s">
        <v>44</v>
      </c>
      <c r="D52" s="410"/>
      <c r="E52" s="410"/>
      <c r="F52" s="411"/>
      <c r="G52" s="171">
        <f>IFERROR((G44*30)/G33,0)</f>
        <v>1.5000000000000002</v>
      </c>
    </row>
    <row r="53" spans="1:13" s="170" customFormat="1" ht="15.75" customHeight="1" x14ac:dyDescent="0.3">
      <c r="A53" s="396"/>
      <c r="B53" s="135"/>
      <c r="C53" s="409" t="s">
        <v>45</v>
      </c>
      <c r="D53" s="410"/>
      <c r="E53" s="410"/>
      <c r="F53" s="411"/>
      <c r="G53" s="171">
        <f>IFERROR((G45*30)/D33,0)</f>
        <v>2.0000000000000004</v>
      </c>
    </row>
    <row r="54" spans="1:13" s="170" customFormat="1" ht="15.75" customHeight="1" x14ac:dyDescent="0.3">
      <c r="A54" s="396"/>
      <c r="B54" s="135"/>
      <c r="C54" s="409" t="s">
        <v>46</v>
      </c>
      <c r="D54" s="410"/>
      <c r="E54" s="410"/>
      <c r="F54" s="411"/>
      <c r="G54" s="172">
        <f>IFERROR(AVERAGEIF(D8:D32,"&lt;&gt;0",E8:E32),0)</f>
        <v>2</v>
      </c>
    </row>
    <row r="55" spans="1:13" s="170" customFormat="1" ht="15.75" customHeight="1" x14ac:dyDescent="0.3">
      <c r="A55" s="396"/>
      <c r="B55" s="135"/>
      <c r="C55" s="409" t="s">
        <v>47</v>
      </c>
      <c r="D55" s="410"/>
      <c r="E55" s="410"/>
      <c r="F55" s="411"/>
      <c r="G55" s="172">
        <f>IFERROR(SUMPRODUCT(D8:D32,F8:F32)/G33,0)</f>
        <v>5</v>
      </c>
    </row>
    <row r="56" spans="1:13" s="175" customFormat="1" ht="15" customHeight="1" x14ac:dyDescent="0.3">
      <c r="A56" s="396"/>
      <c r="B56" s="162"/>
      <c r="C56" s="173"/>
      <c r="D56" s="173"/>
      <c r="E56" s="173"/>
      <c r="F56" s="173"/>
      <c r="G56" s="174"/>
    </row>
    <row r="57" spans="1:13" ht="28.8" x14ac:dyDescent="0.3">
      <c r="A57" s="396"/>
      <c r="B57" s="135"/>
      <c r="C57" s="414" t="s">
        <v>122</v>
      </c>
      <c r="D57" s="415"/>
      <c r="E57" s="176" t="s">
        <v>121</v>
      </c>
      <c r="F57" s="176" t="s">
        <v>120</v>
      </c>
      <c r="G57" s="177" t="s">
        <v>50</v>
      </c>
      <c r="H57" s="178" t="s">
        <v>64</v>
      </c>
      <c r="I57" s="179" t="s">
        <v>63</v>
      </c>
      <c r="J57" s="179" t="s">
        <v>62</v>
      </c>
    </row>
    <row r="58" spans="1:13" ht="15.75" customHeight="1" x14ac:dyDescent="0.3">
      <c r="A58" s="396"/>
      <c r="B58" s="135"/>
      <c r="C58" s="416" t="s">
        <v>58</v>
      </c>
      <c r="D58" s="417"/>
      <c r="E58" s="180" t="s">
        <v>115</v>
      </c>
      <c r="F58" s="181">
        <v>6</v>
      </c>
      <c r="G58" s="182">
        <f t="shared" ref="G58:G65" si="1">IFERROR((I58*H58+J58*H58)/1024/1024,0)</f>
        <v>151.13067626953125</v>
      </c>
      <c r="H58" s="183">
        <f>F58*31*D33*G48*G49*G51</f>
        <v>1116000</v>
      </c>
      <c r="I58" s="184">
        <v>72</v>
      </c>
      <c r="J58" s="184">
        <f>(4+4+1+4+6+6)*J78</f>
        <v>70</v>
      </c>
      <c r="M58" s="170" t="s">
        <v>112</v>
      </c>
    </row>
    <row r="59" spans="1:13" ht="15.75" customHeight="1" x14ac:dyDescent="0.3">
      <c r="A59" s="396"/>
      <c r="B59" s="135"/>
      <c r="C59" s="416" t="s">
        <v>119</v>
      </c>
      <c r="D59" s="417"/>
      <c r="E59" s="180" t="s">
        <v>117</v>
      </c>
      <c r="F59" s="181">
        <v>24</v>
      </c>
      <c r="G59" s="182">
        <f t="shared" si="1"/>
        <v>9.5141601562499997E-2</v>
      </c>
      <c r="H59" s="183">
        <f>F59*G48*G49*G51</f>
        <v>288</v>
      </c>
      <c r="I59" s="184">
        <v>254</v>
      </c>
      <c r="J59" s="184">
        <f>(4+4+4+4+1+4+6+6)*J78</f>
        <v>92.399999999999991</v>
      </c>
      <c r="M59" s="170" t="s">
        <v>112</v>
      </c>
    </row>
    <row r="60" spans="1:13" ht="15.75" customHeight="1" x14ac:dyDescent="0.3">
      <c r="A60" s="396"/>
      <c r="B60" s="135"/>
      <c r="C60" s="416" t="s">
        <v>59</v>
      </c>
      <c r="D60" s="417"/>
      <c r="E60" s="180" t="s">
        <v>115</v>
      </c>
      <c r="F60" s="181">
        <v>6</v>
      </c>
      <c r="G60" s="182">
        <f t="shared" si="1"/>
        <v>1050.10986328125</v>
      </c>
      <c r="H60" s="183">
        <f>F60*31*G33*G48*G49*G50*G51</f>
        <v>7440000</v>
      </c>
      <c r="I60" s="184">
        <v>78</v>
      </c>
      <c r="J60" s="184">
        <f>(4+4+1+4+6+6)*J78</f>
        <v>70</v>
      </c>
      <c r="M60" s="170" t="s">
        <v>112</v>
      </c>
    </row>
    <row r="61" spans="1:13" ht="15.75" customHeight="1" x14ac:dyDescent="0.3">
      <c r="A61" s="396"/>
      <c r="B61" s="135"/>
      <c r="C61" s="412" t="s">
        <v>118</v>
      </c>
      <c r="D61" s="413"/>
      <c r="E61" s="180" t="s">
        <v>117</v>
      </c>
      <c r="F61" s="181">
        <v>24</v>
      </c>
      <c r="G61" s="182">
        <f t="shared" si="1"/>
        <v>0.11612548828124999</v>
      </c>
      <c r="H61" s="183">
        <f>F61*G48*G49*G50*G51</f>
        <v>576</v>
      </c>
      <c r="I61" s="184">
        <v>119</v>
      </c>
      <c r="J61" s="184">
        <f>(4+4+4+4+1+4+6+6)*J78</f>
        <v>92.399999999999991</v>
      </c>
      <c r="M61" s="170" t="s">
        <v>112</v>
      </c>
    </row>
    <row r="62" spans="1:13" ht="15.75" customHeight="1" x14ac:dyDescent="0.3">
      <c r="A62" s="396"/>
      <c r="B62" s="135"/>
      <c r="C62" s="416" t="s">
        <v>57</v>
      </c>
      <c r="D62" s="417"/>
      <c r="E62" s="180" t="s">
        <v>113</v>
      </c>
      <c r="F62" s="181">
        <v>6</v>
      </c>
      <c r="G62" s="182">
        <f t="shared" si="1"/>
        <v>53.833007812500014</v>
      </c>
      <c r="H62" s="183">
        <f>G33*G48*G49*G50*G51*G52*F62</f>
        <v>360000.00000000006</v>
      </c>
      <c r="I62" s="184">
        <v>56</v>
      </c>
      <c r="J62" s="184">
        <f>(4+1+1+4+4+1+1+4+4+6+6)*J78</f>
        <v>100.8</v>
      </c>
      <c r="M62" s="170" t="s">
        <v>112</v>
      </c>
    </row>
    <row r="63" spans="1:13" ht="15.75" customHeight="1" x14ac:dyDescent="0.3">
      <c r="A63" s="396"/>
      <c r="B63" s="135"/>
      <c r="C63" s="416" t="s">
        <v>56</v>
      </c>
      <c r="D63" s="417"/>
      <c r="E63" s="180" t="s">
        <v>113</v>
      </c>
      <c r="F63" s="181">
        <v>6</v>
      </c>
      <c r="G63" s="182">
        <f t="shared" si="1"/>
        <v>12.139892578125002</v>
      </c>
      <c r="H63" s="183">
        <f>D33*G48*G49*G51*G53*F63</f>
        <v>72000.000000000015</v>
      </c>
      <c r="I63" s="184">
        <v>76</v>
      </c>
      <c r="J63" s="184">
        <f>(4+1+1+4+4+1+1+4+4+6+6)*J78</f>
        <v>100.8</v>
      </c>
      <c r="M63" s="170" t="s">
        <v>112</v>
      </c>
    </row>
    <row r="64" spans="1:13" ht="15.75" customHeight="1" x14ac:dyDescent="0.3">
      <c r="A64" s="396"/>
      <c r="B64" s="135"/>
      <c r="C64" s="412" t="s">
        <v>114</v>
      </c>
      <c r="D64" s="413"/>
      <c r="E64" s="180" t="s">
        <v>116</v>
      </c>
      <c r="F64" s="181">
        <v>3</v>
      </c>
      <c r="G64" s="182">
        <f t="shared" si="1"/>
        <v>7333.740234375</v>
      </c>
      <c r="H64" s="183">
        <f>G33*G48*G49*G50*G54*F64*31*24</f>
        <v>59520000</v>
      </c>
      <c r="I64" s="184">
        <v>62</v>
      </c>
      <c r="J64" s="184">
        <f>(4+4+4+6+6)*J78</f>
        <v>67.199999999999989</v>
      </c>
      <c r="M64" s="170" t="s">
        <v>112</v>
      </c>
    </row>
    <row r="65" spans="1:13" ht="15.75" customHeight="1" x14ac:dyDescent="0.3">
      <c r="A65" s="396"/>
      <c r="B65" s="135"/>
      <c r="C65" s="412" t="s">
        <v>114</v>
      </c>
      <c r="D65" s="413"/>
      <c r="E65" s="180" t="s">
        <v>115</v>
      </c>
      <c r="F65" s="181">
        <v>6</v>
      </c>
      <c r="G65" s="182">
        <f t="shared" si="1"/>
        <v>2015.07568359375</v>
      </c>
      <c r="H65" s="183">
        <f>G33*G48*G49*G50*G51*G54*F65*31</f>
        <v>14880000</v>
      </c>
      <c r="I65" s="184">
        <v>72</v>
      </c>
      <c r="J65" s="184">
        <f>(1+4+4+4+6+6)*J78</f>
        <v>70</v>
      </c>
      <c r="M65" s="170" t="s">
        <v>112</v>
      </c>
    </row>
    <row r="66" spans="1:13" ht="15.75" customHeight="1" thickBot="1" x14ac:dyDescent="0.35">
      <c r="A66" s="422"/>
      <c r="B66" s="185"/>
      <c r="C66" s="421" t="s">
        <v>114</v>
      </c>
      <c r="D66" s="421"/>
      <c r="E66" s="186" t="s">
        <v>113</v>
      </c>
      <c r="F66" s="187">
        <v>1</v>
      </c>
      <c r="G66" s="188">
        <f>IFERROR(((I66*H66)*2)/1024/1024,0)</f>
        <v>794.677734375</v>
      </c>
      <c r="H66" s="183">
        <f>(60/G55)*24*F66*31*G33*G54</f>
        <v>29760000</v>
      </c>
      <c r="I66" s="184">
        <v>14</v>
      </c>
      <c r="J66" s="184" t="s">
        <v>61</v>
      </c>
      <c r="M66" s="170" t="s">
        <v>112</v>
      </c>
    </row>
    <row r="67" spans="1:13" s="175" customFormat="1" ht="15.75" customHeight="1" thickTop="1" x14ac:dyDescent="0.3">
      <c r="B67" s="189"/>
      <c r="C67" s="173"/>
      <c r="D67" s="173"/>
      <c r="E67" s="173"/>
      <c r="F67" s="173"/>
      <c r="G67" s="190"/>
    </row>
    <row r="68" spans="1:13" s="128" customFormat="1" ht="15" thickBot="1" x14ac:dyDescent="0.35">
      <c r="B68" s="191"/>
      <c r="C68" s="192"/>
      <c r="D68" s="193"/>
      <c r="E68" s="191"/>
      <c r="F68" s="191"/>
      <c r="G68" s="194"/>
    </row>
    <row r="69" spans="1:13" ht="18" customHeight="1" thickTop="1" x14ac:dyDescent="0.3">
      <c r="A69" s="395" t="s">
        <v>111</v>
      </c>
      <c r="B69" s="132"/>
      <c r="C69" s="423" t="s">
        <v>110</v>
      </c>
      <c r="D69" s="424"/>
      <c r="E69" s="424" t="s">
        <v>109</v>
      </c>
      <c r="F69" s="424"/>
      <c r="G69" s="195" t="s">
        <v>108</v>
      </c>
      <c r="H69" s="159" t="s">
        <v>107</v>
      </c>
    </row>
    <row r="70" spans="1:13" ht="15.75" customHeight="1" x14ac:dyDescent="0.3">
      <c r="A70" s="396"/>
      <c r="B70" s="135"/>
      <c r="C70" s="425" t="s">
        <v>106</v>
      </c>
      <c r="D70" s="196" t="s">
        <v>105</v>
      </c>
      <c r="E70" s="427" t="s">
        <v>104</v>
      </c>
      <c r="F70" s="428"/>
      <c r="G70" s="197">
        <f>(SUM(J8:J31))/1000/1000/1000</f>
        <v>0.5</v>
      </c>
      <c r="H70" s="198">
        <f>SUM(G70:G71)*2</f>
        <v>2.5</v>
      </c>
    </row>
    <row r="71" spans="1:13" ht="15.75" customHeight="1" x14ac:dyDescent="0.3">
      <c r="A71" s="396"/>
      <c r="B71" s="135"/>
      <c r="C71" s="426"/>
      <c r="D71" s="196" t="s">
        <v>103</v>
      </c>
      <c r="E71" s="427" t="s">
        <v>102</v>
      </c>
      <c r="F71" s="428"/>
      <c r="G71" s="197">
        <f>SUM(K8:K31)/1000/1000/1000</f>
        <v>0.75</v>
      </c>
      <c r="H71" s="198"/>
    </row>
    <row r="72" spans="1:13" ht="15.75" customHeight="1" x14ac:dyDescent="0.3">
      <c r="A72" s="396"/>
      <c r="B72" s="135"/>
      <c r="C72" s="425" t="s">
        <v>101</v>
      </c>
      <c r="D72" s="196" t="s">
        <v>100</v>
      </c>
      <c r="E72" s="427" t="s">
        <v>99</v>
      </c>
      <c r="F72" s="428"/>
      <c r="G72" s="197">
        <f>(SUM(H8:H31)*40)/1000/1000/1000</f>
        <v>2.3359999999999999</v>
      </c>
      <c r="H72" s="198"/>
    </row>
    <row r="73" spans="1:13" ht="15.75" customHeight="1" x14ac:dyDescent="0.3">
      <c r="A73" s="396"/>
      <c r="B73" s="135"/>
      <c r="C73" s="429"/>
      <c r="D73" s="196" t="s">
        <v>98</v>
      </c>
      <c r="E73" s="427" t="s">
        <v>97</v>
      </c>
      <c r="F73" s="428"/>
      <c r="G73" s="197">
        <f>((D33+G33+6*(G44+G45)+10)*162*Architecture!E24)/1000/1000/1000</f>
        <v>1.4174775000000001E-2</v>
      </c>
      <c r="H73" s="198"/>
    </row>
    <row r="74" spans="1:13" ht="15.75" customHeight="1" x14ac:dyDescent="0.3">
      <c r="A74" s="396"/>
      <c r="B74" s="135"/>
      <c r="C74" s="426"/>
      <c r="D74" s="196" t="s">
        <v>96</v>
      </c>
      <c r="E74" s="430" t="s">
        <v>95</v>
      </c>
      <c r="F74" s="427"/>
      <c r="G74" s="197">
        <f>G33*(Architecture!E21*160+D33*140)/1000/1000/1000</f>
        <v>0.214</v>
      </c>
      <c r="H74" s="198"/>
    </row>
    <row r="75" spans="1:13" ht="15.75" customHeight="1" x14ac:dyDescent="0.3">
      <c r="A75" s="396"/>
      <c r="B75" s="135"/>
      <c r="C75" s="199" t="s">
        <v>94</v>
      </c>
      <c r="D75" s="431" t="s">
        <v>93</v>
      </c>
      <c r="E75" s="432"/>
      <c r="F75" s="433"/>
      <c r="G75" s="197">
        <f>(G72)*1.5</f>
        <v>3.5039999999999996</v>
      </c>
      <c r="H75" s="198"/>
    </row>
    <row r="76" spans="1:13" ht="15" customHeight="1" thickBot="1" x14ac:dyDescent="0.35">
      <c r="A76" s="396"/>
      <c r="B76" s="135"/>
      <c r="C76" s="200"/>
      <c r="D76" s="135"/>
      <c r="E76" s="135"/>
      <c r="F76" s="135"/>
      <c r="G76" s="157"/>
      <c r="H76" s="158"/>
    </row>
    <row r="77" spans="1:13" ht="20.25" customHeight="1" thickBot="1" x14ac:dyDescent="0.35">
      <c r="A77" s="396"/>
      <c r="B77" s="135"/>
      <c r="C77" s="434" t="s">
        <v>92</v>
      </c>
      <c r="D77" s="435"/>
      <c r="E77" s="435"/>
      <c r="F77" s="435"/>
      <c r="G77" s="201">
        <f>SUM(G70:G75)</f>
        <v>7.3181747749999992</v>
      </c>
      <c r="H77" s="202">
        <f>G77-H70</f>
        <v>4.8181747749999992</v>
      </c>
      <c r="J77" s="203" t="s">
        <v>65</v>
      </c>
    </row>
    <row r="78" spans="1:13" ht="15" customHeight="1" thickBot="1" x14ac:dyDescent="0.25">
      <c r="A78" s="396"/>
      <c r="B78" s="135"/>
      <c r="C78" s="200"/>
      <c r="D78" s="135"/>
      <c r="E78" s="135"/>
      <c r="F78" s="135"/>
      <c r="G78" s="157"/>
      <c r="J78" s="204">
        <v>2.8</v>
      </c>
    </row>
    <row r="79" spans="1:13" ht="20.25" customHeight="1" thickBot="1" x14ac:dyDescent="0.35">
      <c r="A79" s="422"/>
      <c r="B79" s="185"/>
      <c r="C79" s="436" t="s">
        <v>91</v>
      </c>
      <c r="D79" s="437"/>
      <c r="E79" s="437"/>
      <c r="F79" s="437"/>
      <c r="G79" s="205">
        <f>IFERROR(SUM(G58:G66)/1000,0)</f>
        <v>11.410918359375</v>
      </c>
    </row>
    <row r="80" spans="1:13" ht="13.2" thickTop="1" x14ac:dyDescent="0.3"/>
  </sheetData>
  <sheetProtection algorithmName="SHA-512" hashValue="wU8b/4hld4+ABwPbuYxdZgWD7Cnsg/WOuROrPU6V7tLcmfLgCYk3vmgoN4ISSJCESsAOf4ovscyRAI2hY+6y4g==" saltValue="qAW5QX9biE7AbC0GgNIpLQ==" spinCount="100000" sheet="1" selectLockedCells="1"/>
  <mergeCells count="46">
    <mergeCell ref="C66:D66"/>
    <mergeCell ref="A37:A66"/>
    <mergeCell ref="A69:A79"/>
    <mergeCell ref="C69:D69"/>
    <mergeCell ref="E69:F69"/>
    <mergeCell ref="C70:C71"/>
    <mergeCell ref="E70:F70"/>
    <mergeCell ref="E71:F71"/>
    <mergeCell ref="C72:C74"/>
    <mergeCell ref="E72:F72"/>
    <mergeCell ref="E73:F73"/>
    <mergeCell ref="E74:F74"/>
    <mergeCell ref="D75:F75"/>
    <mergeCell ref="C77:F77"/>
    <mergeCell ref="C79:F79"/>
    <mergeCell ref="C43:F43"/>
    <mergeCell ref="C44:F44"/>
    <mergeCell ref="C45:F45"/>
    <mergeCell ref="C47:F47"/>
    <mergeCell ref="C48:F48"/>
    <mergeCell ref="C49:F49"/>
    <mergeCell ref="C50:F50"/>
    <mergeCell ref="C51:F51"/>
    <mergeCell ref="C52:F52"/>
    <mergeCell ref="C65:D65"/>
    <mergeCell ref="C53:F53"/>
    <mergeCell ref="C54:F54"/>
    <mergeCell ref="C55:F55"/>
    <mergeCell ref="C57:D57"/>
    <mergeCell ref="C58:D58"/>
    <mergeCell ref="C59:D59"/>
    <mergeCell ref="C60:D60"/>
    <mergeCell ref="C61:D61"/>
    <mergeCell ref="C62:D62"/>
    <mergeCell ref="C63:D63"/>
    <mergeCell ref="C64:D64"/>
    <mergeCell ref="A1:D1"/>
    <mergeCell ref="E1:G1"/>
    <mergeCell ref="A3:E3"/>
    <mergeCell ref="F3:G3"/>
    <mergeCell ref="A4:G4"/>
    <mergeCell ref="A6:A36"/>
    <mergeCell ref="C6:G6"/>
    <mergeCell ref="E33:F33"/>
    <mergeCell ref="E34:F34"/>
    <mergeCell ref="E35:F35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8D3E-C17F-4739-87D0-C524445D3E49}">
  <dimension ref="A1:S80"/>
  <sheetViews>
    <sheetView topLeftCell="A45" zoomScale="70" zoomScaleNormal="70" workbookViewId="0">
      <selection activeCell="G73" sqref="G73"/>
    </sheetView>
  </sheetViews>
  <sheetFormatPr baseColWidth="10" defaultColWidth="11.44140625" defaultRowHeight="12.6" x14ac:dyDescent="0.3"/>
  <cols>
    <col min="1" max="1" width="8.6640625" style="127" customWidth="1"/>
    <col min="2" max="2" width="3.88671875" style="127" customWidth="1"/>
    <col min="3" max="3" width="40.6640625" style="127" bestFit="1" customWidth="1"/>
    <col min="4" max="4" width="23" style="127" bestFit="1" customWidth="1"/>
    <col min="5" max="5" width="28.6640625" style="127" bestFit="1" customWidth="1"/>
    <col min="6" max="6" width="23.44140625" style="127" bestFit="1" customWidth="1"/>
    <col min="7" max="7" width="28.88671875" style="127" customWidth="1"/>
    <col min="8" max="8" width="24" style="127" customWidth="1"/>
    <col min="9" max="9" width="26.33203125" style="127" customWidth="1"/>
    <col min="10" max="10" width="29" style="127" customWidth="1"/>
    <col min="11" max="11" width="22.88671875" style="127" customWidth="1"/>
    <col min="12" max="14" width="11.44140625" style="127"/>
    <col min="15" max="15" width="17.88671875" style="127" customWidth="1"/>
    <col min="16" max="16384" width="11.44140625" style="127"/>
  </cols>
  <sheetData>
    <row r="1" spans="1:19" ht="15" customHeight="1" x14ac:dyDescent="0.3">
      <c r="A1" s="401" t="s">
        <v>173</v>
      </c>
      <c r="B1" s="401"/>
      <c r="C1" s="401"/>
      <c r="D1" s="401"/>
      <c r="E1" s="402" t="s">
        <v>172</v>
      </c>
      <c r="F1" s="402"/>
      <c r="G1" s="402"/>
      <c r="H1" s="126"/>
      <c r="M1" s="128" t="s">
        <v>171</v>
      </c>
    </row>
    <row r="2" spans="1:19" ht="13.2" thickBot="1" x14ac:dyDescent="0.35"/>
    <row r="3" spans="1:19" s="130" customFormat="1" ht="24.75" customHeight="1" x14ac:dyDescent="0.3">
      <c r="A3" s="403" t="s">
        <v>170</v>
      </c>
      <c r="B3" s="404"/>
      <c r="C3" s="404"/>
      <c r="D3" s="404"/>
      <c r="E3" s="404"/>
      <c r="F3" s="404" t="s">
        <v>169</v>
      </c>
      <c r="G3" s="405"/>
      <c r="H3" s="129"/>
    </row>
    <row r="4" spans="1:19" s="130" customFormat="1" ht="29.25" customHeight="1" thickBot="1" x14ac:dyDescent="0.35">
      <c r="A4" s="406" t="s">
        <v>168</v>
      </c>
      <c r="B4" s="407"/>
      <c r="C4" s="407"/>
      <c r="D4" s="407"/>
      <c r="E4" s="407"/>
      <c r="F4" s="407"/>
      <c r="G4" s="408"/>
      <c r="H4" s="131"/>
    </row>
    <row r="5" spans="1:19" ht="13.2" thickBot="1" x14ac:dyDescent="0.35"/>
    <row r="6" spans="1:19" ht="22.5" customHeight="1" thickTop="1" x14ac:dyDescent="0.3">
      <c r="A6" s="395" t="s">
        <v>130</v>
      </c>
      <c r="B6" s="132"/>
      <c r="C6" s="397" t="s">
        <v>167</v>
      </c>
      <c r="D6" s="397"/>
      <c r="E6" s="397"/>
      <c r="F6" s="397"/>
      <c r="G6" s="398"/>
      <c r="H6" s="133"/>
      <c r="I6" s="134"/>
      <c r="J6" s="134"/>
      <c r="K6" s="134"/>
    </row>
    <row r="7" spans="1:19" ht="37.799999999999997" x14ac:dyDescent="0.3">
      <c r="A7" s="396"/>
      <c r="B7" s="135"/>
      <c r="C7" s="136" t="s">
        <v>166</v>
      </c>
      <c r="D7" s="136" t="s">
        <v>165</v>
      </c>
      <c r="E7" s="136" t="s">
        <v>164</v>
      </c>
      <c r="F7" s="136" t="s">
        <v>163</v>
      </c>
      <c r="G7" s="137" t="s">
        <v>162</v>
      </c>
      <c r="H7" s="138" t="s">
        <v>161</v>
      </c>
      <c r="I7" s="139" t="s">
        <v>160</v>
      </c>
      <c r="J7" s="139" t="s">
        <v>159</v>
      </c>
      <c r="K7" s="139" t="s">
        <v>158</v>
      </c>
      <c r="O7" s="127" t="s">
        <v>184</v>
      </c>
    </row>
    <row r="8" spans="1:19" ht="14.4" x14ac:dyDescent="0.3">
      <c r="A8" s="396"/>
      <c r="B8" s="135"/>
      <c r="C8" s="140" t="s">
        <v>157</v>
      </c>
      <c r="D8" s="141">
        <f>'Final sizing'!L3</f>
        <v>5000</v>
      </c>
      <c r="E8" s="141">
        <v>2</v>
      </c>
      <c r="F8" s="141">
        <v>5</v>
      </c>
      <c r="G8" s="142">
        <f>IF(Architecture!E7="",D8*E8,Architecture!E7)</f>
        <v>10000</v>
      </c>
      <c r="H8" s="143">
        <f>Architecture!$E$23*(86400/(F8*60))*G8</f>
        <v>525600000</v>
      </c>
      <c r="I8" s="144">
        <f>((Architecture!$E$21*24*60)/F8)*D8</f>
        <v>525600000</v>
      </c>
      <c r="J8" s="145">
        <f>((O8*5/F8)*G8)*(Architecture!$D$22/6)</f>
        <v>4500000000</v>
      </c>
      <c r="K8" s="145">
        <f>IF(E8&lt;&gt;0,((O8*5/F8)*D8)*(Architecture!$D$22/6),0)</f>
        <v>2250000000</v>
      </c>
      <c r="O8" s="127">
        <v>450000</v>
      </c>
      <c r="R8" s="146"/>
      <c r="S8" s="147"/>
    </row>
    <row r="9" spans="1:19" ht="14.4" x14ac:dyDescent="0.3">
      <c r="A9" s="396"/>
      <c r="B9" s="135"/>
      <c r="C9" s="140" t="s">
        <v>156</v>
      </c>
      <c r="D9" s="141">
        <v>0</v>
      </c>
      <c r="E9" s="141">
        <v>2</v>
      </c>
      <c r="F9" s="141">
        <v>5</v>
      </c>
      <c r="G9" s="142">
        <f t="shared" ref="G9:G32" si="0">D9*E9</f>
        <v>0</v>
      </c>
      <c r="H9" s="143">
        <f>Architecture!$E$23*(86400/(F9*60))*G9</f>
        <v>0</v>
      </c>
      <c r="I9" s="144">
        <f>((Architecture!$E$21*24*60)/F9)*D9</f>
        <v>0</v>
      </c>
      <c r="J9" s="145">
        <f>((450000*5/F9)*G9)*(Architecture!$D$22/6)</f>
        <v>0</v>
      </c>
      <c r="K9" s="145">
        <f>IF(E9&lt;&gt;0,((450000*5/F9)*D9)*(Architecture!$D$22/6),0)</f>
        <v>0</v>
      </c>
      <c r="R9" s="146"/>
      <c r="S9" s="147"/>
    </row>
    <row r="10" spans="1:19" ht="14.4" x14ac:dyDescent="0.3">
      <c r="A10" s="396"/>
      <c r="B10" s="135"/>
      <c r="C10" s="140" t="s">
        <v>155</v>
      </c>
      <c r="D10" s="148">
        <v>0</v>
      </c>
      <c r="E10" s="148">
        <v>2</v>
      </c>
      <c r="F10" s="141">
        <v>5</v>
      </c>
      <c r="G10" s="142">
        <f t="shared" si="0"/>
        <v>0</v>
      </c>
      <c r="H10" s="143">
        <f>Architecture!$E$23*(86400/(F10*60))*G10</f>
        <v>0</v>
      </c>
      <c r="I10" s="144">
        <f>((Architecture!$E$21*24*60)/F10)*D10</f>
        <v>0</v>
      </c>
      <c r="J10" s="145">
        <f>((450000*5/F10)*G10)*(Architecture!$D$22/6)</f>
        <v>0</v>
      </c>
      <c r="K10" s="145">
        <f>IF(E10&lt;&gt;0,((450000*5/F10)*D10)*(Architecture!$D$22/6),0)</f>
        <v>0</v>
      </c>
      <c r="R10" s="146"/>
      <c r="S10" s="147"/>
    </row>
    <row r="11" spans="1:19" ht="14.4" x14ac:dyDescent="0.3">
      <c r="A11" s="396"/>
      <c r="B11" s="135"/>
      <c r="C11" s="140" t="s">
        <v>154</v>
      </c>
      <c r="D11" s="148">
        <v>0</v>
      </c>
      <c r="E11" s="148">
        <v>1</v>
      </c>
      <c r="F11" s="141">
        <v>5</v>
      </c>
      <c r="G11" s="142">
        <f t="shared" si="0"/>
        <v>0</v>
      </c>
      <c r="H11" s="143">
        <f>Architecture!$E$23*(86400/(F11*60))*G11</f>
        <v>0</v>
      </c>
      <c r="I11" s="144">
        <f>((Architecture!$E$21*24*60)/F11)*D11</f>
        <v>0</v>
      </c>
      <c r="J11" s="145">
        <f>((450000*5/F11)*G11)*(Architecture!$D$22/6)</f>
        <v>0</v>
      </c>
      <c r="K11" s="145">
        <f>IF(E11&lt;&gt;0,((450000*5/F11)*D11)*(Architecture!$D$22/6),0)</f>
        <v>0</v>
      </c>
      <c r="R11" s="146"/>
      <c r="S11" s="147"/>
    </row>
    <row r="12" spans="1:19" ht="14.4" x14ac:dyDescent="0.3">
      <c r="A12" s="396"/>
      <c r="B12" s="135"/>
      <c r="C12" s="140" t="s">
        <v>153</v>
      </c>
      <c r="D12" s="141">
        <v>0</v>
      </c>
      <c r="E12" s="141">
        <v>1</v>
      </c>
      <c r="F12" s="141">
        <v>5</v>
      </c>
      <c r="G12" s="142">
        <f t="shared" si="0"/>
        <v>0</v>
      </c>
      <c r="H12" s="143">
        <f>Architecture!$E$23*(86400/(F12*60))*G12</f>
        <v>0</v>
      </c>
      <c r="I12" s="144">
        <f>((Architecture!$E$21*24*60)/F12)*D12</f>
        <v>0</v>
      </c>
      <c r="J12" s="145">
        <f>((450000*5/F12)*G12)*(Architecture!$D$22/6)</f>
        <v>0</v>
      </c>
      <c r="K12" s="145">
        <f>IF(E12&lt;&gt;0,((450000*5/F12)*D12)*(Architecture!$D$22/6),0)</f>
        <v>0</v>
      </c>
      <c r="R12" s="146"/>
      <c r="S12" s="147"/>
    </row>
    <row r="13" spans="1:19" ht="14.4" x14ac:dyDescent="0.3">
      <c r="A13" s="396"/>
      <c r="B13" s="135"/>
      <c r="C13" s="140" t="s">
        <v>152</v>
      </c>
      <c r="D13" s="148">
        <v>0</v>
      </c>
      <c r="E13" s="148">
        <v>2</v>
      </c>
      <c r="F13" s="148">
        <v>5</v>
      </c>
      <c r="G13" s="142">
        <f t="shared" si="0"/>
        <v>0</v>
      </c>
      <c r="H13" s="143">
        <f>Architecture!$E$23*(86400/(F13*60))*G13</f>
        <v>0</v>
      </c>
      <c r="I13" s="144">
        <f>((Architecture!$E$21*24*60)/F13)*D13</f>
        <v>0</v>
      </c>
      <c r="J13" s="145">
        <f>((450000*5/F13)*G13)*(Architecture!$D$22/6)</f>
        <v>0</v>
      </c>
      <c r="K13" s="145">
        <f>IF(E13&lt;&gt;0,((450000*5/F13)*D13)*(Architecture!$D$22/6),0)</f>
        <v>0</v>
      </c>
      <c r="R13" s="146"/>
      <c r="S13" s="147"/>
    </row>
    <row r="14" spans="1:19" ht="14.4" x14ac:dyDescent="0.3">
      <c r="A14" s="396"/>
      <c r="B14" s="135"/>
      <c r="C14" s="140" t="s">
        <v>151</v>
      </c>
      <c r="D14" s="141">
        <v>0</v>
      </c>
      <c r="E14" s="141">
        <v>0</v>
      </c>
      <c r="F14" s="141">
        <v>5</v>
      </c>
      <c r="G14" s="142">
        <f t="shared" si="0"/>
        <v>0</v>
      </c>
      <c r="H14" s="143">
        <f>Architecture!$E$23*(86400/(F14*60))*G14</f>
        <v>0</v>
      </c>
      <c r="I14" s="144">
        <f>((Architecture!$E$21*24*60)/F14)*D14</f>
        <v>0</v>
      </c>
      <c r="J14" s="145">
        <f>((450000*5/F14)*G14)*(Architecture!$D$22/6)</f>
        <v>0</v>
      </c>
      <c r="K14" s="145">
        <f>IF(E14&lt;&gt;0,((450000*5/F14)*D14)*(Architecture!$D$22/6),0)</f>
        <v>0</v>
      </c>
      <c r="R14" s="146"/>
      <c r="S14" s="147"/>
    </row>
    <row r="15" spans="1:19" ht="14.4" x14ac:dyDescent="0.3">
      <c r="A15" s="396"/>
      <c r="B15" s="135"/>
      <c r="C15" s="140" t="s">
        <v>150</v>
      </c>
      <c r="D15" s="141">
        <v>0</v>
      </c>
      <c r="E15" s="141">
        <v>2</v>
      </c>
      <c r="F15" s="141">
        <v>5</v>
      </c>
      <c r="G15" s="142">
        <f t="shared" si="0"/>
        <v>0</v>
      </c>
      <c r="H15" s="143">
        <f>Architecture!$E$23*(86400/(F15*60))*G15</f>
        <v>0</v>
      </c>
      <c r="I15" s="144">
        <f>((Architecture!$E$21*24*60)/F15)*D15</f>
        <v>0</v>
      </c>
      <c r="J15" s="145">
        <f>((450000*5/F15)*G15)*(Architecture!$D$22/6)</f>
        <v>0</v>
      </c>
      <c r="K15" s="145">
        <f>IF(E15&lt;&gt;0,((450000*5/F15)*D15)*(Architecture!$D$22/6),0)</f>
        <v>0</v>
      </c>
      <c r="R15" s="146"/>
      <c r="S15" s="147"/>
    </row>
    <row r="16" spans="1:19" ht="14.4" x14ac:dyDescent="0.3">
      <c r="A16" s="396"/>
      <c r="B16" s="135"/>
      <c r="C16" s="140" t="s">
        <v>149</v>
      </c>
      <c r="D16" s="148">
        <v>0</v>
      </c>
      <c r="E16" s="148">
        <v>4</v>
      </c>
      <c r="F16" s="148">
        <v>5</v>
      </c>
      <c r="G16" s="142">
        <f t="shared" si="0"/>
        <v>0</v>
      </c>
      <c r="H16" s="143">
        <f>Architecture!$E$23*(86400/(F16*60))*G16</f>
        <v>0</v>
      </c>
      <c r="I16" s="144">
        <f>((Architecture!$E$21*24*60)/F16)*D16</f>
        <v>0</v>
      </c>
      <c r="J16" s="145">
        <f>((450000*5/F16)*G16)*(Architecture!$D$22/6)</f>
        <v>0</v>
      </c>
      <c r="K16" s="145">
        <f>IF(E16&lt;&gt;0,((450000*5/F16)*D16)*(Architecture!$D$22/6),0)</f>
        <v>0</v>
      </c>
      <c r="R16" s="146"/>
      <c r="S16" s="147"/>
    </row>
    <row r="17" spans="1:19" ht="14.4" x14ac:dyDescent="0.3">
      <c r="A17" s="396"/>
      <c r="B17" s="135"/>
      <c r="C17" s="140" t="s">
        <v>148</v>
      </c>
      <c r="D17" s="141">
        <v>0</v>
      </c>
      <c r="E17" s="141">
        <v>0</v>
      </c>
      <c r="F17" s="141">
        <v>60</v>
      </c>
      <c r="G17" s="142">
        <f t="shared" si="0"/>
        <v>0</v>
      </c>
      <c r="H17" s="143">
        <f>Architecture!$E$23*(86400/(F17*60))*G17</f>
        <v>0</v>
      </c>
      <c r="I17" s="144">
        <f>((Architecture!$E$21*24*60)/F17)*D17</f>
        <v>0</v>
      </c>
      <c r="J17" s="145">
        <f>((450000*5/F17)*G17)*(Architecture!$D$22/6)</f>
        <v>0</v>
      </c>
      <c r="K17" s="145">
        <f>IF(E17&lt;&gt;0,((450000*5/F17)*D17)*(Architecture!$D$22/6),0)</f>
        <v>0</v>
      </c>
      <c r="R17" s="146"/>
      <c r="S17" s="147"/>
    </row>
    <row r="18" spans="1:19" ht="14.4" x14ac:dyDescent="0.3">
      <c r="A18" s="396"/>
      <c r="B18" s="135"/>
      <c r="C18" s="140" t="s">
        <v>147</v>
      </c>
      <c r="D18" s="148">
        <v>0</v>
      </c>
      <c r="E18" s="148">
        <v>2</v>
      </c>
      <c r="F18" s="148">
        <v>60</v>
      </c>
      <c r="G18" s="142">
        <f t="shared" si="0"/>
        <v>0</v>
      </c>
      <c r="H18" s="143">
        <f>Architecture!$E$23*(86400/(F18*60))*G18</f>
        <v>0</v>
      </c>
      <c r="I18" s="144">
        <f>((Architecture!$E$21*24*60)/F18)*D18</f>
        <v>0</v>
      </c>
      <c r="J18" s="145">
        <f>((450000*5/F18)*G18)*(Architecture!$D$22/6)</f>
        <v>0</v>
      </c>
      <c r="K18" s="145">
        <f>IF(E18&lt;&gt;0,((450000*5/F18)*D18)*(Architecture!$D$22/6),0)</f>
        <v>0</v>
      </c>
      <c r="R18" s="146"/>
      <c r="S18" s="147"/>
    </row>
    <row r="19" spans="1:19" ht="14.4" x14ac:dyDescent="0.3">
      <c r="A19" s="396"/>
      <c r="B19" s="135"/>
      <c r="C19" s="140" t="s">
        <v>146</v>
      </c>
      <c r="D19" s="148">
        <v>0</v>
      </c>
      <c r="E19" s="148">
        <v>3</v>
      </c>
      <c r="F19" s="148">
        <v>5</v>
      </c>
      <c r="G19" s="142">
        <f t="shared" si="0"/>
        <v>0</v>
      </c>
      <c r="H19" s="143">
        <f>Architecture!$E$23*(86400/(F19*60))*G19</f>
        <v>0</v>
      </c>
      <c r="I19" s="144">
        <f>((Architecture!$E$21*24*60)/F19)*D19</f>
        <v>0</v>
      </c>
      <c r="J19" s="145">
        <f>((450000*5/F19)*G19)*(Architecture!$D$22/6)</f>
        <v>0</v>
      </c>
      <c r="K19" s="145">
        <f>IF(E19&lt;&gt;0,((450000*5/F19)*D19)*(Architecture!$D$22/6),0)</f>
        <v>0</v>
      </c>
      <c r="R19" s="146"/>
      <c r="S19" s="147"/>
    </row>
    <row r="20" spans="1:19" ht="14.4" x14ac:dyDescent="0.3">
      <c r="A20" s="396"/>
      <c r="B20" s="135"/>
      <c r="C20" s="140" t="s">
        <v>145</v>
      </c>
      <c r="D20" s="141">
        <v>0</v>
      </c>
      <c r="E20" s="141">
        <v>2</v>
      </c>
      <c r="F20" s="141">
        <v>5</v>
      </c>
      <c r="G20" s="142">
        <f t="shared" si="0"/>
        <v>0</v>
      </c>
      <c r="H20" s="143">
        <f>Architecture!$E$23*(86400/(F20*60))*G20</f>
        <v>0</v>
      </c>
      <c r="I20" s="144">
        <f>((Architecture!$E$21*24*60)/F20)*D20</f>
        <v>0</v>
      </c>
      <c r="J20" s="145">
        <f>((450000*5/F20)*G20)*(Architecture!$D$22/6)</f>
        <v>0</v>
      </c>
      <c r="K20" s="145">
        <f>IF(E20&lt;&gt;0,((450000*5/F20)*D20)*(Architecture!$D$22/6),0)</f>
        <v>0</v>
      </c>
      <c r="R20" s="146"/>
      <c r="S20" s="147"/>
    </row>
    <row r="21" spans="1:19" ht="14.4" x14ac:dyDescent="0.3">
      <c r="A21" s="396"/>
      <c r="B21" s="135"/>
      <c r="C21" s="140" t="s">
        <v>144</v>
      </c>
      <c r="D21" s="148">
        <v>0</v>
      </c>
      <c r="E21" s="141">
        <v>0</v>
      </c>
      <c r="F21" s="141">
        <v>5</v>
      </c>
      <c r="G21" s="142">
        <f t="shared" si="0"/>
        <v>0</v>
      </c>
      <c r="H21" s="143">
        <f>Architecture!$E$23*(86400/(F21*60))*G21</f>
        <v>0</v>
      </c>
      <c r="I21" s="144">
        <f>((Architecture!$E$21*24*60)/F21)*D21</f>
        <v>0</v>
      </c>
      <c r="J21" s="145">
        <f>((450000*5/F21)*G21)*(Architecture!$D$22/6)</f>
        <v>0</v>
      </c>
      <c r="K21" s="145">
        <f>IF(E21&lt;&gt;0,((450000*5/F21)*D21)*(Architecture!$D$22/6),0)</f>
        <v>0</v>
      </c>
      <c r="R21" s="146"/>
      <c r="S21" s="147"/>
    </row>
    <row r="22" spans="1:19" ht="14.4" x14ac:dyDescent="0.3">
      <c r="A22" s="396"/>
      <c r="B22" s="135"/>
      <c r="C22" s="149" t="s">
        <v>143</v>
      </c>
      <c r="D22" s="148">
        <v>0</v>
      </c>
      <c r="E22" s="141">
        <v>0</v>
      </c>
      <c r="F22" s="141">
        <v>5</v>
      </c>
      <c r="G22" s="142">
        <f t="shared" si="0"/>
        <v>0</v>
      </c>
      <c r="H22" s="143">
        <f>Architecture!$E$23*(86400/(F22*60))*G22</f>
        <v>0</v>
      </c>
      <c r="I22" s="144">
        <f>((Architecture!$E$21*24*60)/F22)*D22</f>
        <v>0</v>
      </c>
      <c r="J22" s="145">
        <f>((450000*5/F22)*G22)*(Architecture!$D$22/6)</f>
        <v>0</v>
      </c>
      <c r="K22" s="145">
        <f>IF(E22&lt;&gt;0,((450000*5/F22)*D22)*(Architecture!$D$22/6),0)</f>
        <v>0</v>
      </c>
      <c r="R22" s="150"/>
      <c r="S22" s="147"/>
    </row>
    <row r="23" spans="1:19" ht="14.4" x14ac:dyDescent="0.3">
      <c r="A23" s="396"/>
      <c r="B23" s="135"/>
      <c r="C23" s="140" t="s">
        <v>142</v>
      </c>
      <c r="D23" s="141">
        <v>0</v>
      </c>
      <c r="E23" s="141">
        <v>0</v>
      </c>
      <c r="F23" s="141">
        <v>5</v>
      </c>
      <c r="G23" s="142">
        <f t="shared" si="0"/>
        <v>0</v>
      </c>
      <c r="H23" s="143">
        <f>Architecture!$E$23*(86400/(F23*60))*G23</f>
        <v>0</v>
      </c>
      <c r="I23" s="144">
        <f>((Architecture!$E$21*24*60)/F23)*D23</f>
        <v>0</v>
      </c>
      <c r="J23" s="145">
        <f>((450000*5/F23)*G23)*(Architecture!$D$22/6)</f>
        <v>0</v>
      </c>
      <c r="K23" s="145">
        <f>IF(E23&lt;&gt;0,((450000*5/F23)*D23)*(Architecture!$D$22/6),0)</f>
        <v>0</v>
      </c>
      <c r="R23" s="146"/>
      <c r="S23" s="147"/>
    </row>
    <row r="24" spans="1:19" ht="14.4" x14ac:dyDescent="0.3">
      <c r="A24" s="396"/>
      <c r="B24" s="135"/>
      <c r="C24" s="140" t="s">
        <v>141</v>
      </c>
      <c r="D24" s="148">
        <v>0</v>
      </c>
      <c r="E24" s="141">
        <v>2</v>
      </c>
      <c r="F24" s="141">
        <v>5</v>
      </c>
      <c r="G24" s="142">
        <f t="shared" si="0"/>
        <v>0</v>
      </c>
      <c r="H24" s="143">
        <f>Architecture!$E$23*(86400/(F24*60))*G24</f>
        <v>0</v>
      </c>
      <c r="I24" s="144">
        <f>((Architecture!$E$21*24*60)/F24)*D24</f>
        <v>0</v>
      </c>
      <c r="J24" s="145">
        <f>((450000*5/F24)*G24)*(Architecture!$D$22/6)</f>
        <v>0</v>
      </c>
      <c r="K24" s="145">
        <f>IF(E24&lt;&gt;0,((450000*5/F24)*D24)*(Architecture!$D$22/6),0)</f>
        <v>0</v>
      </c>
      <c r="R24" s="146"/>
      <c r="S24" s="147"/>
    </row>
    <row r="25" spans="1:19" ht="14.4" x14ac:dyDescent="0.3">
      <c r="A25" s="396"/>
      <c r="B25" s="135"/>
      <c r="C25" s="140" t="s">
        <v>140</v>
      </c>
      <c r="D25" s="148">
        <v>0</v>
      </c>
      <c r="E25" s="148">
        <v>2</v>
      </c>
      <c r="F25" s="148">
        <v>5</v>
      </c>
      <c r="G25" s="142">
        <f t="shared" si="0"/>
        <v>0</v>
      </c>
      <c r="H25" s="143">
        <f>Architecture!$E$23*(86400/(F25*60))*G25</f>
        <v>0</v>
      </c>
      <c r="I25" s="144">
        <f>((Architecture!$E$21*24*60)/F25)*D25</f>
        <v>0</v>
      </c>
      <c r="J25" s="145">
        <f>((450000*5/F25)*G25)*(Architecture!$D$22/6)</f>
        <v>0</v>
      </c>
      <c r="K25" s="145">
        <f>IF(E25&lt;&gt;0,((450000*5/F25)*D25)*(Architecture!$D$22/6),0)</f>
        <v>0</v>
      </c>
      <c r="R25" s="146"/>
      <c r="S25" s="147"/>
    </row>
    <row r="26" spans="1:19" ht="14.4" x14ac:dyDescent="0.3">
      <c r="A26" s="396"/>
      <c r="B26" s="135"/>
      <c r="C26" s="140" t="s">
        <v>139</v>
      </c>
      <c r="D26" s="148">
        <v>0</v>
      </c>
      <c r="E26" s="141">
        <v>0</v>
      </c>
      <c r="F26" s="141">
        <v>300</v>
      </c>
      <c r="G26" s="142">
        <f t="shared" si="0"/>
        <v>0</v>
      </c>
      <c r="H26" s="143">
        <f>Architecture!$E$23*(86400/(F26*60))*G26</f>
        <v>0</v>
      </c>
      <c r="I26" s="144">
        <f>((Architecture!$E$21*24*60)/F26)*D26</f>
        <v>0</v>
      </c>
      <c r="J26" s="145">
        <f>((450000*5/F26)*G26)*(Architecture!$D$22/6)</f>
        <v>0</v>
      </c>
      <c r="K26" s="145">
        <f>IF(E26&lt;&gt;0,((450000*5/F26)*D26)*(Architecture!$D$22/6),0)</f>
        <v>0</v>
      </c>
      <c r="R26" s="146"/>
      <c r="S26" s="147"/>
    </row>
    <row r="27" spans="1:19" ht="14.4" x14ac:dyDescent="0.3">
      <c r="A27" s="396"/>
      <c r="B27" s="135"/>
      <c r="C27" s="140" t="s">
        <v>138</v>
      </c>
      <c r="D27" s="141">
        <v>0</v>
      </c>
      <c r="E27" s="148">
        <v>3</v>
      </c>
      <c r="F27" s="148">
        <v>300</v>
      </c>
      <c r="G27" s="142">
        <f t="shared" si="0"/>
        <v>0</v>
      </c>
      <c r="H27" s="143">
        <f>Architecture!$E$23*(86400/(F27*60))*G27</f>
        <v>0</v>
      </c>
      <c r="I27" s="144">
        <f>((Architecture!$E$21*24*60)/F27)*D27</f>
        <v>0</v>
      </c>
      <c r="J27" s="145">
        <f>((450000*5/F27)*G27)*(Architecture!$D$22/6)</f>
        <v>0</v>
      </c>
      <c r="K27" s="145">
        <f>IF(E27&lt;&gt;0,((450000*5/F27)*D27)*(Architecture!$D$22/6),0)</f>
        <v>0</v>
      </c>
      <c r="R27" s="146"/>
      <c r="S27" s="147"/>
    </row>
    <row r="28" spans="1:19" ht="14.4" x14ac:dyDescent="0.3">
      <c r="A28" s="396"/>
      <c r="B28" s="135"/>
      <c r="C28" s="140" t="s">
        <v>137</v>
      </c>
      <c r="D28" s="148">
        <v>0</v>
      </c>
      <c r="E28" s="148">
        <v>0</v>
      </c>
      <c r="F28" s="148">
        <v>5</v>
      </c>
      <c r="G28" s="142">
        <f t="shared" si="0"/>
        <v>0</v>
      </c>
      <c r="H28" s="143">
        <f>Architecture!$E$23*(86400/(F28*60))*G28</f>
        <v>0</v>
      </c>
      <c r="I28" s="144">
        <f>((Architecture!$E$21*24*60)/F28)*D28</f>
        <v>0</v>
      </c>
      <c r="J28" s="145">
        <f>((450000*5/F28)*G28)*(Architecture!$D$22/6)</f>
        <v>0</v>
      </c>
      <c r="K28" s="145">
        <f>IF(E28&lt;&gt;0,((450000*5/F28)*D28)*(Architecture!$D$22/6),0)</f>
        <v>0</v>
      </c>
      <c r="R28" s="146"/>
      <c r="S28" s="147"/>
    </row>
    <row r="29" spans="1:19" ht="14.4" x14ac:dyDescent="0.3">
      <c r="A29" s="396"/>
      <c r="B29" s="135"/>
      <c r="C29" s="140" t="s">
        <v>136</v>
      </c>
      <c r="D29" s="141">
        <v>0</v>
      </c>
      <c r="E29" s="148">
        <v>2</v>
      </c>
      <c r="F29" s="148">
        <v>5</v>
      </c>
      <c r="G29" s="142">
        <f t="shared" si="0"/>
        <v>0</v>
      </c>
      <c r="H29" s="143">
        <f>Architecture!$E$23*(86400/(F29*60))*G29</f>
        <v>0</v>
      </c>
      <c r="I29" s="144">
        <f>((Architecture!$E$21*24*60)/F29)*D29</f>
        <v>0</v>
      </c>
      <c r="J29" s="145">
        <f>((450000*5/F29)*G29)*(Architecture!$D$22/6)</f>
        <v>0</v>
      </c>
      <c r="K29" s="145">
        <f>IF(E29&lt;&gt;0,((450000*5/F29)*D29)*(Architecture!$D$22/6),0)</f>
        <v>0</v>
      </c>
      <c r="R29" s="146"/>
      <c r="S29" s="147"/>
    </row>
    <row r="30" spans="1:19" ht="14.4" x14ac:dyDescent="0.3">
      <c r="A30" s="396"/>
      <c r="B30" s="135"/>
      <c r="C30" s="140" t="s">
        <v>135</v>
      </c>
      <c r="D30" s="141">
        <v>0</v>
      </c>
      <c r="E30" s="141">
        <v>0</v>
      </c>
      <c r="F30" s="141">
        <v>5</v>
      </c>
      <c r="G30" s="142">
        <f t="shared" si="0"/>
        <v>0</v>
      </c>
      <c r="H30" s="143">
        <f>Architecture!$E$23*(86400/(F30*60))*G30</f>
        <v>0</v>
      </c>
      <c r="I30" s="144">
        <f>((Architecture!$E$21*24*60)/F30)*D30</f>
        <v>0</v>
      </c>
      <c r="J30" s="145">
        <f>((450000*5/F30)*G30)*(Architecture!$D$22/6)</f>
        <v>0</v>
      </c>
      <c r="K30" s="145">
        <f>IF(E30&lt;&gt;0,((450000*5/F30)*D30)*(Architecture!$D$22/6),0)</f>
        <v>0</v>
      </c>
      <c r="R30" s="146"/>
      <c r="S30" s="147"/>
    </row>
    <row r="31" spans="1:19" ht="14.4" x14ac:dyDescent="0.3">
      <c r="A31" s="396"/>
      <c r="B31" s="135"/>
      <c r="C31" s="140"/>
      <c r="D31" s="148">
        <v>0</v>
      </c>
      <c r="E31" s="141">
        <v>2</v>
      </c>
      <c r="F31" s="141">
        <v>5</v>
      </c>
      <c r="G31" s="142">
        <f t="shared" si="0"/>
        <v>0</v>
      </c>
      <c r="H31" s="143">
        <f>Architecture!$E$23*(86400/(F31*60))*G31</f>
        <v>0</v>
      </c>
      <c r="I31" s="144">
        <f>((Architecture!$E$21*24*60)/F31)*D31</f>
        <v>0</v>
      </c>
      <c r="J31" s="145">
        <f>((450000*5/F31)*G31)*(Architecture!$D$22/6)</f>
        <v>0</v>
      </c>
      <c r="K31" s="145">
        <f>IF(E31&lt;&gt;0,((450000*5/F31)*D31)*(Architecture!$D$22/6),0)</f>
        <v>0</v>
      </c>
    </row>
    <row r="32" spans="1:19" ht="15" thickBot="1" x14ac:dyDescent="0.35">
      <c r="A32" s="396"/>
      <c r="B32" s="135"/>
      <c r="C32" s="149"/>
      <c r="D32" s="148">
        <v>0</v>
      </c>
      <c r="E32" s="148">
        <v>2</v>
      </c>
      <c r="F32" s="141">
        <v>5</v>
      </c>
      <c r="G32" s="142">
        <f t="shared" si="0"/>
        <v>0</v>
      </c>
    </row>
    <row r="33" spans="1:13" ht="19.5" customHeight="1" thickBot="1" x14ac:dyDescent="0.35">
      <c r="A33" s="396"/>
      <c r="B33" s="135"/>
      <c r="C33" s="151" t="s">
        <v>134</v>
      </c>
      <c r="D33" s="141">
        <f>Architecture!A7</f>
        <v>500</v>
      </c>
      <c r="E33" s="399" t="s">
        <v>133</v>
      </c>
      <c r="F33" s="399"/>
      <c r="G33" s="152">
        <f>SUM(D8:D32)</f>
        <v>5000</v>
      </c>
      <c r="H33" s="153"/>
      <c r="J33" s="154"/>
      <c r="K33" s="154">
        <f>5*0.5</f>
        <v>2.5</v>
      </c>
    </row>
    <row r="34" spans="1:13" ht="19.5" customHeight="1" thickBot="1" x14ac:dyDescent="0.35">
      <c r="A34" s="396"/>
      <c r="B34" s="135"/>
      <c r="C34" s="135"/>
      <c r="D34" s="155"/>
      <c r="E34" s="400" t="s">
        <v>132</v>
      </c>
      <c r="F34" s="400"/>
      <c r="G34" s="156">
        <f>SUM(G8:G32)</f>
        <v>10000</v>
      </c>
      <c r="H34" s="153"/>
      <c r="K34" s="127">
        <f>10*2.5</f>
        <v>25</v>
      </c>
    </row>
    <row r="35" spans="1:13" ht="19.5" customHeight="1" thickBot="1" x14ac:dyDescent="0.35">
      <c r="A35" s="396"/>
      <c r="B35" s="135"/>
      <c r="C35" s="135"/>
      <c r="D35" s="155"/>
      <c r="E35" s="400" t="s">
        <v>131</v>
      </c>
      <c r="F35" s="400"/>
      <c r="G35" s="152">
        <f>SUMIF(E8:E32,"&lt;&gt;0",D8:D32)</f>
        <v>5000</v>
      </c>
      <c r="H35" s="153"/>
    </row>
    <row r="36" spans="1:13" ht="15" customHeight="1" x14ac:dyDescent="0.3">
      <c r="A36" s="396"/>
      <c r="B36" s="135"/>
      <c r="C36" s="135"/>
      <c r="D36" s="135"/>
      <c r="E36" s="135"/>
      <c r="F36" s="135"/>
      <c r="G36" s="157"/>
      <c r="H36" s="158"/>
    </row>
    <row r="37" spans="1:13" ht="23.25" customHeight="1" x14ac:dyDescent="0.3">
      <c r="A37" s="396" t="s">
        <v>130</v>
      </c>
      <c r="B37" s="135"/>
      <c r="H37" s="159"/>
    </row>
    <row r="38" spans="1:13" ht="15.75" customHeight="1" x14ac:dyDescent="0.3">
      <c r="A38" s="396"/>
      <c r="B38" s="135"/>
      <c r="H38" s="160"/>
    </row>
    <row r="39" spans="1:13" ht="15.75" customHeight="1" x14ac:dyDescent="0.3">
      <c r="A39" s="396"/>
      <c r="B39" s="135"/>
      <c r="H39" s="160"/>
    </row>
    <row r="40" spans="1:13" ht="15.75" customHeight="1" x14ac:dyDescent="0.3">
      <c r="A40" s="396"/>
      <c r="B40" s="135"/>
      <c r="H40" s="160"/>
    </row>
    <row r="41" spans="1:13" ht="15.75" customHeight="1" x14ac:dyDescent="0.3">
      <c r="A41" s="396"/>
      <c r="B41" s="135"/>
      <c r="H41" s="160"/>
    </row>
    <row r="42" spans="1:13" ht="15" customHeight="1" x14ac:dyDescent="0.3">
      <c r="A42" s="396"/>
      <c r="B42" s="135"/>
      <c r="C42" s="161"/>
      <c r="D42" s="162"/>
      <c r="E42" s="162"/>
      <c r="F42" s="163"/>
      <c r="G42" s="164"/>
      <c r="H42" s="160"/>
    </row>
    <row r="43" spans="1:13" ht="22.5" customHeight="1" x14ac:dyDescent="0.3">
      <c r="A43" s="396"/>
      <c r="B43" s="135"/>
      <c r="C43" s="438" t="s">
        <v>129</v>
      </c>
      <c r="D43" s="439"/>
      <c r="E43" s="439"/>
      <c r="F43" s="439"/>
      <c r="G43" s="165" t="s">
        <v>128</v>
      </c>
      <c r="H43" s="160"/>
    </row>
    <row r="44" spans="1:13" ht="17.25" customHeight="1" x14ac:dyDescent="0.3">
      <c r="A44" s="396"/>
      <c r="B44" s="135"/>
      <c r="C44" s="418" t="s">
        <v>127</v>
      </c>
      <c r="D44" s="418"/>
      <c r="E44" s="418"/>
      <c r="F44" s="418"/>
      <c r="G44" s="166">
        <f>G33*0.05</f>
        <v>250</v>
      </c>
      <c r="H44" s="160"/>
      <c r="M44" s="127" t="s">
        <v>126</v>
      </c>
    </row>
    <row r="45" spans="1:13" ht="17.25" customHeight="1" x14ac:dyDescent="0.3">
      <c r="A45" s="396"/>
      <c r="B45" s="135"/>
      <c r="C45" s="418" t="s">
        <v>125</v>
      </c>
      <c r="D45" s="418"/>
      <c r="E45" s="418"/>
      <c r="F45" s="418"/>
      <c r="G45" s="166">
        <f>G33*0.02</f>
        <v>100</v>
      </c>
      <c r="H45" s="160"/>
      <c r="M45" s="127" t="s">
        <v>124</v>
      </c>
    </row>
    <row r="46" spans="1:13" ht="15" customHeight="1" x14ac:dyDescent="0.3">
      <c r="A46" s="396"/>
      <c r="B46" s="135"/>
      <c r="C46" s="135"/>
      <c r="D46" s="135"/>
      <c r="E46" s="135"/>
      <c r="F46" s="163"/>
      <c r="G46" s="157"/>
      <c r="H46" s="158"/>
    </row>
    <row r="47" spans="1:13" s="128" customFormat="1" ht="19.5" customHeight="1" x14ac:dyDescent="0.3">
      <c r="A47" s="396"/>
      <c r="B47" s="167"/>
      <c r="C47" s="419" t="s">
        <v>123</v>
      </c>
      <c r="D47" s="420"/>
      <c r="E47" s="420"/>
      <c r="F47" s="420"/>
      <c r="G47" s="168" t="s">
        <v>37</v>
      </c>
    </row>
    <row r="48" spans="1:13" s="170" customFormat="1" ht="15.75" customHeight="1" x14ac:dyDescent="0.3">
      <c r="A48" s="396"/>
      <c r="B48" s="135"/>
      <c r="C48" s="409" t="s">
        <v>40</v>
      </c>
      <c r="D48" s="410"/>
      <c r="E48" s="410"/>
      <c r="F48" s="411"/>
      <c r="G48" s="169">
        <v>2</v>
      </c>
      <c r="M48" s="170" t="s">
        <v>112</v>
      </c>
    </row>
    <row r="49" spans="1:13" s="170" customFormat="1" ht="15.75" customHeight="1" x14ac:dyDescent="0.3">
      <c r="A49" s="396"/>
      <c r="B49" s="135"/>
      <c r="C49" s="409" t="s">
        <v>41</v>
      </c>
      <c r="D49" s="410"/>
      <c r="E49" s="410"/>
      <c r="F49" s="411"/>
      <c r="G49" s="169">
        <v>2</v>
      </c>
      <c r="M49" s="170" t="s">
        <v>112</v>
      </c>
    </row>
    <row r="50" spans="1:13" s="170" customFormat="1" ht="15.75" customHeight="1" x14ac:dyDescent="0.3">
      <c r="A50" s="396"/>
      <c r="B50" s="135"/>
      <c r="C50" s="409" t="s">
        <v>42</v>
      </c>
      <c r="D50" s="410"/>
      <c r="E50" s="410"/>
      <c r="F50" s="411"/>
      <c r="G50" s="169">
        <v>2</v>
      </c>
      <c r="M50" s="170" t="s">
        <v>112</v>
      </c>
    </row>
    <row r="51" spans="1:13" s="170" customFormat="1" ht="15.75" customHeight="1" x14ac:dyDescent="0.3">
      <c r="A51" s="396"/>
      <c r="B51" s="135"/>
      <c r="C51" s="409" t="s">
        <v>43</v>
      </c>
      <c r="D51" s="410"/>
      <c r="E51" s="410"/>
      <c r="F51" s="411"/>
      <c r="G51" s="169">
        <v>3</v>
      </c>
      <c r="M51" s="170" t="s">
        <v>112</v>
      </c>
    </row>
    <row r="52" spans="1:13" s="170" customFormat="1" ht="15.75" customHeight="1" x14ac:dyDescent="0.3">
      <c r="A52" s="396"/>
      <c r="B52" s="135"/>
      <c r="C52" s="409" t="s">
        <v>44</v>
      </c>
      <c r="D52" s="410"/>
      <c r="E52" s="410"/>
      <c r="F52" s="411"/>
      <c r="G52" s="171">
        <f>IFERROR((G44*30)/G33,0)</f>
        <v>1.5</v>
      </c>
    </row>
    <row r="53" spans="1:13" s="170" customFormat="1" ht="15.75" customHeight="1" x14ac:dyDescent="0.3">
      <c r="A53" s="396"/>
      <c r="B53" s="135"/>
      <c r="C53" s="409" t="s">
        <v>45</v>
      </c>
      <c r="D53" s="410"/>
      <c r="E53" s="410"/>
      <c r="F53" s="411"/>
      <c r="G53" s="171">
        <f>IFERROR((G45*30)/D33,0)</f>
        <v>6</v>
      </c>
    </row>
    <row r="54" spans="1:13" s="170" customFormat="1" ht="15.75" customHeight="1" x14ac:dyDescent="0.3">
      <c r="A54" s="396"/>
      <c r="B54" s="135"/>
      <c r="C54" s="409" t="s">
        <v>46</v>
      </c>
      <c r="D54" s="410"/>
      <c r="E54" s="410"/>
      <c r="F54" s="411"/>
      <c r="G54" s="172">
        <f>IFERROR(AVERAGEIF(D8:D32,"&lt;&gt;0",E8:E32),0)</f>
        <v>2</v>
      </c>
    </row>
    <row r="55" spans="1:13" s="170" customFormat="1" ht="15.75" customHeight="1" x14ac:dyDescent="0.3">
      <c r="A55" s="396"/>
      <c r="B55" s="135"/>
      <c r="C55" s="409" t="s">
        <v>47</v>
      </c>
      <c r="D55" s="410"/>
      <c r="E55" s="410"/>
      <c r="F55" s="411"/>
      <c r="G55" s="172">
        <f>IFERROR(SUMPRODUCT(D8:D32,F8:F32)/G33,0)</f>
        <v>5</v>
      </c>
    </row>
    <row r="56" spans="1:13" s="175" customFormat="1" ht="15" customHeight="1" x14ac:dyDescent="0.3">
      <c r="A56" s="396"/>
      <c r="B56" s="162"/>
      <c r="C56" s="173"/>
      <c r="D56" s="173"/>
      <c r="E56" s="173"/>
      <c r="F56" s="173"/>
      <c r="G56" s="174"/>
    </row>
    <row r="57" spans="1:13" ht="28.8" x14ac:dyDescent="0.3">
      <c r="A57" s="396"/>
      <c r="B57" s="135"/>
      <c r="C57" s="414" t="s">
        <v>122</v>
      </c>
      <c r="D57" s="415"/>
      <c r="E57" s="176" t="s">
        <v>121</v>
      </c>
      <c r="F57" s="176" t="s">
        <v>120</v>
      </c>
      <c r="G57" s="177" t="s">
        <v>50</v>
      </c>
      <c r="H57" s="178" t="s">
        <v>64</v>
      </c>
      <c r="I57" s="179" t="s">
        <v>63</v>
      </c>
      <c r="J57" s="179" t="s">
        <v>62</v>
      </c>
    </row>
    <row r="58" spans="1:13" ht="15.75" customHeight="1" x14ac:dyDescent="0.3">
      <c r="A58" s="396"/>
      <c r="B58" s="135"/>
      <c r="C58" s="416" t="s">
        <v>58</v>
      </c>
      <c r="D58" s="417"/>
      <c r="E58" s="180" t="s">
        <v>115</v>
      </c>
      <c r="F58" s="181">
        <v>6</v>
      </c>
      <c r="G58" s="182">
        <f t="shared" ref="G58:G65" si="1">IFERROR((I58*H58+J58*H58)/1024/1024,0)</f>
        <v>151.13067626953125</v>
      </c>
      <c r="H58" s="183">
        <f>F58*31*D33*G48*G49*G51</f>
        <v>1116000</v>
      </c>
      <c r="I58" s="184">
        <v>72</v>
      </c>
      <c r="J58" s="184">
        <f>(4+4+1+4+6+6)*J78</f>
        <v>70</v>
      </c>
      <c r="M58" s="170" t="s">
        <v>112</v>
      </c>
    </row>
    <row r="59" spans="1:13" ht="15.75" customHeight="1" x14ac:dyDescent="0.3">
      <c r="A59" s="396"/>
      <c r="B59" s="135"/>
      <c r="C59" s="416" t="s">
        <v>119</v>
      </c>
      <c r="D59" s="417"/>
      <c r="E59" s="180" t="s">
        <v>117</v>
      </c>
      <c r="F59" s="181">
        <v>24</v>
      </c>
      <c r="G59" s="182">
        <f t="shared" si="1"/>
        <v>9.5141601562499997E-2</v>
      </c>
      <c r="H59" s="183">
        <f>F59*G48*G49*G51</f>
        <v>288</v>
      </c>
      <c r="I59" s="184">
        <v>254</v>
      </c>
      <c r="J59" s="184">
        <f>(4+4+4+4+1+4+6+6)*J78</f>
        <v>92.399999999999991</v>
      </c>
      <c r="M59" s="170" t="s">
        <v>112</v>
      </c>
    </row>
    <row r="60" spans="1:13" ht="15.75" customHeight="1" x14ac:dyDescent="0.3">
      <c r="A60" s="396"/>
      <c r="B60" s="135"/>
      <c r="C60" s="416" t="s">
        <v>59</v>
      </c>
      <c r="D60" s="417"/>
      <c r="E60" s="180" t="s">
        <v>115</v>
      </c>
      <c r="F60" s="181">
        <v>6</v>
      </c>
      <c r="G60" s="182">
        <f t="shared" si="1"/>
        <v>3150.32958984375</v>
      </c>
      <c r="H60" s="183">
        <f>F60*31*G33*G48*G49*G50*G51</f>
        <v>22320000</v>
      </c>
      <c r="I60" s="184">
        <v>78</v>
      </c>
      <c r="J60" s="184">
        <f>(4+4+1+4+6+6)*J78</f>
        <v>70</v>
      </c>
      <c r="M60" s="170" t="s">
        <v>112</v>
      </c>
    </row>
    <row r="61" spans="1:13" ht="15.75" customHeight="1" x14ac:dyDescent="0.3">
      <c r="A61" s="396"/>
      <c r="B61" s="135"/>
      <c r="C61" s="412" t="s">
        <v>118</v>
      </c>
      <c r="D61" s="413"/>
      <c r="E61" s="180" t="s">
        <v>117</v>
      </c>
      <c r="F61" s="181">
        <v>24</v>
      </c>
      <c r="G61" s="182">
        <f t="shared" si="1"/>
        <v>0.11612548828124999</v>
      </c>
      <c r="H61" s="183">
        <f>F61*G48*G49*G50*G51</f>
        <v>576</v>
      </c>
      <c r="I61" s="184">
        <v>119</v>
      </c>
      <c r="J61" s="184">
        <f>(4+4+4+4+1+4+6+6)*J78</f>
        <v>92.399999999999991</v>
      </c>
      <c r="M61" s="170" t="s">
        <v>112</v>
      </c>
    </row>
    <row r="62" spans="1:13" ht="15.75" customHeight="1" x14ac:dyDescent="0.3">
      <c r="A62" s="396"/>
      <c r="B62" s="135"/>
      <c r="C62" s="416" t="s">
        <v>57</v>
      </c>
      <c r="D62" s="417"/>
      <c r="E62" s="180" t="s">
        <v>113</v>
      </c>
      <c r="F62" s="181">
        <v>6</v>
      </c>
      <c r="G62" s="182">
        <f t="shared" si="1"/>
        <v>161.4990234375</v>
      </c>
      <c r="H62" s="183">
        <f>G33*G48*G49*G50*G51*G52*F62</f>
        <v>1080000</v>
      </c>
      <c r="I62" s="184">
        <v>56</v>
      </c>
      <c r="J62" s="184">
        <f>(4+1+1+4+4+1+1+4+4+6+6)*J78</f>
        <v>100.8</v>
      </c>
      <c r="M62" s="170" t="s">
        <v>112</v>
      </c>
    </row>
    <row r="63" spans="1:13" ht="15.75" customHeight="1" x14ac:dyDescent="0.3">
      <c r="A63" s="396"/>
      <c r="B63" s="135"/>
      <c r="C63" s="416" t="s">
        <v>56</v>
      </c>
      <c r="D63" s="417"/>
      <c r="E63" s="180" t="s">
        <v>113</v>
      </c>
      <c r="F63" s="181">
        <v>6</v>
      </c>
      <c r="G63" s="182">
        <f t="shared" si="1"/>
        <v>36.419677734375</v>
      </c>
      <c r="H63" s="183">
        <f>D33*G48*G49*G51*G53*F63</f>
        <v>216000</v>
      </c>
      <c r="I63" s="184">
        <v>76</v>
      </c>
      <c r="J63" s="184">
        <f>(4+1+1+4+4+1+1+4+4+6+6)*J78</f>
        <v>100.8</v>
      </c>
      <c r="M63" s="170" t="s">
        <v>112</v>
      </c>
    </row>
    <row r="64" spans="1:13" ht="15.75" customHeight="1" x14ac:dyDescent="0.3">
      <c r="A64" s="396"/>
      <c r="B64" s="135"/>
      <c r="C64" s="412" t="s">
        <v>114</v>
      </c>
      <c r="D64" s="413"/>
      <c r="E64" s="180" t="s">
        <v>116</v>
      </c>
      <c r="F64" s="181">
        <v>3</v>
      </c>
      <c r="G64" s="182">
        <f t="shared" si="1"/>
        <v>22001.220703125</v>
      </c>
      <c r="H64" s="183">
        <f>G33*G48*G49*G50*G54*F64*31*24</f>
        <v>178560000</v>
      </c>
      <c r="I64" s="184">
        <v>62</v>
      </c>
      <c r="J64" s="184">
        <f>(4+4+4+6+6)*J78</f>
        <v>67.199999999999989</v>
      </c>
      <c r="M64" s="170" t="s">
        <v>112</v>
      </c>
    </row>
    <row r="65" spans="1:13" ht="15.75" customHeight="1" x14ac:dyDescent="0.3">
      <c r="A65" s="396"/>
      <c r="B65" s="135"/>
      <c r="C65" s="412" t="s">
        <v>114</v>
      </c>
      <c r="D65" s="413"/>
      <c r="E65" s="180" t="s">
        <v>115</v>
      </c>
      <c r="F65" s="181">
        <v>6</v>
      </c>
      <c r="G65" s="182">
        <f t="shared" si="1"/>
        <v>6045.22705078125</v>
      </c>
      <c r="H65" s="183">
        <f>G33*G48*G49*G50*G51*G54*F65*31</f>
        <v>44640000</v>
      </c>
      <c r="I65" s="184">
        <v>72</v>
      </c>
      <c r="J65" s="184">
        <f>(1+4+4+4+6+6)*J78</f>
        <v>70</v>
      </c>
      <c r="M65" s="170" t="s">
        <v>112</v>
      </c>
    </row>
    <row r="66" spans="1:13" ht="15.75" customHeight="1" thickBot="1" x14ac:dyDescent="0.35">
      <c r="A66" s="422"/>
      <c r="B66" s="185"/>
      <c r="C66" s="421" t="s">
        <v>114</v>
      </c>
      <c r="D66" s="421"/>
      <c r="E66" s="186" t="s">
        <v>113</v>
      </c>
      <c r="F66" s="187">
        <v>1</v>
      </c>
      <c r="G66" s="188">
        <f>IFERROR(((I66*H66)*2)/1024/1024,0)</f>
        <v>2384.033203125</v>
      </c>
      <c r="H66" s="183">
        <f>(60/G55)*24*F66*31*G33*G54</f>
        <v>89280000</v>
      </c>
      <c r="I66" s="184">
        <v>14</v>
      </c>
      <c r="J66" s="184" t="s">
        <v>61</v>
      </c>
      <c r="M66" s="170" t="s">
        <v>112</v>
      </c>
    </row>
    <row r="67" spans="1:13" s="175" customFormat="1" ht="15.75" customHeight="1" thickTop="1" x14ac:dyDescent="0.3">
      <c r="B67" s="189"/>
      <c r="C67" s="173"/>
      <c r="D67" s="173"/>
      <c r="E67" s="173"/>
      <c r="F67" s="173"/>
      <c r="G67" s="190"/>
    </row>
    <row r="68" spans="1:13" s="128" customFormat="1" ht="15" thickBot="1" x14ac:dyDescent="0.35">
      <c r="B68" s="191"/>
      <c r="C68" s="192"/>
      <c r="D68" s="193"/>
      <c r="E68" s="191"/>
      <c r="F68" s="191"/>
      <c r="G68" s="194"/>
    </row>
    <row r="69" spans="1:13" ht="18" customHeight="1" thickTop="1" x14ac:dyDescent="0.3">
      <c r="A69" s="395" t="s">
        <v>111</v>
      </c>
      <c r="B69" s="132"/>
      <c r="C69" s="423" t="s">
        <v>110</v>
      </c>
      <c r="D69" s="424"/>
      <c r="E69" s="424" t="s">
        <v>109</v>
      </c>
      <c r="F69" s="424"/>
      <c r="G69" s="195" t="s">
        <v>108</v>
      </c>
      <c r="H69" s="159" t="s">
        <v>107</v>
      </c>
    </row>
    <row r="70" spans="1:13" ht="15.75" customHeight="1" x14ac:dyDescent="0.3">
      <c r="A70" s="396"/>
      <c r="B70" s="135"/>
      <c r="C70" s="425" t="s">
        <v>106</v>
      </c>
      <c r="D70" s="196" t="s">
        <v>105</v>
      </c>
      <c r="E70" s="427" t="s">
        <v>104</v>
      </c>
      <c r="F70" s="428"/>
      <c r="G70" s="197">
        <f>(SUM(J8:J31))/1000/1000/1000</f>
        <v>4.5</v>
      </c>
      <c r="H70" s="198">
        <f>SUM(G70:G71)*2</f>
        <v>13.5</v>
      </c>
    </row>
    <row r="71" spans="1:13" ht="15.75" customHeight="1" x14ac:dyDescent="0.3">
      <c r="A71" s="396"/>
      <c r="B71" s="135"/>
      <c r="C71" s="426"/>
      <c r="D71" s="196" t="s">
        <v>103</v>
      </c>
      <c r="E71" s="427" t="s">
        <v>102</v>
      </c>
      <c r="F71" s="428"/>
      <c r="G71" s="197">
        <f>SUM(K8:K31)/1000/1000/1000</f>
        <v>2.25</v>
      </c>
      <c r="H71" s="198"/>
    </row>
    <row r="72" spans="1:13" ht="15.75" customHeight="1" x14ac:dyDescent="0.3">
      <c r="A72" s="396"/>
      <c r="B72" s="135"/>
      <c r="C72" s="425" t="s">
        <v>101</v>
      </c>
      <c r="D72" s="196" t="s">
        <v>100</v>
      </c>
      <c r="E72" s="427" t="s">
        <v>99</v>
      </c>
      <c r="F72" s="428"/>
      <c r="G72" s="197">
        <f>(SUM(H8:H31)*40)/1000/1000/1000</f>
        <v>21.024000000000001</v>
      </c>
      <c r="H72" s="198"/>
    </row>
    <row r="73" spans="1:13" ht="15.75" customHeight="1" x14ac:dyDescent="0.3">
      <c r="A73" s="396"/>
      <c r="B73" s="135"/>
      <c r="C73" s="429"/>
      <c r="D73" s="196" t="s">
        <v>98</v>
      </c>
      <c r="E73" s="427" t="s">
        <v>97</v>
      </c>
      <c r="F73" s="428"/>
      <c r="G73" s="197">
        <f>((D33+G33+6*(G44+G45)+10)*162*Architecture!E24)/1000/1000/1000</f>
        <v>3.7498274999999998E-2</v>
      </c>
      <c r="H73" s="198"/>
    </row>
    <row r="74" spans="1:13" ht="15.75" customHeight="1" x14ac:dyDescent="0.3">
      <c r="A74" s="396"/>
      <c r="B74" s="135"/>
      <c r="C74" s="426"/>
      <c r="D74" s="196" t="s">
        <v>96</v>
      </c>
      <c r="E74" s="430" t="s">
        <v>95</v>
      </c>
      <c r="F74" s="427"/>
      <c r="G74" s="197">
        <f>G33*(Architecture!E21*160+D33*140)/1000/1000/1000</f>
        <v>0.64200000000000002</v>
      </c>
      <c r="H74" s="198"/>
    </row>
    <row r="75" spans="1:13" ht="15.75" customHeight="1" x14ac:dyDescent="0.3">
      <c r="A75" s="396"/>
      <c r="B75" s="135"/>
      <c r="C75" s="199" t="s">
        <v>94</v>
      </c>
      <c r="D75" s="431" t="s">
        <v>93</v>
      </c>
      <c r="E75" s="432"/>
      <c r="F75" s="433"/>
      <c r="G75" s="197">
        <f>(G72)*1.5</f>
        <v>31.536000000000001</v>
      </c>
      <c r="H75" s="198"/>
    </row>
    <row r="76" spans="1:13" ht="15" customHeight="1" thickBot="1" x14ac:dyDescent="0.35">
      <c r="A76" s="396"/>
      <c r="B76" s="135"/>
      <c r="C76" s="200"/>
      <c r="D76" s="135"/>
      <c r="E76" s="135"/>
      <c r="F76" s="135"/>
      <c r="G76" s="157"/>
      <c r="H76" s="158"/>
    </row>
    <row r="77" spans="1:13" ht="20.25" customHeight="1" thickBot="1" x14ac:dyDescent="0.35">
      <c r="A77" s="396"/>
      <c r="B77" s="135"/>
      <c r="C77" s="434" t="s">
        <v>92</v>
      </c>
      <c r="D77" s="435"/>
      <c r="E77" s="435"/>
      <c r="F77" s="435"/>
      <c r="G77" s="201">
        <f>SUM(G70:G75)</f>
        <v>59.989498275000003</v>
      </c>
      <c r="H77" s="202">
        <f>G77-H70</f>
        <v>46.489498275000003</v>
      </c>
      <c r="J77" s="203" t="s">
        <v>65</v>
      </c>
    </row>
    <row r="78" spans="1:13" ht="15" customHeight="1" thickBot="1" x14ac:dyDescent="0.25">
      <c r="A78" s="396"/>
      <c r="B78" s="135"/>
      <c r="C78" s="200"/>
      <c r="D78" s="135"/>
      <c r="E78" s="135"/>
      <c r="F78" s="135"/>
      <c r="G78" s="157"/>
      <c r="J78" s="204">
        <v>2.8</v>
      </c>
    </row>
    <row r="79" spans="1:13" ht="20.25" customHeight="1" thickBot="1" x14ac:dyDescent="0.35">
      <c r="A79" s="422"/>
      <c r="B79" s="185"/>
      <c r="C79" s="436" t="s">
        <v>91</v>
      </c>
      <c r="D79" s="437"/>
      <c r="E79" s="437"/>
      <c r="F79" s="437"/>
      <c r="G79" s="205">
        <f>IFERROR(SUM(G58:G66)/1000,0)</f>
        <v>33.930071191406249</v>
      </c>
    </row>
    <row r="80" spans="1:13" ht="13.2" thickTop="1" x14ac:dyDescent="0.3"/>
  </sheetData>
  <sheetProtection selectLockedCells="1"/>
  <mergeCells count="46">
    <mergeCell ref="C77:F77"/>
    <mergeCell ref="C79:F79"/>
    <mergeCell ref="A69:A79"/>
    <mergeCell ref="A37:A66"/>
    <mergeCell ref="A6:A36"/>
    <mergeCell ref="C69:D69"/>
    <mergeCell ref="E74:F74"/>
    <mergeCell ref="E70:F70"/>
    <mergeCell ref="E71:F71"/>
    <mergeCell ref="E72:F72"/>
    <mergeCell ref="D75:F75"/>
    <mergeCell ref="C53:F53"/>
    <mergeCell ref="C47:F47"/>
    <mergeCell ref="C45:F45"/>
    <mergeCell ref="C43:F43"/>
    <mergeCell ref="E34:F34"/>
    <mergeCell ref="A1:D1"/>
    <mergeCell ref="E1:G1"/>
    <mergeCell ref="F3:G3"/>
    <mergeCell ref="C6:G6"/>
    <mergeCell ref="E33:F33"/>
    <mergeCell ref="A3:E3"/>
    <mergeCell ref="A4:G4"/>
    <mergeCell ref="E35:F35"/>
    <mergeCell ref="C59:D59"/>
    <mergeCell ref="C60:D60"/>
    <mergeCell ref="C48:F48"/>
    <mergeCell ref="C49:F49"/>
    <mergeCell ref="C50:F50"/>
    <mergeCell ref="C51:F51"/>
    <mergeCell ref="C52:F52"/>
    <mergeCell ref="C44:F44"/>
    <mergeCell ref="C54:F54"/>
    <mergeCell ref="C55:F55"/>
    <mergeCell ref="C70:C71"/>
    <mergeCell ref="C72:C74"/>
    <mergeCell ref="E73:F73"/>
    <mergeCell ref="E69:F69"/>
    <mergeCell ref="C57:D57"/>
    <mergeCell ref="C65:D65"/>
    <mergeCell ref="C61:D61"/>
    <mergeCell ref="C62:D62"/>
    <mergeCell ref="C66:D66"/>
    <mergeCell ref="C58:D58"/>
    <mergeCell ref="C64:D64"/>
    <mergeCell ref="C63:D63"/>
  </mergeCells>
  <pageMargins left="0.7" right="0.7" top="0.75" bottom="0.75" header="0.3" footer="0.3"/>
  <pageSetup paperSize="9" scale="80" orientation="landscape" r:id="rId1"/>
  <rowBreaks count="2" manualBreakCount="2">
    <brk id="36" max="16383" man="1"/>
    <brk id="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Summary</vt:lpstr>
      <vt:lpstr>Architecture</vt:lpstr>
      <vt:lpstr>MBI Sizing</vt:lpstr>
      <vt:lpstr>Final sizing</vt:lpstr>
      <vt:lpstr>Remote Server Sizing</vt:lpstr>
      <vt:lpstr>PO so Main server and BI se</vt:lpstr>
      <vt:lpstr>RS so Main server and BI serve</vt:lpstr>
      <vt:lpstr>RS Main server and BI server </vt:lpstr>
      <vt:lpstr>Main server and BI server</vt:lpstr>
      <vt:lpstr>Poller Sizing</vt:lpstr>
      <vt:lpstr>AVV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2019-02-27T14:41:51Z</dcterms:modified>
</cp:coreProperties>
</file>