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bomm\Downloads\"/>
    </mc:Choice>
  </mc:AlternateContent>
  <xr:revisionPtr revIDLastSave="0" documentId="13_ncr:1_{5018429D-7978-4245-B8D7-A14C632D48E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ummary" sheetId="6" r:id="rId1"/>
    <sheet name="Architecture" sheetId="1" r:id="rId2"/>
    <sheet name="MBI Sizing" sheetId="8" r:id="rId3"/>
    <sheet name="Final sizing" sheetId="2" r:id="rId4"/>
    <sheet name="Remote Server Sizing" sheetId="17" r:id="rId5"/>
    <sheet name="RS so Main server and BI serve" sheetId="13" state="hidden" r:id="rId6"/>
    <sheet name="RS Main server and BI server " sheetId="12" state="hidden" r:id="rId7"/>
    <sheet name="Main server and BI server" sheetId="10" state="hidden" r:id="rId8"/>
    <sheet name="Poller Sizing" sheetId="11" r:id="rId9"/>
    <sheet name="AVV config" sheetId="15" state="hidden" r:id="rId10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17" l="1"/>
  <c r="I8" i="1" l="1"/>
  <c r="A15" i="1" l="1"/>
  <c r="A14" i="1"/>
  <c r="A16" i="17"/>
  <c r="D32" i="17"/>
  <c r="F17" i="2"/>
  <c r="D18" i="2" l="1"/>
  <c r="C21" i="17" l="1"/>
  <c r="E18" i="2"/>
  <c r="K34" i="10" l="1"/>
  <c r="K33" i="10"/>
  <c r="C10" i="11" l="1"/>
  <c r="C15" i="11"/>
  <c r="D26" i="17"/>
  <c r="C26" i="17"/>
  <c r="C18" i="17" l="1"/>
  <c r="D8" i="13" s="1"/>
  <c r="G8" i="13" s="1"/>
  <c r="J8" i="13" s="1"/>
  <c r="K8" i="13" l="1"/>
  <c r="C23" i="17"/>
  <c r="C13" i="11"/>
  <c r="C12" i="11"/>
  <c r="D8" i="11"/>
  <c r="D29" i="17"/>
  <c r="D27" i="17"/>
  <c r="C24" i="17"/>
  <c r="C28" i="17" s="1"/>
  <c r="C14" i="17"/>
  <c r="E10" i="17"/>
  <c r="E9" i="17"/>
  <c r="H8" i="13" s="1"/>
  <c r="E8" i="17"/>
  <c r="E11" i="17"/>
  <c r="I8" i="13" s="1"/>
  <c r="D21" i="17" l="1"/>
  <c r="C16" i="17"/>
  <c r="C17" i="17" s="1"/>
  <c r="G10" i="13"/>
  <c r="D23" i="17" l="1"/>
  <c r="D31" i="17"/>
  <c r="D24" i="17"/>
  <c r="D28" i="17" s="1"/>
  <c r="D23" i="2"/>
  <c r="D36" i="17" l="1"/>
  <c r="D33" i="13"/>
  <c r="J65" i="13" l="1"/>
  <c r="J64" i="13"/>
  <c r="J63" i="13"/>
  <c r="J62" i="13"/>
  <c r="J61" i="13"/>
  <c r="H61" i="13"/>
  <c r="G61" i="13"/>
  <c r="J60" i="13"/>
  <c r="J59" i="13"/>
  <c r="H59" i="13"/>
  <c r="J58" i="13"/>
  <c r="H58" i="13"/>
  <c r="G58" i="13" s="1"/>
  <c r="G32" i="13"/>
  <c r="K31" i="13"/>
  <c r="G31" i="13"/>
  <c r="J31" i="13" s="1"/>
  <c r="K30" i="13"/>
  <c r="G30" i="13"/>
  <c r="J30" i="13" s="1"/>
  <c r="K29" i="13"/>
  <c r="G29" i="13"/>
  <c r="J29" i="13" s="1"/>
  <c r="K28" i="13"/>
  <c r="G28" i="13"/>
  <c r="J28" i="13" s="1"/>
  <c r="K27" i="13"/>
  <c r="G27" i="13"/>
  <c r="J27" i="13" s="1"/>
  <c r="K26" i="13"/>
  <c r="G26" i="13"/>
  <c r="J26" i="13" s="1"/>
  <c r="K25" i="13"/>
  <c r="J25" i="13"/>
  <c r="G25" i="13"/>
  <c r="K24" i="13"/>
  <c r="J24" i="13"/>
  <c r="G24" i="13"/>
  <c r="K23" i="13"/>
  <c r="G23" i="13"/>
  <c r="J23" i="13" s="1"/>
  <c r="K22" i="13"/>
  <c r="G22" i="13"/>
  <c r="J22" i="13" s="1"/>
  <c r="K21" i="13"/>
  <c r="G21" i="13"/>
  <c r="J21" i="13" s="1"/>
  <c r="K20" i="13"/>
  <c r="G20" i="13"/>
  <c r="J20" i="13" s="1"/>
  <c r="K19" i="13"/>
  <c r="G19" i="13"/>
  <c r="J19" i="13" s="1"/>
  <c r="K18" i="13"/>
  <c r="G18" i="13"/>
  <c r="J18" i="13" s="1"/>
  <c r="K17" i="13"/>
  <c r="J17" i="13"/>
  <c r="G17" i="13"/>
  <c r="K16" i="13"/>
  <c r="J16" i="13"/>
  <c r="G16" i="13"/>
  <c r="K15" i="13"/>
  <c r="G15" i="13"/>
  <c r="J15" i="13" s="1"/>
  <c r="K14" i="13"/>
  <c r="G14" i="13"/>
  <c r="J14" i="13" s="1"/>
  <c r="K13" i="13"/>
  <c r="G13" i="13"/>
  <c r="J13" i="13" s="1"/>
  <c r="K12" i="13"/>
  <c r="G12" i="13"/>
  <c r="J12" i="13" s="1"/>
  <c r="K11" i="13"/>
  <c r="G11" i="13"/>
  <c r="J11" i="13" s="1"/>
  <c r="K10" i="13"/>
  <c r="J10" i="13"/>
  <c r="K9" i="13"/>
  <c r="J9" i="13"/>
  <c r="G9" i="13"/>
  <c r="G59" i="13" l="1"/>
  <c r="C18" i="11"/>
  <c r="C16" i="11"/>
  <c r="J65" i="12"/>
  <c r="J64" i="12"/>
  <c r="J63" i="12"/>
  <c r="J62" i="12"/>
  <c r="J61" i="12"/>
  <c r="H61" i="12"/>
  <c r="G61" i="12" s="1"/>
  <c r="J60" i="12"/>
  <c r="J59" i="12"/>
  <c r="H59" i="12"/>
  <c r="J58" i="12"/>
  <c r="D33" i="12"/>
  <c r="G32" i="12"/>
  <c r="K31" i="12"/>
  <c r="G31" i="12"/>
  <c r="J31" i="12" s="1"/>
  <c r="K30" i="12"/>
  <c r="J30" i="12"/>
  <c r="G30" i="12"/>
  <c r="K29" i="12"/>
  <c r="G29" i="12"/>
  <c r="J29" i="12" s="1"/>
  <c r="K28" i="12"/>
  <c r="J28" i="12"/>
  <c r="G28" i="12"/>
  <c r="K27" i="12"/>
  <c r="G27" i="12"/>
  <c r="J27" i="12" s="1"/>
  <c r="K26" i="12"/>
  <c r="G26" i="12"/>
  <c r="J26" i="12" s="1"/>
  <c r="K25" i="12"/>
  <c r="J25" i="12"/>
  <c r="G25" i="12"/>
  <c r="K24" i="12"/>
  <c r="J24" i="12"/>
  <c r="G24" i="12"/>
  <c r="K23" i="12"/>
  <c r="G23" i="12"/>
  <c r="J23" i="12" s="1"/>
  <c r="K22" i="12"/>
  <c r="J22" i="12"/>
  <c r="G22" i="12"/>
  <c r="K21" i="12"/>
  <c r="J21" i="12"/>
  <c r="G21" i="12"/>
  <c r="K20" i="12"/>
  <c r="J20" i="12"/>
  <c r="G20" i="12"/>
  <c r="K19" i="12"/>
  <c r="G19" i="12"/>
  <c r="J19" i="12" s="1"/>
  <c r="K18" i="12"/>
  <c r="J18" i="12"/>
  <c r="G18" i="12"/>
  <c r="K17" i="12"/>
  <c r="J17" i="12"/>
  <c r="G17" i="12"/>
  <c r="K16" i="12"/>
  <c r="G16" i="12"/>
  <c r="J16" i="12" s="1"/>
  <c r="K15" i="12"/>
  <c r="G15" i="12"/>
  <c r="J15" i="12" s="1"/>
  <c r="K14" i="12"/>
  <c r="J14" i="12"/>
  <c r="G14" i="12"/>
  <c r="K13" i="12"/>
  <c r="G13" i="12"/>
  <c r="J13" i="12" s="1"/>
  <c r="K12" i="12"/>
  <c r="J12" i="12"/>
  <c r="G12" i="12"/>
  <c r="K11" i="12"/>
  <c r="G11" i="12"/>
  <c r="J11" i="12" s="1"/>
  <c r="K10" i="12"/>
  <c r="G10" i="12"/>
  <c r="J10" i="12" s="1"/>
  <c r="K9" i="12"/>
  <c r="J9" i="12"/>
  <c r="G9" i="12"/>
  <c r="G59" i="12" l="1"/>
  <c r="C17" i="11"/>
  <c r="C20" i="11" s="1"/>
  <c r="H58" i="12"/>
  <c r="G58" i="12" s="1"/>
  <c r="G71" i="13" l="1"/>
  <c r="G33" i="13"/>
  <c r="G55" i="13" s="1"/>
  <c r="G35" i="13"/>
  <c r="G54" i="13"/>
  <c r="G17" i="2"/>
  <c r="G29" i="2" s="1"/>
  <c r="H64" i="13" l="1"/>
  <c r="G64" i="13" s="1"/>
  <c r="G23" i="2"/>
  <c r="G31" i="2"/>
  <c r="G70" i="13"/>
  <c r="H70" i="13" s="1"/>
  <c r="H66" i="13"/>
  <c r="G66" i="13" s="1"/>
  <c r="G34" i="13"/>
  <c r="G44" i="13"/>
  <c r="G52" i="13" s="1"/>
  <c r="H62" i="13" s="1"/>
  <c r="G62" i="13" s="1"/>
  <c r="H60" i="13"/>
  <c r="G60" i="13" s="1"/>
  <c r="G45" i="13"/>
  <c r="G53" i="13" s="1"/>
  <c r="H63" i="13" s="1"/>
  <c r="G63" i="13" s="1"/>
  <c r="H65" i="13"/>
  <c r="G65" i="13" s="1"/>
  <c r="G79" i="13" l="1"/>
  <c r="C30" i="17"/>
  <c r="F23" i="2"/>
  <c r="E23" i="1" l="1"/>
  <c r="E22" i="1"/>
  <c r="E21" i="1"/>
  <c r="E24" i="1"/>
  <c r="D33" i="10"/>
  <c r="H58" i="10" s="1"/>
  <c r="G9" i="10"/>
  <c r="J9" i="10" s="1"/>
  <c r="K9" i="10"/>
  <c r="G10" i="10"/>
  <c r="J10" i="10" s="1"/>
  <c r="K10" i="10"/>
  <c r="G11" i="10"/>
  <c r="J11" i="10"/>
  <c r="K11" i="10"/>
  <c r="G12" i="10"/>
  <c r="J12" i="10" s="1"/>
  <c r="K12" i="10"/>
  <c r="G13" i="10"/>
  <c r="J13" i="10" s="1"/>
  <c r="K13" i="10"/>
  <c r="G14" i="10"/>
  <c r="J14" i="10" s="1"/>
  <c r="K14" i="10"/>
  <c r="G15" i="10"/>
  <c r="J15" i="10"/>
  <c r="K15" i="10"/>
  <c r="G16" i="10"/>
  <c r="J16" i="10" s="1"/>
  <c r="K16" i="10"/>
  <c r="G17" i="10"/>
  <c r="J17" i="10" s="1"/>
  <c r="K17" i="10"/>
  <c r="G18" i="10"/>
  <c r="J18" i="10" s="1"/>
  <c r="K18" i="10"/>
  <c r="G19" i="10"/>
  <c r="J19" i="10" s="1"/>
  <c r="K19" i="10"/>
  <c r="G20" i="10"/>
  <c r="J20" i="10" s="1"/>
  <c r="K20" i="10"/>
  <c r="G21" i="10"/>
  <c r="J21" i="10"/>
  <c r="K21" i="10"/>
  <c r="G22" i="10"/>
  <c r="J22" i="10" s="1"/>
  <c r="K22" i="10"/>
  <c r="G23" i="10"/>
  <c r="J23" i="10" s="1"/>
  <c r="K23" i="10"/>
  <c r="G24" i="10"/>
  <c r="J24" i="10"/>
  <c r="K24" i="10"/>
  <c r="G25" i="10"/>
  <c r="J25" i="10"/>
  <c r="K25" i="10"/>
  <c r="G26" i="10"/>
  <c r="J26" i="10" s="1"/>
  <c r="K26" i="10"/>
  <c r="G27" i="10"/>
  <c r="J27" i="10" s="1"/>
  <c r="K27" i="10"/>
  <c r="G28" i="10"/>
  <c r="J28" i="10" s="1"/>
  <c r="K28" i="10"/>
  <c r="G29" i="10"/>
  <c r="J29" i="10" s="1"/>
  <c r="K29" i="10"/>
  <c r="G30" i="10"/>
  <c r="J30" i="10" s="1"/>
  <c r="K30" i="10"/>
  <c r="G31" i="10"/>
  <c r="J31" i="10" s="1"/>
  <c r="K31" i="10"/>
  <c r="G32" i="10"/>
  <c r="J58" i="10"/>
  <c r="H59" i="10"/>
  <c r="J59" i="10"/>
  <c r="G59" i="10" s="1"/>
  <c r="J60" i="10"/>
  <c r="H61" i="10"/>
  <c r="G61" i="10" s="1"/>
  <c r="J61" i="10"/>
  <c r="J62" i="10"/>
  <c r="J63" i="10"/>
  <c r="J64" i="10"/>
  <c r="J65" i="10"/>
  <c r="G58" i="10" l="1"/>
  <c r="G73" i="13"/>
  <c r="I16" i="10"/>
  <c r="I30" i="13"/>
  <c r="I29" i="13"/>
  <c r="I28" i="13"/>
  <c r="I22" i="13"/>
  <c r="I21" i="13"/>
  <c r="I20" i="13"/>
  <c r="I14" i="13"/>
  <c r="I13" i="13"/>
  <c r="I12" i="13"/>
  <c r="I31" i="13"/>
  <c r="I23" i="13"/>
  <c r="I15" i="13"/>
  <c r="I26" i="13"/>
  <c r="I25" i="13"/>
  <c r="I24" i="13"/>
  <c r="I18" i="13"/>
  <c r="I17" i="13"/>
  <c r="I16" i="13"/>
  <c r="I10" i="13"/>
  <c r="I9" i="13"/>
  <c r="I27" i="13"/>
  <c r="I19" i="13"/>
  <c r="I11" i="13"/>
  <c r="I23" i="12"/>
  <c r="I22" i="12"/>
  <c r="I21" i="12"/>
  <c r="I20" i="12"/>
  <c r="I27" i="12"/>
  <c r="I26" i="12"/>
  <c r="I25" i="12"/>
  <c r="I24" i="12"/>
  <c r="I11" i="12"/>
  <c r="I10" i="12"/>
  <c r="I9" i="12"/>
  <c r="I31" i="12"/>
  <c r="I30" i="12"/>
  <c r="I29" i="12"/>
  <c r="I28" i="12"/>
  <c r="I15" i="12"/>
  <c r="I14" i="12"/>
  <c r="I13" i="12"/>
  <c r="I12" i="12"/>
  <c r="I19" i="12"/>
  <c r="I18" i="12"/>
  <c r="I17" i="12"/>
  <c r="I16" i="12"/>
  <c r="G74" i="13"/>
  <c r="H11" i="10"/>
  <c r="H22" i="13"/>
  <c r="H17" i="13"/>
  <c r="H13" i="13"/>
  <c r="H9" i="13"/>
  <c r="H26" i="13"/>
  <c r="H18" i="13"/>
  <c r="H14" i="13"/>
  <c r="H30" i="13"/>
  <c r="H10" i="13"/>
  <c r="H24" i="13"/>
  <c r="H12" i="13"/>
  <c r="H11" i="13"/>
  <c r="H27" i="13"/>
  <c r="H25" i="13"/>
  <c r="H16" i="13"/>
  <c r="H15" i="13"/>
  <c r="H31" i="13"/>
  <c r="H19" i="13"/>
  <c r="H28" i="13"/>
  <c r="H20" i="13"/>
  <c r="H29" i="13"/>
  <c r="H21" i="13"/>
  <c r="H23" i="13"/>
  <c r="H30" i="12"/>
  <c r="H26" i="12"/>
  <c r="H22" i="12"/>
  <c r="H18" i="12"/>
  <c r="H14" i="12"/>
  <c r="H10" i="12"/>
  <c r="H16" i="12"/>
  <c r="H24" i="12"/>
  <c r="H25" i="12"/>
  <c r="H11" i="12"/>
  <c r="H15" i="12"/>
  <c r="H27" i="12"/>
  <c r="H13" i="12"/>
  <c r="H19" i="12"/>
  <c r="H20" i="12"/>
  <c r="H9" i="12"/>
  <c r="H28" i="12"/>
  <c r="H23" i="12"/>
  <c r="H29" i="12"/>
  <c r="H17" i="12"/>
  <c r="H12" i="12"/>
  <c r="H21" i="12"/>
  <c r="H31" i="12"/>
  <c r="I28" i="10"/>
  <c r="I21" i="10"/>
  <c r="I20" i="10"/>
  <c r="I10" i="10"/>
  <c r="I29" i="10"/>
  <c r="I25" i="10"/>
  <c r="I24" i="10"/>
  <c r="I17" i="10"/>
  <c r="H30" i="10"/>
  <c r="H26" i="10"/>
  <c r="H22" i="10"/>
  <c r="H18" i="10"/>
  <c r="H14" i="10"/>
  <c r="I13" i="10"/>
  <c r="H10" i="10"/>
  <c r="I9" i="10"/>
  <c r="H29" i="10"/>
  <c r="H25" i="10"/>
  <c r="H21" i="10"/>
  <c r="H17" i="10"/>
  <c r="H13" i="10"/>
  <c r="I12" i="10"/>
  <c r="H9" i="10"/>
  <c r="I31" i="10"/>
  <c r="H28" i="10"/>
  <c r="I27" i="10"/>
  <c r="H24" i="10"/>
  <c r="I23" i="10"/>
  <c r="H20" i="10"/>
  <c r="I19" i="10"/>
  <c r="H16" i="10"/>
  <c r="I15" i="10"/>
  <c r="H12" i="10"/>
  <c r="I11" i="10"/>
  <c r="H31" i="10"/>
  <c r="I30" i="10"/>
  <c r="H27" i="10"/>
  <c r="I26" i="10"/>
  <c r="H23" i="10"/>
  <c r="I22" i="10"/>
  <c r="H19" i="10"/>
  <c r="I18" i="10"/>
  <c r="H15" i="10"/>
  <c r="I14" i="10"/>
  <c r="G72" i="13" l="1"/>
  <c r="C44" i="8"/>
  <c r="C50" i="8" s="1"/>
  <c r="C45" i="8"/>
  <c r="C46" i="8"/>
  <c r="C47" i="8"/>
  <c r="C48" i="8"/>
  <c r="C43" i="8"/>
  <c r="E17" i="2"/>
  <c r="G75" i="13" l="1"/>
  <c r="G77" i="13" s="1"/>
  <c r="D32" i="2"/>
  <c r="E32" i="2"/>
  <c r="D31" i="2"/>
  <c r="C31" i="2"/>
  <c r="E23" i="2"/>
  <c r="E31" i="2"/>
  <c r="R17" i="2"/>
  <c r="M12" i="1"/>
  <c r="B7" i="1"/>
  <c r="D7" i="1" s="1"/>
  <c r="H77" i="13" l="1"/>
  <c r="C33" i="17" s="1"/>
  <c r="C12" i="1"/>
  <c r="G18" i="2" s="1"/>
  <c r="C11" i="1"/>
  <c r="S23" i="2"/>
  <c r="S21" i="2"/>
  <c r="S20" i="2"/>
  <c r="O3" i="2"/>
  <c r="P3" i="2"/>
  <c r="E26" i="2"/>
  <c r="E24" i="2"/>
  <c r="I9" i="1"/>
  <c r="A17" i="2"/>
  <c r="M8" i="1"/>
  <c r="M9" i="1"/>
  <c r="M10" i="1"/>
  <c r="M11" i="1"/>
  <c r="M7" i="1"/>
  <c r="C36" i="17" l="1"/>
  <c r="C37" i="17" s="1"/>
  <c r="C14" i="1"/>
  <c r="C15" i="1" s="1"/>
  <c r="R3" i="2" s="1"/>
  <c r="F29" i="2"/>
  <c r="F18" i="2"/>
  <c r="F24" i="2"/>
  <c r="F26" i="2"/>
  <c r="D8" i="12" l="1"/>
  <c r="G8" i="12" s="1"/>
  <c r="H8" i="12" s="1"/>
  <c r="F21" i="2"/>
  <c r="F25" i="2" s="1"/>
  <c r="F33" i="2" s="1"/>
  <c r="F20" i="2"/>
  <c r="G28" i="2"/>
  <c r="G24" i="2"/>
  <c r="G26" i="2"/>
  <c r="B5" i="8"/>
  <c r="C33" i="8"/>
  <c r="C34" i="8"/>
  <c r="C35" i="8"/>
  <c r="C36" i="8"/>
  <c r="C37" i="8"/>
  <c r="C38" i="8"/>
  <c r="F19" i="8"/>
  <c r="F20" i="8"/>
  <c r="F21" i="8"/>
  <c r="B23" i="8"/>
  <c r="F23" i="8"/>
  <c r="B24" i="8"/>
  <c r="F24" i="8"/>
  <c r="B25" i="8"/>
  <c r="F25" i="8"/>
  <c r="B26" i="8"/>
  <c r="F26" i="8"/>
  <c r="G33" i="12" l="1"/>
  <c r="G55" i="12" s="1"/>
  <c r="I8" i="12"/>
  <c r="K8" i="12"/>
  <c r="G71" i="12" s="1"/>
  <c r="G35" i="12"/>
  <c r="G54" i="12"/>
  <c r="D8" i="10"/>
  <c r="D21" i="2"/>
  <c r="D23" i="8"/>
  <c r="C23" i="8" s="1"/>
  <c r="D20" i="2"/>
  <c r="E20" i="2" s="1"/>
  <c r="B6" i="8"/>
  <c r="B13" i="8"/>
  <c r="D25" i="8"/>
  <c r="C25" i="8" s="1"/>
  <c r="K8" i="10" l="1"/>
  <c r="G71" i="10" s="1"/>
  <c r="G8" i="10"/>
  <c r="H8" i="10" s="1"/>
  <c r="G72" i="10" s="1"/>
  <c r="I8" i="10"/>
  <c r="H64" i="12"/>
  <c r="G64" i="12" s="1"/>
  <c r="G54" i="10"/>
  <c r="H66" i="12"/>
  <c r="G66" i="12" s="1"/>
  <c r="G72" i="12"/>
  <c r="G75" i="12" s="1"/>
  <c r="G34" i="12"/>
  <c r="J8" i="12"/>
  <c r="G70" i="12" s="1"/>
  <c r="H70" i="12" s="1"/>
  <c r="H60" i="12"/>
  <c r="G60" i="12" s="1"/>
  <c r="G45" i="12"/>
  <c r="G53" i="12" s="1"/>
  <c r="H63" i="12" s="1"/>
  <c r="G63" i="12" s="1"/>
  <c r="G74" i="12"/>
  <c r="G44" i="12"/>
  <c r="G52" i="12" s="1"/>
  <c r="H62" i="12" s="1"/>
  <c r="G62" i="12" s="1"/>
  <c r="H65" i="12"/>
  <c r="G65" i="12" s="1"/>
  <c r="G35" i="10"/>
  <c r="G33" i="10"/>
  <c r="G55" i="10" s="1"/>
  <c r="G34" i="10"/>
  <c r="D25" i="2"/>
  <c r="E21" i="2"/>
  <c r="E25" i="2" s="1"/>
  <c r="D19" i="8"/>
  <c r="C19" i="8" s="1"/>
  <c r="D21" i="8"/>
  <c r="C21" i="8" s="1"/>
  <c r="D24" i="8"/>
  <c r="C24" i="8" s="1"/>
  <c r="D20" i="8"/>
  <c r="C20" i="8" s="1"/>
  <c r="D18" i="8"/>
  <c r="C18" i="8" s="1"/>
  <c r="D26" i="8"/>
  <c r="C26" i="8" s="1"/>
  <c r="J8" i="10" l="1"/>
  <c r="G70" i="10" s="1"/>
  <c r="G75" i="10"/>
  <c r="H66" i="10"/>
  <c r="G66" i="10" s="1"/>
  <c r="G73" i="12"/>
  <c r="G77" i="12" s="1"/>
  <c r="H77" i="12" s="1"/>
  <c r="G79" i="12"/>
  <c r="H64" i="10"/>
  <c r="G64" i="10" s="1"/>
  <c r="G44" i="10"/>
  <c r="G52" i="10" s="1"/>
  <c r="H62" i="10" s="1"/>
  <c r="G62" i="10" s="1"/>
  <c r="H65" i="10"/>
  <c r="G65" i="10" s="1"/>
  <c r="G74" i="10"/>
  <c r="G45" i="10"/>
  <c r="G53" i="10" s="1"/>
  <c r="H63" i="10" s="1"/>
  <c r="G63" i="10" s="1"/>
  <c r="H60" i="10"/>
  <c r="G60" i="10" s="1"/>
  <c r="C22" i="8"/>
  <c r="C27" i="8" s="1"/>
  <c r="H70" i="10" l="1"/>
  <c r="D27" i="2" s="1"/>
  <c r="G27" i="2"/>
  <c r="G73" i="10"/>
  <c r="G79" i="10"/>
  <c r="F34" i="2"/>
  <c r="I10" i="1"/>
  <c r="N17" i="2" s="1"/>
  <c r="I11" i="1"/>
  <c r="J18" i="2" s="1"/>
  <c r="G77" i="10" l="1"/>
  <c r="O23" i="2"/>
  <c r="O28" i="2"/>
  <c r="O26" i="2"/>
  <c r="G30" i="2"/>
  <c r="O21" i="2"/>
  <c r="O25" i="2" s="1"/>
  <c r="O20" i="2"/>
  <c r="J17" i="2"/>
  <c r="J32" i="2" s="1"/>
  <c r="S24" i="2"/>
  <c r="S26" i="2"/>
  <c r="S25" i="2"/>
  <c r="O24" i="2"/>
  <c r="O27" i="2"/>
  <c r="O30" i="2" l="1"/>
  <c r="H77" i="10"/>
  <c r="E30" i="2" s="1"/>
  <c r="E33" i="2" s="1"/>
  <c r="E34" i="2" s="1"/>
  <c r="K20" i="2"/>
  <c r="K21" i="2"/>
  <c r="K25" i="2" s="1"/>
  <c r="K23" i="2"/>
  <c r="K26" i="2"/>
  <c r="S27" i="2"/>
  <c r="K27" i="2"/>
  <c r="K24" i="2"/>
  <c r="D30" i="2" l="1"/>
  <c r="D33" i="2" s="1"/>
  <c r="D34" i="2" s="1"/>
  <c r="K29" i="2"/>
  <c r="K30" i="2"/>
  <c r="G21" i="2"/>
  <c r="G25" i="2" s="1"/>
  <c r="G33" i="2" s="1"/>
  <c r="G20" i="2"/>
  <c r="G34" i="2" l="1"/>
  <c r="O3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Arnaud Michel</author>
  </authors>
  <commentList>
    <comment ref="D7" authorId="0" shapeId="0" xr:uid="{A6E70FBA-80A8-4BCF-95C3-5071A1CB3F66}">
      <text>
        <r>
          <rPr>
            <sz val="9"/>
            <color indexed="81"/>
            <rFont val="Tahoma"/>
            <family val="2"/>
          </rPr>
          <t xml:space="preserve">mysql&gt; use centreon_storage
mysql&gt; select count(i.id)/count(distinct(s.service_id)) as "metrics/services" from index_data i left join metrics m on i.id=m.index_id left join services s on s.service_id=i.service_id where i.service_id is not null;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C24" authorId="0" shapeId="0" xr:uid="{861BC7A7-3F4F-49D3-BE5F-C22908BA8ADC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/boot et vg_free
</t>
        </r>
      </text>
    </comment>
    <comment ref="J24" authorId="0" shapeId="0" xr:uid="{C1D048C7-8BB8-4A9C-BB80-C66ECC179D2A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/boot et vg_free
</t>
        </r>
      </text>
    </comment>
    <comment ref="N24" authorId="0" shapeId="0" xr:uid="{45A9DEBF-F037-4CF2-BF75-33D5DC788CA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/boot et vg_free
</t>
        </r>
      </text>
    </comment>
    <comment ref="R24" authorId="0" shapeId="0" xr:uid="{105D9EED-7F93-4835-9782-17389E80FF03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/boot et vg_free
</t>
        </r>
      </text>
    </comment>
    <comment ref="O25" authorId="0" shapeId="0" xr:uid="{57799D8C-06BA-44C5-B5C4-F39BB71A003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10G Max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B27" authorId="0" shapeId="0" xr:uid="{20D54E43-264D-4E4B-BBAF-5E411B0C2B13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/boot et vg_free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B16" authorId="0" shapeId="0" xr:uid="{A4DA9238-B508-4B64-A63D-D4AABDAF3D21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/boot et vg_free
</t>
        </r>
      </text>
    </comment>
    <comment ref="G16" authorId="0" shapeId="0" xr:uid="{A1620AC3-C8B3-4910-AC07-9AF614C2CB0F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/boot et vg_free
</t>
        </r>
      </text>
    </comment>
  </commentList>
</comments>
</file>

<file path=xl/sharedStrings.xml><?xml version="1.0" encoding="utf-8"?>
<sst xmlns="http://schemas.openxmlformats.org/spreadsheetml/2006/main" count="664" uniqueCount="285">
  <si>
    <t>X</t>
  </si>
  <si>
    <t>/var/backup/</t>
  </si>
  <si>
    <t>/var/lib/mysql</t>
  </si>
  <si>
    <t>/var/lib/centreon</t>
  </si>
  <si>
    <t>swap</t>
  </si>
  <si>
    <t>Mémoire</t>
  </si>
  <si>
    <t>CPU</t>
  </si>
  <si>
    <t>1er niveau</t>
  </si>
  <si>
    <t>Quantité service</t>
  </si>
  <si>
    <t>2ème niveau</t>
  </si>
  <si>
    <t>3ème niveau</t>
  </si>
  <si>
    <t>4ème niveau</t>
  </si>
  <si>
    <t>5ème niveau</t>
  </si>
  <si>
    <t>6ème niveau</t>
  </si>
  <si>
    <t>Limite de service supervisé BI</t>
  </si>
  <si>
    <t>/var/log/</t>
  </si>
  <si>
    <t>EMS</t>
  </si>
  <si>
    <t>BAM</t>
  </si>
  <si>
    <t>EPP</t>
  </si>
  <si>
    <t>MBI</t>
  </si>
  <si>
    <t>MAP</t>
  </si>
  <si>
    <t>MariaDB 
&gt;= 10.1</t>
  </si>
  <si>
    <t>MySQL
 &gt;= 5.6</t>
  </si>
  <si>
    <t>Central</t>
  </si>
  <si>
    <t>Simple
(1 central)</t>
  </si>
  <si>
    <t>Poller</t>
  </si>
  <si>
    <t>Redhat</t>
  </si>
  <si>
    <t>Centos</t>
  </si>
  <si>
    <t>PARAMETRES expert Central</t>
  </si>
  <si>
    <t>Limite Haute
Central</t>
  </si>
  <si>
    <t>Limite Basse
Central</t>
  </si>
  <si>
    <t>DETAILS</t>
  </si>
  <si>
    <t>/var/lib/mysql
GB</t>
  </si>
  <si>
    <t>/var/lib/Centreon
GB</t>
  </si>
  <si>
    <t>2.5</t>
  </si>
  <si>
    <t>Seuil MAP</t>
  </si>
  <si>
    <t>Parameters</t>
  </si>
  <si>
    <t>Values</t>
  </si>
  <si>
    <t>Total monitored hosts</t>
  </si>
  <si>
    <t>Total monitored services</t>
  </si>
  <si>
    <t>Average number of host groups associated to one host</t>
  </si>
  <si>
    <t>Average number of host categories associated  to one host</t>
  </si>
  <si>
    <t>Average number of service categories associated to one service</t>
  </si>
  <si>
    <t>Number of timeperiods on which statistics will be calculated</t>
  </si>
  <si>
    <t>Average number of service alarms by month (by service)</t>
  </si>
  <si>
    <t>Average number of host alarms by month (by host)</t>
  </si>
  <si>
    <t>Average number of metrics by service</t>
  </si>
  <si>
    <t>Average service check interval in minutes</t>
  </si>
  <si>
    <t>Type of data processed</t>
  </si>
  <si>
    <t>Data retention duration
 (in DAYS)</t>
  </si>
  <si>
    <t>Size Estimated (MB)</t>
  </si>
  <si>
    <t>Raw performance data imported from Centreon (&lt;= 1024 days)</t>
  </si>
  <si>
    <t>Performance data agregated by hour (&lt;= 1024 days)</t>
  </si>
  <si>
    <t>Performance data agregated by day (&lt;= 1024 days)</t>
  </si>
  <si>
    <t>Raw log data imported from Centreon</t>
  </si>
  <si>
    <t>Availability data agregated by day (&lt;= 1024 days)</t>
  </si>
  <si>
    <t>Host events</t>
  </si>
  <si>
    <t>Services events</t>
  </si>
  <si>
    <t>Host availability</t>
  </si>
  <si>
    <t>Service availability</t>
  </si>
  <si>
    <t>Total in MB</t>
  </si>
  <si>
    <t>-</t>
  </si>
  <si>
    <t>Index/Line (worst case)</t>
  </si>
  <si>
    <t>Avg row size</t>
  </si>
  <si>
    <t>Rows estimated</t>
  </si>
  <si>
    <t>Coef (between 2 and 2,8)</t>
  </si>
  <si>
    <t>(days * hostgroup * hostcategory * services * servicecategory * metrics * 4131) / 1024 / 1024 / 1024</t>
  </si>
  <si>
    <t>(days * 24 * hostgroup * hostcategory * services * servicecategory * metrics * 3105) / 1024 / 1024 / 1024</t>
  </si>
  <si>
    <t>(months * months_incidents * hostgroup * hostcategory * hosts * 39) / 1024 / 1024 / 1024</t>
  </si>
  <si>
    <t>(months * months_incidents * hostgroup * hostcategory * services * servicecategory * 39) / 1024 / 1024 / 1024</t>
  </si>
  <si>
    <t>(days * hosts * hostgroup * hostcategory * liveservices * 71) / 1024 / 1024 / 1024</t>
  </si>
  <si>
    <t>Rappel formule</t>
  </si>
  <si>
    <t>Seuil Poller</t>
  </si>
  <si>
    <t>Seuil MBI</t>
  </si>
  <si>
    <t>*</t>
  </si>
  <si>
    <r>
      <t xml:space="preserve">Environnement OS client </t>
    </r>
    <r>
      <rPr>
        <b/>
        <sz val="11"/>
        <color rgb="FFFF0000"/>
        <rFont val="Calibri"/>
        <family val="2"/>
      </rPr>
      <t>*</t>
    </r>
  </si>
  <si>
    <t>Nombre de service</t>
  </si>
  <si>
    <t>Nombre de métric</t>
  </si>
  <si>
    <t>Nombre de service par remote serveur</t>
  </si>
  <si>
    <t>Coefficient BBD</t>
  </si>
  <si>
    <t xml:space="preserve">Coefficient Lib/centreon </t>
  </si>
  <si>
    <t>Architecture</t>
  </si>
  <si>
    <t>/var/backup</t>
  </si>
  <si>
    <t>CONSULTER CENTREON</t>
  </si>
  <si>
    <t>Serveur Base de données</t>
  </si>
  <si>
    <t>/Var/lib/centreon/broker</t>
  </si>
  <si>
    <t>Serveur MAP</t>
  </si>
  <si>
    <t>Coefficient /var/lib/mysql</t>
  </si>
  <si>
    <t>Coefficient /var/lib/centreon</t>
  </si>
  <si>
    <t>Remote server</t>
  </si>
  <si>
    <t>Serveur MBI</t>
  </si>
  <si>
    <t>Disk space required for Reporting Server (in GB)</t>
  </si>
  <si>
    <t>Total disk space required for Central Server (in GB)</t>
  </si>
  <si>
    <t>MySQL storage space estimated for maintenance requirements</t>
  </si>
  <si>
    <t>Space for Maintenance</t>
  </si>
  <si>
    <t>/var/lib/mysql/centreon_storage/log_archive_*</t>
  </si>
  <si>
    <t>MySQL reporting tables</t>
  </si>
  <si>
    <t>/var/lib/mysql/centreon_storage/logs.*</t>
  </si>
  <si>
    <t>MySQL  'logs' table</t>
  </si>
  <si>
    <t>/var/lib/mysql/centreon_storage/data_bin.*</t>
  </si>
  <si>
    <t>MySQL 'data_bin' table</t>
  </si>
  <si>
    <t>Space for Database</t>
  </si>
  <si>
    <t>/var/lib/centreon/status/</t>
  </si>
  <si>
    <t>Status graphs of services</t>
  </si>
  <si>
    <t>/var/lib/centreon/metrics/</t>
  </si>
  <si>
    <t>Performance graphs</t>
  </si>
  <si>
    <t>Space for File System</t>
  </si>
  <si>
    <t>RRD</t>
  </si>
  <si>
    <t>Size (GB)</t>
  </si>
  <si>
    <t>Directory</t>
  </si>
  <si>
    <t>6. Estimation of storage's size of Central Server</t>
  </si>
  <si>
    <t>Informations
about disk space</t>
  </si>
  <si>
    <t>Average, can be set manually</t>
  </si>
  <si>
    <t>second</t>
  </si>
  <si>
    <t>Performance data by metric</t>
  </si>
  <si>
    <t>day</t>
  </si>
  <si>
    <t>hour</t>
  </si>
  <si>
    <t>month</t>
  </si>
  <si>
    <t>Availability of services agregated by host groups</t>
  </si>
  <si>
    <t>Host group availability</t>
  </si>
  <si>
    <t>Data retention duration
 (in month)</t>
  </si>
  <si>
    <t>Data granularity</t>
  </si>
  <si>
    <t>5. Type of data processed (Reporting Server)</t>
  </si>
  <si>
    <t>4. Parameters for Reporting Server</t>
  </si>
  <si>
    <t>%2 of services, can be set manually</t>
  </si>
  <si>
    <t>Critical events per day</t>
  </si>
  <si>
    <t>%5 of services, can be set manually</t>
  </si>
  <si>
    <t>Warning events per day</t>
  </si>
  <si>
    <t>Number of events</t>
  </si>
  <si>
    <t>3. Monitoring events in Central Server</t>
  </si>
  <si>
    <t>Calcul Parameters</t>
  </si>
  <si>
    <t>Total number of RRD files in « status » directory</t>
  </si>
  <si>
    <t>Total number of RRD files in « metrics » directory</t>
  </si>
  <si>
    <t>Total number of services</t>
  </si>
  <si>
    <t>Total number of hosts</t>
  </si>
  <si>
    <t>UPC - Global health</t>
  </si>
  <si>
    <t>SAN - Storage usage</t>
  </si>
  <si>
    <t>SAN - Global health</t>
  </si>
  <si>
    <t>Printer - number of page</t>
  </si>
  <si>
    <t>Printer - cartridge status</t>
  </si>
  <si>
    <t>OS - Traffic</t>
  </si>
  <si>
    <t>OS - SWAP</t>
  </si>
  <si>
    <t>OS - SNMP Traps (passive services)</t>
  </si>
  <si>
    <t>OS - Service state</t>
  </si>
  <si>
    <t>OS - Process state</t>
  </si>
  <si>
    <t>OS - Memory usage</t>
  </si>
  <si>
    <t>OS - LOAD</t>
  </si>
  <si>
    <t>OS - File system usage</t>
  </si>
  <si>
    <t>OS - Disk status</t>
  </si>
  <si>
    <t>OS - CPU usage</t>
  </si>
  <si>
    <t>Network equipment traffic</t>
  </si>
  <si>
    <t>Network equipment SNMP Traps</t>
  </si>
  <si>
    <t>Network equipment memory</t>
  </si>
  <si>
    <t>Network equipment load</t>
  </si>
  <si>
    <t>HTTP checks</t>
  </si>
  <si>
    <t>DB - Oracle checks</t>
  </si>
  <si>
    <t>DB - MySQL checks</t>
  </si>
  <si>
    <t>DB - MS SQL checks</t>
  </si>
  <si>
    <t>Size of status RRD per type of service per check interval</t>
  </si>
  <si>
    <t>Size of metrics RRD per type of service per check interval</t>
  </si>
  <si>
    <t>Number of event entries estimated on retention period</t>
  </si>
  <si>
    <t>Number of records in data_bin tables</t>
  </si>
  <si>
    <t>Total of metrics per  service's type</t>
  </si>
  <si>
    <t>Regular control's interval
(in minutes)</t>
  </si>
  <si>
    <t>Average number of metrics per service</t>
  </si>
  <si>
    <t>Service number</t>
  </si>
  <si>
    <t>Service type</t>
  </si>
  <si>
    <t>1. Service monitored by Central Server</t>
  </si>
  <si>
    <t xml:space="preserve">Calculation matrix for Centreon main server and BI server      
</t>
  </si>
  <si>
    <t>PROJECT_ID</t>
  </si>
  <si>
    <t>CUSTOMER_NAME</t>
  </si>
  <si>
    <t>Do not print this</t>
  </si>
  <si>
    <t>Usage strictly confidential to CENTREON and its partners</t>
  </si>
  <si>
    <t>Quality system CENTREON</t>
  </si>
  <si>
    <t>RETENTION</t>
  </si>
  <si>
    <t>/boot</t>
  </si>
  <si>
    <t>POLLER</t>
  </si>
  <si>
    <t>Nombre calculé</t>
  </si>
  <si>
    <t>Nombre souhaité</t>
  </si>
  <si>
    <t>Avec ou sans</t>
  </si>
  <si>
    <t>Matrice de Calcul</t>
  </si>
  <si>
    <t>Espace libre volume groupe BBD</t>
  </si>
  <si>
    <t>Coeff à revoir /à recalculer suivant</t>
  </si>
  <si>
    <t>Sizing document for presales to be sent to the customers.
The aim of document is to provide a real view of the expecting monitoring.</t>
  </si>
  <si>
    <t># Sheets</t>
  </si>
  <si>
    <t>Names</t>
  </si>
  <si>
    <t>Description</t>
  </si>
  <si>
    <t>Level</t>
  </si>
  <si>
    <t>Sheets 1</t>
  </si>
  <si>
    <t>Summary</t>
  </si>
  <si>
    <t>Overall description</t>
  </si>
  <si>
    <t>Sheets 2</t>
  </si>
  <si>
    <t>To be filled by the customer or the Pre-sales</t>
  </si>
  <si>
    <t>Mandatory</t>
  </si>
  <si>
    <t>Sheets 3</t>
  </si>
  <si>
    <t>MBI Sizing</t>
  </si>
  <si>
    <t>Sheets 4</t>
  </si>
  <si>
    <t>Optional</t>
  </si>
  <si>
    <t>Sheets 5</t>
  </si>
  <si>
    <t>Final sizing</t>
  </si>
  <si>
    <t>Sizing depending of the number services/hosts and MBI sizing</t>
  </si>
  <si>
    <t>Read Only</t>
  </si>
  <si>
    <t>Remote Server Sizing</t>
  </si>
  <si>
    <t>Remote server calculation sizing sheet</t>
  </si>
  <si>
    <t>Sheets 6</t>
  </si>
  <si>
    <t>Poller Sizing</t>
  </si>
  <si>
    <t>Poller calculation sizing sheet</t>
  </si>
  <si>
    <t>How to filled the document</t>
  </si>
  <si>
    <t>Expected format</t>
  </si>
  <si>
    <t>Check Box</t>
  </si>
  <si>
    <t>Value to fill</t>
  </si>
  <si>
    <t>84000 or POM</t>
  </si>
  <si>
    <r>
      <t xml:space="preserve">Mandatory Box
</t>
    </r>
    <r>
      <rPr>
        <b/>
        <sz val="11"/>
        <color rgb="FFFF0000"/>
        <rFont val="Calibri"/>
        <family val="2"/>
      </rPr>
      <t>*</t>
    </r>
  </si>
  <si>
    <t>Read-only Box</t>
  </si>
  <si>
    <t>Disk storage usage to store collected and performance data depends on various factors : 
- Frequency checks
- Number of checks
- Retention period 
The following table provides an idea of the disk space needed for your platform with : 
the data are collected every 5 minutes, The retention period is 6 month and Each performance graph have 2 curves</t>
  </si>
  <si>
    <t xml:space="preserve"> "Contact Centreon"</t>
  </si>
  <si>
    <t>Thanks to contact us</t>
  </si>
  <si>
    <t>ORDER &amp; ARCHITECTURE</t>
  </si>
  <si>
    <r>
      <t xml:space="preserve">Number of hosts
</t>
    </r>
    <r>
      <rPr>
        <b/>
        <sz val="11"/>
        <color rgb="FFFF0000"/>
        <rFont val="Calibri"/>
        <family val="2"/>
      </rPr>
      <t>*</t>
    </r>
  </si>
  <si>
    <t>Number of services (calculated)</t>
  </si>
  <si>
    <t>Number of services (wanted)</t>
  </si>
  <si>
    <t>Number of metrics (calculated)</t>
  </si>
  <si>
    <t>Number of metrics (wanted)</t>
  </si>
  <si>
    <t>Number of BA</t>
  </si>
  <si>
    <r>
      <t>Type of Order</t>
    </r>
    <r>
      <rPr>
        <b/>
        <sz val="11"/>
        <color rgb="FFFF0000"/>
        <rFont val="Calibri"/>
        <family val="2"/>
      </rPr>
      <t xml:space="preserve"> *</t>
    </r>
  </si>
  <si>
    <r>
      <t xml:space="preserve">Type of architecture </t>
    </r>
    <r>
      <rPr>
        <b/>
        <sz val="11"/>
        <color rgb="FFFF0000"/>
        <rFont val="Calibri"/>
        <family val="2"/>
      </rPr>
      <t>*</t>
    </r>
  </si>
  <si>
    <t>Distributed
(1 central + X pollers)</t>
  </si>
  <si>
    <t>Distributed
with remote DB replicated</t>
  </si>
  <si>
    <t>High Availibility  3 servers</t>
  </si>
  <si>
    <t>High Availibility  5 servers</t>
  </si>
  <si>
    <t>Matrix</t>
  </si>
  <si>
    <t>With or without</t>
  </si>
  <si>
    <t>Number (calcuted)</t>
  </si>
  <si>
    <t>Number (wanted)</t>
  </si>
  <si>
    <t>CENTRAL (poller's role)</t>
  </si>
  <si>
    <t>Retention period configured in Central Server</t>
  </si>
  <si>
    <t>Retention (Days)</t>
  </si>
  <si>
    <t>Reporting retention duration for dashboard (in month)</t>
  </si>
  <si>
    <t>Retention period of RRD performance graphs (in month)</t>
  </si>
  <si>
    <t>Retention period of performance data in MySQL database (in month)</t>
  </si>
  <si>
    <t>Retention of monitoring logs (in month)</t>
  </si>
  <si>
    <t>Others</t>
  </si>
  <si>
    <t>Which version?</t>
  </si>
  <si>
    <r>
      <t xml:space="preserve">Database type / version </t>
    </r>
    <r>
      <rPr>
        <b/>
        <sz val="11"/>
        <color rgb="FFFF0000"/>
        <rFont val="Calibri"/>
        <family val="2"/>
      </rPr>
      <t>*</t>
    </r>
  </si>
  <si>
    <t>TUTORIAL</t>
  </si>
  <si>
    <r>
      <t xml:space="preserve">/
</t>
    </r>
    <r>
      <rPr>
        <b/>
        <i/>
        <sz val="14"/>
        <color theme="1"/>
        <rFont val="Calibri"/>
        <family val="2"/>
        <scheme val="minor"/>
      </rPr>
      <t>At least 20GB</t>
    </r>
  </si>
  <si>
    <r>
      <t xml:space="preserve">/var/log
</t>
    </r>
    <r>
      <rPr>
        <b/>
        <i/>
        <sz val="14"/>
        <color rgb="FF000000"/>
        <rFont val="Calibri"/>
        <family val="2"/>
        <scheme val="minor"/>
      </rPr>
      <t>At least 10GB</t>
    </r>
  </si>
  <si>
    <r>
      <t xml:space="preserve">/var/lib/centreon-broker
</t>
    </r>
    <r>
      <rPr>
        <b/>
        <i/>
        <sz val="14"/>
        <color rgb="FF000000"/>
        <rFont val="Calibri"/>
        <family val="2"/>
        <scheme val="minor"/>
      </rPr>
      <t>At least 5GB</t>
    </r>
  </si>
  <si>
    <t>Size for each server</t>
  </si>
  <si>
    <t>Total size</t>
  </si>
  <si>
    <t>Components</t>
  </si>
  <si>
    <t>Disk Partitions</t>
  </si>
  <si>
    <t>Sizing in GB</t>
  </si>
  <si>
    <t>Memory GB</t>
  </si>
  <si>
    <t>Server Centreon BI</t>
  </si>
  <si>
    <t>Server Quorum</t>
  </si>
  <si>
    <t>Automatic Sizing</t>
  </si>
  <si>
    <t>Memory GB min</t>
  </si>
  <si>
    <t>Size of server</t>
  </si>
  <si>
    <t>TOTAL SIZE
GB</t>
  </si>
  <si>
    <t xml:space="preserve">FREE SPACE for the BBD group volume </t>
  </si>
  <si>
    <t>ONE REMOTE SERVER SIZING SHEET
(It is a new calculation)</t>
  </si>
  <si>
    <t>For this branch , total of hosts</t>
  </si>
  <si>
    <t>For this branch , total of services</t>
  </si>
  <si>
    <t>For this branch , total of metrics</t>
  </si>
  <si>
    <t>Retention period configured in the remote server</t>
  </si>
  <si>
    <t>POLLER under the remote server</t>
  </si>
  <si>
    <t>Remote serveur is monitoring?</t>
  </si>
  <si>
    <t>Total Services by Poller</t>
  </si>
  <si>
    <t>Total Services (direct check + under poller)</t>
  </si>
  <si>
    <t xml:space="preserve">         cvgc </t>
  </si>
  <si>
    <t>Contact Centreon</t>
  </si>
  <si>
    <r>
      <t xml:space="preserve">/
</t>
    </r>
    <r>
      <rPr>
        <b/>
        <i/>
        <sz val="14"/>
        <color rgb="FF000000"/>
        <rFont val="Calibri"/>
        <family val="2"/>
        <scheme val="minor"/>
      </rPr>
      <t>At least 20GB</t>
    </r>
  </si>
  <si>
    <r>
      <t xml:space="preserve">/var/log
</t>
    </r>
    <r>
      <rPr>
        <b/>
        <i/>
        <sz val="14"/>
        <color rgb="FF000000"/>
        <rFont val="Calibri"/>
        <family val="2"/>
        <scheme val="minor"/>
      </rPr>
      <t>At least 10 GB</t>
    </r>
  </si>
  <si>
    <t>ONE POLLER SIZING SHEET
(It is a new calculation)</t>
  </si>
  <si>
    <t>REMOTE SERVER</t>
  </si>
  <si>
    <t>Each components have to be taken into consideration</t>
  </si>
  <si>
    <r>
      <t xml:space="preserve">/var/lib/centreon-engine
</t>
    </r>
    <r>
      <rPr>
        <b/>
        <i/>
        <sz val="14"/>
        <color theme="1"/>
        <rFont val="Calibri"/>
        <family val="2"/>
        <scheme val="minor"/>
      </rPr>
      <t>At least 5GB</t>
    </r>
  </si>
  <si>
    <r>
      <t xml:space="preserve">/var/lib/centreon-engine
</t>
    </r>
    <r>
      <rPr>
        <b/>
        <i/>
        <sz val="14"/>
        <color rgb="FF000000"/>
        <rFont val="Calibri"/>
        <family val="2"/>
        <scheme val="minor"/>
      </rPr>
      <t>At least 5GB</t>
    </r>
  </si>
  <si>
    <t>Distributed with remote Database
(1 central + 1 DB + X pollers)</t>
  </si>
  <si>
    <t>Volume group (LVM) vg_root</t>
  </si>
  <si>
    <t>Volume group
(LVM) vg_data</t>
  </si>
  <si>
    <t>Volume group
(LVM) vg_root</t>
  </si>
  <si>
    <t>/var/cache/centreon/backup/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</si>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</sst>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0.0000"/>
    <numFmt numFmtId="166" formatCode="_-* #,##0\ _€_-;\-* #,##0\ _€_-;_-* &quot;-&quot;??\ _€_-;_-@_-"/>
    <numFmt numFmtId="167" formatCode="#,##0.00_ ;\-#,##0.00\ "/>
    <numFmt numFmtId="168" formatCode="0.000"/>
  </numFmts>
  <fonts count="5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0.5"/>
      <color rgb="FFFFFFFF"/>
      <name val="Open Sans"/>
      <family val="2"/>
    </font>
    <font>
      <sz val="10.5"/>
      <color rgb="FF000000"/>
      <name val="Open Sans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sz val="2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rgb="FFFF0000"/>
      <name val="Calibri"/>
      <family val="2"/>
    </font>
    <font>
      <sz val="16"/>
      <color theme="0"/>
      <name val="Calibri"/>
      <family val="2"/>
      <scheme val="minor"/>
    </font>
    <font>
      <b/>
      <sz val="12"/>
      <color rgb="FFFFFFFF"/>
      <name val="Open Sans"/>
      <family val="2"/>
    </font>
    <font>
      <b/>
      <sz val="11"/>
      <color theme="1"/>
      <name val="Calibri"/>
      <family val="2"/>
      <scheme val="minor"/>
    </font>
    <font>
      <sz val="11"/>
      <color theme="1"/>
      <name val="Roboto"/>
    </font>
    <font>
      <b/>
      <i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b/>
      <sz val="16"/>
      <color rgb="FFFFFFFF"/>
      <name val="Calibri"/>
      <family val="2"/>
    </font>
    <font>
      <b/>
      <sz val="20"/>
      <color theme="1"/>
      <name val="Calibri"/>
      <family val="2"/>
      <scheme val="minor"/>
    </font>
    <font>
      <b/>
      <sz val="11"/>
      <color rgb="FF000000"/>
      <name val="Open Sans"/>
      <family val="2"/>
    </font>
    <font>
      <b/>
      <sz val="16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Verdana"/>
      <family val="2"/>
    </font>
    <font>
      <sz val="14"/>
      <color theme="1"/>
      <name val="Verdana"/>
      <family val="2"/>
    </font>
    <font>
      <sz val="11"/>
      <name val="Calibri"/>
      <family val="2"/>
      <scheme val="minor"/>
    </font>
    <font>
      <b/>
      <sz val="10"/>
      <name val="Verdana"/>
      <family val="2"/>
    </font>
    <font>
      <b/>
      <sz val="10"/>
      <color theme="1"/>
      <name val="Verdana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Verdana"/>
      <family val="2"/>
    </font>
    <font>
      <b/>
      <sz val="11"/>
      <name val="Calibri"/>
      <family val="2"/>
      <scheme val="minor"/>
    </font>
    <font>
      <sz val="12"/>
      <color theme="1"/>
      <name val="Verdana"/>
      <family val="2"/>
    </font>
    <font>
      <sz val="12"/>
      <name val="Verdana"/>
      <family val="2"/>
    </font>
    <font>
      <b/>
      <sz val="12"/>
      <name val="Verdana"/>
      <family val="2"/>
    </font>
    <font>
      <i/>
      <sz val="10"/>
      <name val="Verdana"/>
      <family val="2"/>
    </font>
    <font>
      <b/>
      <sz val="14"/>
      <color rgb="FF000000"/>
      <name val="Calibri"/>
      <family val="2"/>
    </font>
    <font>
      <b/>
      <sz val="12"/>
      <color rgb="FFFFFFFF"/>
      <name val="Calibri"/>
      <family val="2"/>
    </font>
    <font>
      <b/>
      <sz val="11"/>
      <name val="Calibri"/>
      <family val="2"/>
    </font>
    <font>
      <b/>
      <sz val="11"/>
      <color rgb="FFFFFFFF"/>
      <name val="Open Sans"/>
      <family val="2"/>
    </font>
    <font>
      <b/>
      <sz val="12"/>
      <color rgb="FFFFFFFF"/>
      <name val="Open Sans"/>
      <family val="2"/>
    </font>
    <font>
      <b/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1"/>
      <color theme="1"/>
      <name val="Open Sans"/>
      <family val="2"/>
    </font>
    <font>
      <b/>
      <i/>
      <sz val="14"/>
      <color theme="1"/>
      <name val="Calibri"/>
      <family val="2"/>
      <scheme val="minor"/>
    </font>
    <font>
      <b/>
      <i/>
      <sz val="14"/>
      <color rgb="FF000000"/>
      <name val="Calibri"/>
      <family val="2"/>
      <scheme val="minor"/>
    </font>
    <font>
      <sz val="10.5"/>
      <color rgb="FF000000"/>
      <name val="Open Sans"/>
      <family val="2"/>
    </font>
    <font>
      <b/>
      <sz val="12"/>
      <color rgb="FF000000"/>
      <name val="Open Sans"/>
      <family val="2"/>
    </font>
  </fonts>
  <fills count="24">
    <fill>
      <patternFill patternType="none"/>
    </fill>
    <fill>
      <patternFill patternType="gray125"/>
    </fill>
    <fill>
      <patternFill patternType="solid">
        <fgColor rgb="FF305496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36"/>
      </patternFill>
    </fill>
    <fill>
      <patternFill patternType="solid">
        <fgColor theme="6" tint="0.59999389629810485"/>
        <bgColor indexed="24"/>
      </patternFill>
    </fill>
    <fill>
      <patternFill patternType="lightUp">
        <fgColor auto="1"/>
        <bgColor theme="0" tint="-0.14990691854609822"/>
      </patternFill>
    </fill>
    <fill>
      <patternFill patternType="solid">
        <fgColor indexed="20"/>
        <bgColor indexed="36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2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24"/>
      </patternFill>
    </fill>
    <fill>
      <patternFill patternType="solid">
        <fgColor theme="4"/>
        <bgColor indexed="36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9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medium">
        <color indexed="64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medium">
        <color indexed="64"/>
      </right>
      <top/>
      <bottom style="hair">
        <color indexed="8"/>
      </bottom>
      <diagonal/>
    </border>
    <border>
      <left style="medium">
        <color indexed="64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auto="1"/>
      </right>
      <top style="medium">
        <color indexed="64"/>
      </top>
      <bottom style="thick">
        <color auto="1"/>
      </bottom>
      <diagonal/>
    </border>
    <border>
      <left/>
      <right/>
      <top style="medium">
        <color indexed="64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 style="thin">
        <color indexed="64"/>
      </bottom>
      <diagonal/>
    </border>
    <border>
      <left style="thin">
        <color indexed="64"/>
      </left>
      <right/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auto="1"/>
      </right>
      <top style="thin">
        <color indexed="8"/>
      </top>
      <bottom style="thick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auto="1"/>
      </bottom>
      <diagonal/>
    </border>
    <border>
      <left style="thin">
        <color indexed="8"/>
      </left>
      <right style="thick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ck">
        <color auto="1"/>
      </right>
      <top style="thin">
        <color indexed="8"/>
      </top>
      <bottom style="thin">
        <color indexed="8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auto="1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14" fillId="0" borderId="0"/>
    <xf numFmtId="164" fontId="13" fillId="0" borderId="0" applyFill="0" applyBorder="0" applyAlignment="0" applyProtection="0"/>
    <xf numFmtId="164" fontId="27" fillId="0" borderId="0" applyFont="0" applyFill="0" applyBorder="0" applyAlignment="0" applyProtection="0"/>
    <xf numFmtId="0" fontId="13" fillId="0" borderId="0" applyFill="0"/>
    <xf numFmtId="0" fontId="13" fillId="0" borderId="0" applyFill="0"/>
    <xf numFmtId="0" fontId="14" fillId="0" borderId="0"/>
    <xf numFmtId="0" fontId="13" fillId="0" borderId="0"/>
    <xf numFmtId="0" fontId="13" fillId="0" borderId="0"/>
  </cellStyleXfs>
  <cellXfs count="44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3" fillId="3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8" xfId="0" applyBorder="1"/>
    <xf numFmtId="0" fontId="3" fillId="3" borderId="15" xfId="0" applyFont="1" applyFill="1" applyBorder="1" applyAlignment="1">
      <alignment horizontal="center" vertical="center" wrapText="1"/>
    </xf>
    <xf numFmtId="0" fontId="0" fillId="0" borderId="14" xfId="0" applyBorder="1"/>
    <xf numFmtId="0" fontId="0" fillId="7" borderId="3" xfId="0" applyFill="1" applyBorder="1" applyAlignment="1">
      <alignment horizontal="center"/>
    </xf>
    <xf numFmtId="0" fontId="0" fillId="7" borderId="16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/>
    </xf>
    <xf numFmtId="0" fontId="0" fillId="7" borderId="17" xfId="0" applyFill="1" applyBorder="1" applyAlignment="1">
      <alignment horizontal="center" vertical="center"/>
    </xf>
    <xf numFmtId="0" fontId="0" fillId="8" borderId="0" xfId="0" applyFill="1"/>
    <xf numFmtId="0" fontId="0" fillId="7" borderId="24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 wrapText="1"/>
    </xf>
    <xf numFmtId="0" fontId="0" fillId="7" borderId="29" xfId="0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0" fillId="7" borderId="27" xfId="0" applyFill="1" applyBorder="1" applyAlignment="1">
      <alignment horizontal="center" vertical="center" wrapText="1"/>
    </xf>
    <xf numFmtId="0" fontId="0" fillId="7" borderId="29" xfId="0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10" borderId="2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1" fontId="2" fillId="4" borderId="1" xfId="0" applyNumberFormat="1" applyFont="1" applyFill="1" applyBorder="1" applyAlignment="1">
      <alignment horizontal="center" vertical="center" wrapText="1"/>
    </xf>
    <xf numFmtId="0" fontId="14" fillId="0" borderId="0" xfId="1"/>
    <xf numFmtId="0" fontId="14" fillId="0" borderId="0" xfId="1" applyAlignment="1">
      <alignment horizontal="center" vertical="center"/>
    </xf>
    <xf numFmtId="0" fontId="14" fillId="0" borderId="0" xfId="1" applyAlignment="1">
      <alignment horizontal="center"/>
    </xf>
    <xf numFmtId="0" fontId="14" fillId="0" borderId="0" xfId="1" applyAlignment="1">
      <alignment vertical="center"/>
    </xf>
    <xf numFmtId="164" fontId="13" fillId="14" borderId="41" xfId="2" applyFill="1" applyBorder="1" applyAlignment="1">
      <alignment horizontal="center"/>
    </xf>
    <xf numFmtId="0" fontId="14" fillId="11" borderId="41" xfId="1" applyFill="1" applyBorder="1" applyAlignment="1">
      <alignment horizontal="center"/>
    </xf>
    <xf numFmtId="0" fontId="12" fillId="12" borderId="43" xfId="1" applyFont="1" applyFill="1" applyBorder="1" applyAlignment="1">
      <alignment horizontal="center" vertical="center"/>
    </xf>
    <xf numFmtId="0" fontId="14" fillId="0" borderId="41" xfId="1" applyBorder="1"/>
    <xf numFmtId="0" fontId="14" fillId="0" borderId="0" xfId="1" applyAlignment="1">
      <alignment wrapText="1"/>
    </xf>
    <xf numFmtId="0" fontId="12" fillId="15" borderId="41" xfId="1" applyFont="1" applyFill="1" applyBorder="1"/>
    <xf numFmtId="0" fontId="3" fillId="3" borderId="40" xfId="0" applyFont="1" applyFill="1" applyBorder="1" applyAlignment="1">
      <alignment horizontal="center" vertical="center" wrapText="1"/>
    </xf>
    <xf numFmtId="0" fontId="0" fillId="7" borderId="40" xfId="0" applyFill="1" applyBorder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0" fontId="8" fillId="10" borderId="12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 wrapText="1"/>
    </xf>
    <xf numFmtId="0" fontId="2" fillId="10" borderId="1" xfId="0" applyFont="1" applyFill="1" applyBorder="1" applyAlignment="1" applyProtection="1">
      <alignment horizontal="center" vertical="center" wrapText="1"/>
      <protection locked="0"/>
    </xf>
    <xf numFmtId="0" fontId="0" fillId="10" borderId="13" xfId="0" applyFill="1" applyBorder="1" applyProtection="1">
      <protection locked="0"/>
    </xf>
    <xf numFmtId="0" fontId="0" fillId="9" borderId="16" xfId="0" applyFill="1" applyBorder="1" applyAlignment="1" applyProtection="1">
      <alignment horizontal="center" vertical="center"/>
      <protection locked="0"/>
    </xf>
    <xf numFmtId="0" fontId="0" fillId="9" borderId="17" xfId="0" applyFill="1" applyBorder="1" applyAlignment="1" applyProtection="1">
      <alignment horizontal="center" vertical="center"/>
      <protection locked="0"/>
    </xf>
    <xf numFmtId="0" fontId="2" fillId="9" borderId="28" xfId="0" applyFont="1" applyFill="1" applyBorder="1" applyAlignment="1" applyProtection="1">
      <alignment horizontal="center" vertical="center" wrapText="1"/>
      <protection locked="0"/>
    </xf>
    <xf numFmtId="49" fontId="0" fillId="9" borderId="16" xfId="0" applyNumberFormat="1" applyFill="1" applyBorder="1" applyAlignment="1" applyProtection="1">
      <alignment horizontal="center" vertical="center"/>
      <protection locked="0"/>
    </xf>
    <xf numFmtId="0" fontId="0" fillId="9" borderId="28" xfId="0" applyFill="1" applyBorder="1" applyAlignment="1" applyProtection="1">
      <alignment horizontal="center" vertical="center"/>
      <protection locked="0"/>
    </xf>
    <xf numFmtId="0" fontId="2" fillId="10" borderId="35" xfId="0" applyFont="1" applyFill="1" applyBorder="1" applyAlignment="1" applyProtection="1">
      <alignment horizontal="center" vertical="center" wrapText="1"/>
      <protection locked="0"/>
    </xf>
    <xf numFmtId="0" fontId="2" fillId="10" borderId="36" xfId="0" applyFont="1" applyFill="1" applyBorder="1" applyAlignment="1" applyProtection="1">
      <alignment horizontal="center" vertical="center" wrapText="1"/>
      <protection locked="0"/>
    </xf>
    <xf numFmtId="0" fontId="2" fillId="10" borderId="37" xfId="0" applyFont="1" applyFill="1" applyBorder="1" applyAlignment="1" applyProtection="1">
      <alignment horizontal="center" vertical="center" wrapText="1"/>
      <protection locked="0"/>
    </xf>
    <xf numFmtId="0" fontId="0" fillId="9" borderId="36" xfId="0" applyFill="1" applyBorder="1" applyAlignment="1" applyProtection="1">
      <alignment horizontal="center" vertical="center"/>
      <protection locked="0"/>
    </xf>
    <xf numFmtId="0" fontId="0" fillId="9" borderId="37" xfId="0" applyFill="1" applyBorder="1" applyAlignment="1" applyProtection="1">
      <alignment horizontal="center" vertical="center"/>
      <protection locked="0"/>
    </xf>
    <xf numFmtId="165" fontId="14" fillId="0" borderId="0" xfId="1" applyNumberFormat="1"/>
    <xf numFmtId="165" fontId="0" fillId="7" borderId="3" xfId="0" applyNumberFormat="1" applyFill="1" applyBorder="1" applyAlignment="1">
      <alignment horizontal="center"/>
    </xf>
    <xf numFmtId="0" fontId="19" fillId="0" borderId="0" xfId="0" applyFont="1" applyAlignment="1">
      <alignment wrapText="1"/>
    </xf>
    <xf numFmtId="0" fontId="0" fillId="0" borderId="3" xfId="0" applyBorder="1" applyAlignment="1">
      <alignment vertical="center"/>
    </xf>
    <xf numFmtId="0" fontId="0" fillId="7" borderId="24" xfId="0" applyFill="1" applyBorder="1" applyAlignment="1">
      <alignment horizontal="left" vertical="top"/>
    </xf>
    <xf numFmtId="0" fontId="0" fillId="10" borderId="3" xfId="0" applyFill="1" applyBorder="1" applyAlignment="1" applyProtection="1">
      <alignment horizontal="center"/>
      <protection locked="0"/>
    </xf>
    <xf numFmtId="0" fontId="11" fillId="11" borderId="16" xfId="1" applyFont="1" applyFill="1" applyBorder="1" applyAlignment="1">
      <alignment horizontal="center"/>
    </xf>
    <xf numFmtId="0" fontId="0" fillId="10" borderId="16" xfId="0" applyFill="1" applyBorder="1" applyAlignment="1" applyProtection="1">
      <alignment horizontal="center"/>
      <protection locked="0"/>
    </xf>
    <xf numFmtId="0" fontId="0" fillId="7" borderId="29" xfId="0" applyFill="1" applyBorder="1" applyAlignment="1">
      <alignment horizontal="left" vertical="top"/>
    </xf>
    <xf numFmtId="0" fontId="0" fillId="10" borderId="17" xfId="0" applyFill="1" applyBorder="1" applyAlignment="1" applyProtection="1">
      <alignment horizontal="center"/>
      <protection locked="0"/>
    </xf>
    <xf numFmtId="164" fontId="13" fillId="14" borderId="45" xfId="2" applyFill="1" applyBorder="1" applyAlignment="1">
      <alignment horizontal="center"/>
    </xf>
    <xf numFmtId="0" fontId="14" fillId="11" borderId="46" xfId="1" applyFill="1" applyBorder="1" applyAlignment="1">
      <alignment horizontal="center"/>
    </xf>
    <xf numFmtId="0" fontId="12" fillId="12" borderId="45" xfId="1" applyFont="1" applyFill="1" applyBorder="1" applyAlignment="1">
      <alignment horizontal="center" vertical="center"/>
    </xf>
    <xf numFmtId="0" fontId="14" fillId="0" borderId="47" xfId="1" applyBorder="1" applyProtection="1">
      <protection locked="0"/>
    </xf>
    <xf numFmtId="0" fontId="14" fillId="0" borderId="49" xfId="1" applyBorder="1" applyProtection="1">
      <protection locked="0"/>
    </xf>
    <xf numFmtId="166" fontId="13" fillId="13" borderId="48" xfId="2" applyNumberFormat="1" applyFill="1" applyBorder="1"/>
    <xf numFmtId="166" fontId="13" fillId="13" borderId="50" xfId="2" applyNumberFormat="1" applyFill="1" applyBorder="1"/>
    <xf numFmtId="166" fontId="22" fillId="17" borderId="17" xfId="2" applyNumberFormat="1" applyFont="1" applyFill="1" applyBorder="1"/>
    <xf numFmtId="166" fontId="21" fillId="17" borderId="16" xfId="2" applyNumberFormat="1" applyFont="1" applyFill="1" applyBorder="1"/>
    <xf numFmtId="0" fontId="12" fillId="12" borderId="51" xfId="1" applyFont="1" applyFill="1" applyBorder="1" applyAlignment="1">
      <alignment horizontal="center" vertical="center"/>
    </xf>
    <xf numFmtId="164" fontId="13" fillId="14" borderId="42" xfId="2" applyFill="1" applyBorder="1" applyAlignment="1">
      <alignment horizontal="center"/>
    </xf>
    <xf numFmtId="0" fontId="14" fillId="0" borderId="52" xfId="1" applyBorder="1" applyAlignment="1">
      <alignment horizontal="center"/>
    </xf>
    <xf numFmtId="0" fontId="14" fillId="0" borderId="52" xfId="1" applyBorder="1"/>
    <xf numFmtId="0" fontId="14" fillId="0" borderId="13" xfId="1" applyBorder="1"/>
    <xf numFmtId="0" fontId="18" fillId="7" borderId="24" xfId="0" applyFont="1" applyFill="1" applyBorder="1" applyAlignment="1">
      <alignment horizontal="center" vertical="center"/>
    </xf>
    <xf numFmtId="0" fontId="18" fillId="7" borderId="25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11" borderId="24" xfId="0" applyFill="1" applyBorder="1" applyAlignment="1">
      <alignment horizontal="left" vertical="center"/>
    </xf>
    <xf numFmtId="0" fontId="0" fillId="11" borderId="24" xfId="0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11" borderId="3" xfId="0" applyFill="1" applyBorder="1" applyAlignment="1">
      <alignment horizontal="center" vertical="center"/>
    </xf>
    <xf numFmtId="0" fontId="0" fillId="8" borderId="9" xfId="0" applyFill="1" applyBorder="1"/>
    <xf numFmtId="0" fontId="0" fillId="8" borderId="8" xfId="0" applyFill="1" applyBorder="1"/>
    <xf numFmtId="0" fontId="18" fillId="8" borderId="0" xfId="0" applyFont="1" applyFill="1" applyAlignment="1">
      <alignment vertical="center" wrapText="1"/>
    </xf>
    <xf numFmtId="0" fontId="18" fillId="8" borderId="9" xfId="0" applyFont="1" applyFill="1" applyBorder="1" applyAlignment="1">
      <alignment vertical="center" wrapText="1"/>
    </xf>
    <xf numFmtId="0" fontId="18" fillId="8" borderId="11" xfId="0" applyFont="1" applyFill="1" applyBorder="1" applyAlignment="1">
      <alignment vertical="center" wrapText="1"/>
    </xf>
    <xf numFmtId="0" fontId="18" fillId="8" borderId="12" xfId="0" applyFont="1" applyFill="1" applyBorder="1" applyAlignment="1">
      <alignment vertical="center" wrapText="1"/>
    </xf>
    <xf numFmtId="0" fontId="0" fillId="8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11" fillId="0" borderId="0" xfId="1" applyFont="1" applyAlignment="1">
      <alignment horizontal="right"/>
    </xf>
    <xf numFmtId="0" fontId="14" fillId="0" borderId="11" xfId="1" applyBorder="1"/>
    <xf numFmtId="0" fontId="14" fillId="8" borderId="6" xfId="1" applyFill="1" applyBorder="1"/>
    <xf numFmtId="0" fontId="14" fillId="8" borderId="7" xfId="1" applyFill="1" applyBorder="1"/>
    <xf numFmtId="0" fontId="14" fillId="8" borderId="4" xfId="1" applyFill="1" applyBorder="1"/>
    <xf numFmtId="0" fontId="14" fillId="8" borderId="8" xfId="1" applyFill="1" applyBorder="1"/>
    <xf numFmtId="0" fontId="14" fillId="8" borderId="0" xfId="1" applyFill="1"/>
    <xf numFmtId="0" fontId="14" fillId="8" borderId="9" xfId="1" applyFill="1" applyBorder="1"/>
    <xf numFmtId="0" fontId="14" fillId="8" borderId="0" xfId="1" applyFill="1" applyAlignment="1">
      <alignment horizontal="center"/>
    </xf>
    <xf numFmtId="0" fontId="14" fillId="8" borderId="9" xfId="1" applyFill="1" applyBorder="1" applyAlignment="1">
      <alignment horizontal="center"/>
    </xf>
    <xf numFmtId="0" fontId="14" fillId="8" borderId="12" xfId="1" applyFill="1" applyBorder="1"/>
    <xf numFmtId="0" fontId="14" fillId="8" borderId="10" xfId="1" applyFill="1" applyBorder="1"/>
    <xf numFmtId="0" fontId="14" fillId="8" borderId="11" xfId="1" applyFill="1" applyBorder="1"/>
    <xf numFmtId="0" fontId="0" fillId="8" borderId="7" xfId="0" applyFill="1" applyBorder="1"/>
    <xf numFmtId="0" fontId="1" fillId="2" borderId="4" xfId="0" applyFont="1" applyFill="1" applyBorder="1" applyAlignment="1">
      <alignment horizontal="center" vertical="center" wrapText="1"/>
    </xf>
    <xf numFmtId="0" fontId="41" fillId="0" borderId="0" xfId="8" applyFont="1" applyAlignment="1" applyProtection="1">
      <alignment horizontal="center" vertical="center" wrapText="1"/>
      <protection locked="0"/>
    </xf>
    <xf numFmtId="0" fontId="29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40" fillId="0" borderId="0" xfId="8" applyFont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vertical="center" wrapText="1"/>
      <protection locked="0"/>
    </xf>
    <xf numFmtId="0" fontId="39" fillId="0" borderId="0" xfId="8" applyFont="1" applyAlignment="1" applyProtection="1">
      <alignment horizontal="center" vertical="center" wrapText="1"/>
      <protection locked="0"/>
    </xf>
    <xf numFmtId="0" fontId="0" fillId="0" borderId="69" xfId="0" applyBorder="1" applyAlignment="1" applyProtection="1">
      <alignment vertical="center" wrapText="1"/>
      <protection locked="0"/>
    </xf>
    <xf numFmtId="0" fontId="32" fillId="23" borderId="22" xfId="7" applyFont="1" applyFill="1" applyBorder="1" applyAlignment="1" applyProtection="1">
      <alignment horizontal="left" vertical="center" wrapText="1"/>
      <protection locked="0"/>
    </xf>
    <xf numFmtId="0" fontId="32" fillId="23" borderId="3" xfId="7" applyFont="1" applyFill="1" applyBorder="1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37" fillId="18" borderId="65" xfId="5" applyFont="1" applyFill="1" applyBorder="1" applyAlignment="1" applyProtection="1">
      <alignment horizontal="center" vertical="center" wrapText="1"/>
      <protection locked="0"/>
    </xf>
    <xf numFmtId="0" fontId="37" fillId="18" borderId="64" xfId="5" applyFont="1" applyFill="1" applyBorder="1" applyAlignment="1" applyProtection="1">
      <alignment horizontal="center" vertical="center" wrapText="1"/>
      <protection locked="0"/>
    </xf>
    <xf numFmtId="0" fontId="32" fillId="22" borderId="22" xfId="4" applyFont="1" applyFill="1" applyBorder="1" applyAlignment="1" applyProtection="1">
      <alignment horizontal="center" vertical="center" wrapText="1"/>
      <protection locked="0"/>
    </xf>
    <xf numFmtId="0" fontId="32" fillId="22" borderId="3" xfId="4" applyFont="1" applyFill="1" applyBorder="1" applyAlignment="1" applyProtection="1">
      <alignment horizontal="center" vertical="center" wrapText="1"/>
      <protection locked="0"/>
    </xf>
    <xf numFmtId="0" fontId="31" fillId="0" borderId="3" xfId="5" applyFont="1" applyBorder="1" applyAlignment="1" applyProtection="1">
      <alignment horizontal="left" vertical="center" wrapText="1"/>
      <protection locked="0"/>
    </xf>
    <xf numFmtId="0" fontId="31" fillId="0" borderId="3" xfId="5" applyFont="1" applyBorder="1" applyAlignment="1" applyProtection="1">
      <alignment horizontal="center" vertical="center" wrapText="1"/>
      <protection locked="0"/>
    </xf>
    <xf numFmtId="0" fontId="31" fillId="18" borderId="78" xfId="5" applyFont="1" applyFill="1" applyBorder="1" applyAlignment="1" applyProtection="1">
      <alignment horizontal="center" vertical="center" wrapText="1"/>
      <protection locked="0"/>
    </xf>
    <xf numFmtId="0" fontId="36" fillId="22" borderId="22" xfId="4" applyFont="1" applyFill="1" applyBorder="1" applyAlignment="1" applyProtection="1">
      <alignment horizontal="center" vertical="center" wrapText="1"/>
      <protection locked="0"/>
    </xf>
    <xf numFmtId="0" fontId="29" fillId="22" borderId="3" xfId="0" applyFont="1" applyFill="1" applyBorder="1" applyAlignment="1" applyProtection="1">
      <alignment horizontal="center" vertical="center" wrapText="1"/>
      <protection locked="0"/>
    </xf>
    <xf numFmtId="0" fontId="36" fillId="22" borderId="3" xfId="4" applyFont="1" applyFill="1" applyBorder="1" applyAlignment="1" applyProtection="1">
      <alignment horizontal="center" vertical="center" wrapText="1"/>
      <protection locked="0"/>
    </xf>
    <xf numFmtId="0" fontId="31" fillId="0" borderId="0" xfId="4" applyFont="1" applyAlignment="1" applyProtection="1">
      <alignment horizontal="left" vertical="center" wrapText="1"/>
      <protection locked="0"/>
    </xf>
    <xf numFmtId="0" fontId="35" fillId="0" borderId="3" xfId="0" applyFont="1" applyBorder="1" applyAlignment="1" applyProtection="1">
      <alignment horizontal="center" vertical="center" wrapText="1"/>
      <protection locked="0"/>
    </xf>
    <xf numFmtId="0" fontId="35" fillId="0" borderId="3" xfId="0" applyFont="1" applyBorder="1" applyAlignment="1" applyProtection="1">
      <alignment horizontal="left" vertical="center" wrapText="1"/>
      <protection locked="0"/>
    </xf>
    <xf numFmtId="0" fontId="35" fillId="0" borderId="0" xfId="0" applyFont="1" applyAlignment="1" applyProtection="1">
      <alignment horizontal="left" vertical="center" wrapText="1"/>
      <protection locked="0"/>
    </xf>
    <xf numFmtId="0" fontId="31" fillId="18" borderId="3" xfId="4" applyFont="1" applyFill="1" applyBorder="1" applyAlignment="1" applyProtection="1">
      <alignment horizontal="right" vertical="center" wrapText="1"/>
      <protection locked="0"/>
    </xf>
    <xf numFmtId="0" fontId="31" fillId="18" borderId="80" xfId="4" applyFont="1" applyFill="1" applyBorder="1" applyAlignment="1" applyProtection="1">
      <alignment horizontal="center" vertical="center" wrapText="1"/>
      <protection locked="0"/>
    </xf>
    <xf numFmtId="0" fontId="36" fillId="0" borderId="0" xfId="4" applyFont="1" applyAlignment="1" applyProtection="1">
      <alignment horizontal="center" vertical="center" wrapText="1"/>
      <protection locked="0"/>
    </xf>
    <xf numFmtId="0" fontId="32" fillId="0" borderId="0" xfId="4" applyFont="1" applyAlignment="1" applyProtection="1">
      <alignment horizontal="center" vertical="center" wrapText="1"/>
      <protection locked="0"/>
    </xf>
    <xf numFmtId="0" fontId="31" fillId="0" borderId="9" xfId="4" applyFont="1" applyBorder="1" applyAlignment="1" applyProtection="1">
      <alignment vertical="center" wrapText="1"/>
      <protection locked="0"/>
    </xf>
    <xf numFmtId="0" fontId="0" fillId="0" borderId="61" xfId="0" applyBorder="1" applyAlignment="1" applyProtection="1">
      <alignment vertical="center" wrapText="1"/>
      <protection locked="0"/>
    </xf>
    <xf numFmtId="0" fontId="33" fillId="0" borderId="0" xfId="0" applyFont="1" applyAlignment="1" applyProtection="1">
      <alignment horizontal="center" vertical="center" wrapText="1"/>
      <protection locked="0"/>
    </xf>
    <xf numFmtId="1" fontId="29" fillId="0" borderId="0" xfId="0" applyNumberFormat="1" applyFont="1" applyAlignment="1" applyProtection="1">
      <alignment horizontal="center" vertical="center" wrapText="1"/>
      <protection locked="0"/>
    </xf>
    <xf numFmtId="0" fontId="0" fillId="0" borderId="79" xfId="0" applyBorder="1" applyAlignment="1" applyProtection="1">
      <alignment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1" fontId="0" fillId="0" borderId="61" xfId="0" applyNumberFormat="1" applyBorder="1" applyAlignment="1" applyProtection="1">
      <alignment horizontal="center" vertical="center" wrapText="1"/>
      <protection locked="0"/>
    </xf>
    <xf numFmtId="0" fontId="28" fillId="19" borderId="78" xfId="0" applyFont="1" applyFill="1" applyBorder="1" applyAlignment="1" applyProtection="1">
      <alignment horizontal="center" vertical="center" wrapText="1"/>
      <protection locked="0"/>
    </xf>
    <xf numFmtId="1" fontId="0" fillId="0" borderId="64" xfId="0" applyNumberFormat="1" applyBorder="1" applyAlignment="1" applyProtection="1">
      <alignment horizontal="center" vertical="center" wrapText="1"/>
      <protection locked="0"/>
    </xf>
    <xf numFmtId="0" fontId="28" fillId="21" borderId="77" xfId="6" applyFont="1" applyFill="1" applyBorder="1" applyAlignment="1" applyProtection="1">
      <alignment horizontal="center" vertical="center" wrapText="1"/>
      <protection locked="0"/>
    </xf>
    <xf numFmtId="0" fontId="35" fillId="0" borderId="74" xfId="6" applyFont="1" applyBorder="1" applyAlignment="1" applyProtection="1">
      <alignment horizontal="center" vertical="center" wrapText="1"/>
      <protection locked="0"/>
    </xf>
    <xf numFmtId="168" fontId="35" fillId="18" borderId="74" xfId="6" applyNumberFormat="1" applyFont="1" applyFill="1" applyBorder="1" applyAlignment="1" applyProtection="1">
      <alignment horizontal="center" vertical="center" wrapText="1"/>
      <protection locked="0"/>
    </xf>
    <xf numFmtId="2" fontId="35" fillId="18" borderId="74" xfId="6" applyNumberFormat="1" applyFont="1" applyFill="1" applyBorder="1" applyAlignment="1" applyProtection="1">
      <alignment horizontal="center" vertical="center" wrapText="1"/>
      <protection locked="0"/>
    </xf>
    <xf numFmtId="0" fontId="35" fillId="0" borderId="0" xfId="6" applyFont="1" applyAlignment="1" applyProtection="1">
      <alignment horizontal="left" vertical="center" wrapText="1"/>
      <protection locked="0"/>
    </xf>
    <xf numFmtId="0" fontId="35" fillId="0" borderId="61" xfId="6" applyFont="1" applyBorder="1" applyAlignment="1" applyProtection="1">
      <alignment horizontal="center" vertical="center" wrapText="1"/>
      <protection locked="0"/>
    </xf>
    <xf numFmtId="0" fontId="28" fillId="21" borderId="60" xfId="0" applyFont="1" applyFill="1" applyBorder="1" applyAlignment="1" applyProtection="1">
      <alignment horizontal="center" vertical="center" wrapText="1"/>
      <protection locked="0"/>
    </xf>
    <xf numFmtId="0" fontId="28" fillId="21" borderId="74" xfId="0" applyFont="1" applyFill="1" applyBorder="1" applyAlignment="1" applyProtection="1">
      <alignment horizontal="center" vertical="center" wrapText="1"/>
      <protection locked="0"/>
    </xf>
    <xf numFmtId="0" fontId="32" fillId="12" borderId="71" xfId="0" applyFont="1" applyFill="1" applyBorder="1" applyAlignment="1" applyProtection="1">
      <alignment horizontal="left" vertical="center" wrapText="1"/>
      <protection locked="0"/>
    </xf>
    <xf numFmtId="0" fontId="32" fillId="12" borderId="60" xfId="0" applyFont="1" applyFill="1" applyBorder="1" applyAlignment="1" applyProtection="1">
      <alignment horizontal="left" vertical="center" wrapText="1"/>
      <protection locked="0"/>
    </xf>
    <xf numFmtId="0" fontId="0" fillId="18" borderId="60" xfId="0" applyFill="1" applyBorder="1" applyAlignment="1" applyProtection="1">
      <alignment horizontal="center" vertical="center" wrapText="1"/>
      <protection locked="0"/>
    </xf>
    <xf numFmtId="0" fontId="0" fillId="0" borderId="60" xfId="0" applyBorder="1" applyAlignment="1" applyProtection="1">
      <alignment horizontal="center" vertical="center" wrapText="1"/>
      <protection locked="0"/>
    </xf>
    <xf numFmtId="2" fontId="0" fillId="20" borderId="74" xfId="3" applyNumberFormat="1" applyFont="1" applyFill="1" applyBorder="1" applyAlignment="1" applyProtection="1">
      <alignment horizontal="center" vertical="center" wrapText="1"/>
      <protection locked="0"/>
    </xf>
    <xf numFmtId="164" fontId="29" fillId="14" borderId="71" xfId="3" applyFont="1" applyFill="1" applyBorder="1" applyAlignment="1" applyProtection="1">
      <alignment horizontal="center" vertical="center" wrapText="1"/>
      <protection locked="0"/>
    </xf>
    <xf numFmtId="164" fontId="29" fillId="14" borderId="60" xfId="3" applyFont="1" applyFill="1" applyBorder="1" applyAlignment="1" applyProtection="1">
      <alignment horizontal="center" vertical="center" wrapText="1"/>
      <protection locked="0"/>
    </xf>
    <xf numFmtId="0" fontId="0" fillId="0" borderId="58" xfId="0" applyBorder="1" applyAlignment="1" applyProtection="1">
      <alignment vertical="center" wrapText="1"/>
      <protection locked="0"/>
    </xf>
    <xf numFmtId="0" fontId="0" fillId="18" borderId="73" xfId="0" applyFill="1" applyBorder="1" applyAlignment="1" applyProtection="1">
      <alignment horizontal="center" vertical="center" wrapText="1"/>
      <protection locked="0"/>
    </xf>
    <xf numFmtId="0" fontId="0" fillId="0" borderId="73" xfId="0" applyBorder="1" applyAlignment="1" applyProtection="1">
      <alignment horizontal="center" vertical="center" wrapText="1"/>
      <protection locked="0"/>
    </xf>
    <xf numFmtId="2" fontId="0" fillId="20" borderId="72" xfId="3" applyNumberFormat="1" applyFont="1" applyFill="1" applyBorder="1" applyAlignment="1" applyProtection="1">
      <alignment horizontal="center" vertical="center" wrapText="1"/>
      <protection locked="0"/>
    </xf>
    <xf numFmtId="0" fontId="35" fillId="0" borderId="0" xfId="6" applyFont="1" applyAlignment="1" applyProtection="1">
      <alignment horizontal="center" vertical="center" wrapText="1"/>
      <protection locked="0"/>
    </xf>
    <xf numFmtId="0" fontId="35" fillId="0" borderId="0" xfId="6" applyFont="1" applyAlignment="1" applyProtection="1">
      <alignment wrapText="1"/>
      <protection locked="0"/>
    </xf>
    <xf numFmtId="0" fontId="34" fillId="0" borderId="0" xfId="6" applyFont="1" applyAlignment="1" applyProtection="1">
      <alignment horizontal="center" wrapText="1"/>
      <protection locked="0"/>
    </xf>
    <xf numFmtId="0" fontId="28" fillId="19" borderId="66" xfId="0" applyFont="1" applyFill="1" applyBorder="1" applyAlignment="1" applyProtection="1">
      <alignment horizontal="center" vertical="center" wrapText="1"/>
      <protection locked="0"/>
    </xf>
    <xf numFmtId="0" fontId="0" fillId="18" borderId="40" xfId="0" applyFill="1" applyBorder="1" applyAlignment="1" applyProtection="1">
      <alignment vertical="center" wrapText="1"/>
      <protection locked="0"/>
    </xf>
    <xf numFmtId="2" fontId="0" fillId="18" borderId="64" xfId="0" applyNumberFormat="1" applyFill="1" applyBorder="1" applyAlignment="1" applyProtection="1">
      <alignment horizontal="center" vertical="center" wrapText="1"/>
      <protection locked="0"/>
    </xf>
    <xf numFmtId="2" fontId="29" fillId="0" borderId="0" xfId="0" applyNumberFormat="1" applyFont="1" applyAlignment="1" applyProtection="1">
      <alignment horizontal="center" vertical="center" wrapText="1"/>
      <protection locked="0"/>
    </xf>
    <xf numFmtId="0" fontId="18" fillId="18" borderId="3" xfId="0" applyFont="1" applyFill="1" applyBorder="1" applyAlignment="1" applyProtection="1">
      <alignment horizontal="center" vertical="center" wrapText="1"/>
      <protection locked="0"/>
    </xf>
    <xf numFmtId="0" fontId="31" fillId="0" borderId="0" xfId="4" applyFont="1" applyAlignment="1" applyProtection="1">
      <alignment vertical="center" wrapText="1"/>
      <protection locked="0"/>
    </xf>
    <xf numFmtId="2" fontId="18" fillId="18" borderId="63" xfId="0" applyNumberFormat="1" applyFont="1" applyFill="1" applyBorder="1" applyAlignment="1" applyProtection="1">
      <alignment horizontal="center" vertical="center" wrapText="1"/>
      <protection locked="0"/>
    </xf>
    <xf numFmtId="2" fontId="33" fillId="0" borderId="0" xfId="0" applyNumberFormat="1" applyFont="1" applyAlignment="1" applyProtection="1">
      <alignment horizontal="center" vertical="center" wrapText="1"/>
      <protection locked="0"/>
    </xf>
    <xf numFmtId="0" fontId="32" fillId="12" borderId="60" xfId="0" applyFont="1" applyFill="1" applyBorder="1" applyAlignment="1" applyProtection="1">
      <alignment horizontal="center" vertical="center" wrapText="1"/>
      <protection locked="0"/>
    </xf>
    <xf numFmtId="164" fontId="29" fillId="14" borderId="60" xfId="3" applyFont="1" applyFill="1" applyBorder="1" applyAlignment="1" applyProtection="1">
      <alignment horizontal="center" wrapText="1"/>
      <protection locked="0"/>
    </xf>
    <xf numFmtId="167" fontId="18" fillId="18" borderId="55" xfId="0" applyNumberFormat="1" applyFont="1" applyFill="1" applyBorder="1" applyAlignment="1" applyProtection="1">
      <alignment horizontal="center" vertical="center" wrapText="1"/>
      <protection locked="0"/>
    </xf>
    <xf numFmtId="0" fontId="26" fillId="8" borderId="8" xfId="0" applyFont="1" applyFill="1" applyBorder="1" applyAlignment="1">
      <alignment vertical="center" wrapText="1"/>
    </xf>
    <xf numFmtId="0" fontId="26" fillId="8" borderId="0" xfId="0" applyFont="1" applyFill="1" applyAlignment="1">
      <alignment vertical="center" wrapText="1"/>
    </xf>
    <xf numFmtId="0" fontId="26" fillId="8" borderId="10" xfId="0" applyFont="1" applyFill="1" applyBorder="1" applyAlignment="1">
      <alignment vertical="center" wrapText="1"/>
    </xf>
    <xf numFmtId="0" fontId="26" fillId="8" borderId="11" xfId="0" applyFont="1" applyFill="1" applyBorder="1" applyAlignment="1">
      <alignment vertical="center" wrapText="1"/>
    </xf>
    <xf numFmtId="0" fontId="0" fillId="7" borderId="35" xfId="0" applyFill="1" applyBorder="1" applyAlignment="1">
      <alignment horizontal="left" vertical="center" wrapText="1"/>
    </xf>
    <xf numFmtId="0" fontId="2" fillId="10" borderId="16" xfId="0" applyFont="1" applyFill="1" applyBorder="1" applyAlignment="1" applyProtection="1">
      <alignment horizontal="center" vertical="center" wrapText="1"/>
      <protection locked="0"/>
    </xf>
    <xf numFmtId="1" fontId="0" fillId="7" borderId="3" xfId="0" applyNumberFormat="1" applyFill="1" applyBorder="1" applyAlignment="1">
      <alignment horizontal="center"/>
    </xf>
    <xf numFmtId="0" fontId="0" fillId="8" borderId="0" xfId="0" applyFill="1" applyAlignment="1">
      <alignment horizontal="center"/>
    </xf>
    <xf numFmtId="1" fontId="31" fillId="0" borderId="3" xfId="5" applyNumberFormat="1" applyFont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>
      <alignment horizontal="center" vertical="center" wrapText="1"/>
    </xf>
    <xf numFmtId="0" fontId="18" fillId="7" borderId="29" xfId="0" applyFont="1" applyFill="1" applyBorder="1" applyAlignment="1">
      <alignment horizontal="center" vertical="center"/>
    </xf>
    <xf numFmtId="1" fontId="43" fillId="2" borderId="21" xfId="0" applyNumberFormat="1" applyFont="1" applyFill="1" applyBorder="1" applyAlignment="1">
      <alignment horizontal="center" vertical="center" wrapText="1"/>
    </xf>
    <xf numFmtId="0" fontId="25" fillId="8" borderId="84" xfId="0" applyFont="1" applyFill="1" applyBorder="1" applyAlignment="1">
      <alignment horizontal="center" vertical="center" wrapText="1"/>
    </xf>
    <xf numFmtId="0" fontId="25" fillId="8" borderId="16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1" fontId="23" fillId="2" borderId="19" xfId="0" applyNumberFormat="1" applyFont="1" applyFill="1" applyBorder="1" applyAlignment="1">
      <alignment horizontal="center" vertical="center" wrapText="1"/>
    </xf>
    <xf numFmtId="0" fontId="7" fillId="6" borderId="25" xfId="0" applyFont="1" applyFill="1" applyBorder="1" applyAlignment="1">
      <alignment horizontal="center" vertical="center"/>
    </xf>
    <xf numFmtId="0" fontId="7" fillId="6" borderId="85" xfId="0" applyFont="1" applyFill="1" applyBorder="1" applyAlignment="1">
      <alignment horizontal="center" vertical="center"/>
    </xf>
    <xf numFmtId="0" fontId="7" fillId="6" borderId="26" xfId="0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 wrapText="1"/>
    </xf>
    <xf numFmtId="0" fontId="43" fillId="2" borderId="21" xfId="0" applyFont="1" applyFill="1" applyBorder="1" applyAlignment="1">
      <alignment horizontal="center" vertical="center" wrapText="1"/>
    </xf>
    <xf numFmtId="1" fontId="25" fillId="8" borderId="84" xfId="0" applyNumberFormat="1" applyFont="1" applyFill="1" applyBorder="1" applyAlignment="1">
      <alignment horizontal="center" vertical="center" wrapText="1"/>
    </xf>
    <xf numFmtId="0" fontId="4" fillId="11" borderId="23" xfId="0" applyFont="1" applyFill="1" applyBorder="1" applyAlignment="1">
      <alignment vertical="center" wrapText="1"/>
    </xf>
    <xf numFmtId="0" fontId="4" fillId="11" borderId="24" xfId="0" applyFont="1" applyFill="1" applyBorder="1" applyAlignment="1">
      <alignment vertical="center" wrapText="1"/>
    </xf>
    <xf numFmtId="0" fontId="2" fillId="10" borderId="28" xfId="0" applyFont="1" applyFill="1" applyBorder="1" applyAlignment="1" applyProtection="1">
      <alignment horizontal="center" vertical="center" wrapText="1"/>
      <protection locked="0"/>
    </xf>
    <xf numFmtId="0" fontId="2" fillId="10" borderId="17" xfId="0" applyFont="1" applyFill="1" applyBorder="1" applyAlignment="1" applyProtection="1">
      <alignment horizontal="center" vertical="center" wrapText="1"/>
      <protection locked="0"/>
    </xf>
    <xf numFmtId="0" fontId="0" fillId="10" borderId="13" xfId="0" applyFill="1" applyBorder="1" applyAlignment="1" applyProtection="1">
      <alignment horizontal="center" vertical="center"/>
      <protection locked="0"/>
    </xf>
    <xf numFmtId="0" fontId="0" fillId="7" borderId="36" xfId="0" applyFill="1" applyBorder="1" applyAlignment="1">
      <alignment horizontal="left" vertical="center" wrapText="1"/>
    </xf>
    <xf numFmtId="0" fontId="0" fillId="7" borderId="37" xfId="0" applyFill="1" applyBorder="1" applyAlignment="1">
      <alignment horizontal="left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16" borderId="22" xfId="0" applyFont="1" applyFill="1" applyBorder="1" applyAlignment="1">
      <alignment horizontal="center" vertical="center" wrapText="1"/>
    </xf>
    <xf numFmtId="0" fontId="2" fillId="16" borderId="16" xfId="0" applyFont="1" applyFill="1" applyBorder="1" applyAlignment="1">
      <alignment horizontal="center" vertical="center" wrapText="1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11" borderId="14" xfId="0" applyFill="1" applyBorder="1" applyAlignment="1">
      <alignment horizontal="left" vertical="center"/>
    </xf>
    <xf numFmtId="0" fontId="0" fillId="0" borderId="14" xfId="0" applyBorder="1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0" fontId="0" fillId="8" borderId="3" xfId="0" applyFill="1" applyBorder="1" applyAlignment="1">
      <alignment horizontal="center"/>
    </xf>
    <xf numFmtId="0" fontId="0" fillId="8" borderId="0" xfId="0" applyFill="1" applyProtection="1">
      <protection locked="0"/>
    </xf>
    <xf numFmtId="0" fontId="0" fillId="8" borderId="11" xfId="0" applyFill="1" applyBorder="1" applyProtection="1">
      <protection locked="0"/>
    </xf>
    <xf numFmtId="0" fontId="44" fillId="16" borderId="6" xfId="0" applyFont="1" applyFill="1" applyBorder="1" applyAlignment="1">
      <alignment horizontal="center" vertical="center" wrapText="1"/>
    </xf>
    <xf numFmtId="0" fontId="0" fillId="16" borderId="22" xfId="0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0" fillId="9" borderId="3" xfId="0" applyFill="1" applyBorder="1" applyAlignment="1" applyProtection="1">
      <alignment horizontal="center" vertical="center"/>
      <protection locked="0"/>
    </xf>
    <xf numFmtId="0" fontId="0" fillId="7" borderId="24" xfId="0" applyFill="1" applyBorder="1" applyAlignment="1">
      <alignment horizontal="left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7" borderId="87" xfId="0" applyFill="1" applyBorder="1" applyAlignment="1">
      <alignment horizontal="center"/>
    </xf>
    <xf numFmtId="0" fontId="46" fillId="2" borderId="6" xfId="0" applyFont="1" applyFill="1" applyBorder="1" applyAlignment="1">
      <alignment horizontal="center" vertical="center" wrapText="1"/>
    </xf>
    <xf numFmtId="1" fontId="45" fillId="2" borderId="6" xfId="0" applyNumberFormat="1" applyFont="1" applyFill="1" applyBorder="1" applyAlignment="1">
      <alignment horizontal="center" vertical="center" wrapText="1"/>
    </xf>
    <xf numFmtId="0" fontId="48" fillId="8" borderId="18" xfId="0" applyFont="1" applyFill="1" applyBorder="1" applyAlignment="1">
      <alignment horizontal="center" vertical="center" wrapText="1"/>
    </xf>
    <xf numFmtId="0" fontId="48" fillId="8" borderId="84" xfId="0" applyFont="1" applyFill="1" applyBorder="1" applyAlignment="1">
      <alignment horizontal="center" vertical="center" wrapText="1"/>
    </xf>
    <xf numFmtId="0" fontId="48" fillId="8" borderId="3" xfId="0" applyFont="1" applyFill="1" applyBorder="1" applyAlignment="1">
      <alignment horizontal="center" vertical="center" wrapText="1"/>
    </xf>
    <xf numFmtId="1" fontId="48" fillId="8" borderId="3" xfId="0" applyNumberFormat="1" applyFont="1" applyFill="1" applyBorder="1" applyAlignment="1">
      <alignment horizontal="center" vertical="center" wrapText="1"/>
    </xf>
    <xf numFmtId="0" fontId="49" fillId="16" borderId="3" xfId="0" applyFont="1" applyFill="1" applyBorder="1" applyAlignment="1">
      <alignment vertical="top" wrapText="1"/>
    </xf>
    <xf numFmtId="1" fontId="48" fillId="8" borderId="84" xfId="0" applyNumberFormat="1" applyFont="1" applyFill="1" applyBorder="1" applyAlignment="1">
      <alignment horizontal="center" vertical="center" wrapText="1"/>
    </xf>
    <xf numFmtId="1" fontId="48" fillId="8" borderId="0" xfId="0" applyNumberFormat="1" applyFont="1" applyFill="1" applyAlignment="1">
      <alignment horizontal="center" vertical="center" wrapText="1"/>
    </xf>
    <xf numFmtId="0" fontId="49" fillId="16" borderId="0" xfId="0" applyFont="1" applyFill="1" applyAlignment="1">
      <alignment vertical="top" wrapText="1"/>
    </xf>
    <xf numFmtId="0" fontId="49" fillId="16" borderId="9" xfId="0" applyFont="1" applyFill="1" applyBorder="1" applyAlignment="1">
      <alignment vertical="top" wrapText="1"/>
    </xf>
    <xf numFmtId="1" fontId="46" fillId="2" borderId="6" xfId="0" applyNumberFormat="1" applyFont="1" applyFill="1" applyBorder="1" applyAlignment="1">
      <alignment horizontal="center" vertical="center" wrapText="1"/>
    </xf>
    <xf numFmtId="1" fontId="46" fillId="2" borderId="21" xfId="0" applyNumberFormat="1" applyFont="1" applyFill="1" applyBorder="1" applyAlignment="1">
      <alignment horizontal="center" vertical="center" wrapText="1"/>
    </xf>
    <xf numFmtId="1" fontId="46" fillId="2" borderId="19" xfId="0" applyNumberFormat="1" applyFont="1" applyFill="1" applyBorder="1" applyAlignment="1">
      <alignment horizontal="center" vertical="center" wrapText="1"/>
    </xf>
    <xf numFmtId="1" fontId="46" fillId="2" borderId="1" xfId="0" applyNumberFormat="1" applyFont="1" applyFill="1" applyBorder="1" applyAlignment="1">
      <alignment horizontal="center" vertical="center" wrapText="1"/>
    </xf>
    <xf numFmtId="0" fontId="49" fillId="8" borderId="0" xfId="0" applyFont="1" applyFill="1"/>
    <xf numFmtId="0" fontId="46" fillId="2" borderId="19" xfId="0" applyFont="1" applyFill="1" applyBorder="1" applyAlignment="1">
      <alignment horizontal="center" vertical="center" wrapText="1"/>
    </xf>
    <xf numFmtId="0" fontId="46" fillId="2" borderId="21" xfId="0" applyFont="1" applyFill="1" applyBorder="1" applyAlignment="1">
      <alignment horizontal="center" vertical="center" wrapText="1"/>
    </xf>
    <xf numFmtId="0" fontId="46" fillId="2" borderId="1" xfId="0" applyFont="1" applyFill="1" applyBorder="1" applyAlignment="1">
      <alignment horizontal="center" vertical="center" wrapText="1"/>
    </xf>
    <xf numFmtId="0" fontId="46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83" xfId="0" applyFont="1" applyFill="1" applyBorder="1" applyAlignment="1">
      <alignment horizontal="center" vertical="center" wrapText="1"/>
    </xf>
    <xf numFmtId="0" fontId="1" fillId="2" borderId="88" xfId="0" applyFont="1" applyFill="1" applyBorder="1" applyAlignment="1">
      <alignment horizontal="center" vertical="center" wrapText="1"/>
    </xf>
    <xf numFmtId="0" fontId="1" fillId="2" borderId="89" xfId="0" applyFont="1" applyFill="1" applyBorder="1" applyAlignment="1">
      <alignment horizontal="center" vertical="center" wrapText="1"/>
    </xf>
    <xf numFmtId="0" fontId="18" fillId="7" borderId="27" xfId="0" applyFont="1" applyFill="1" applyBorder="1" applyAlignment="1">
      <alignment horizontal="center" vertical="center"/>
    </xf>
    <xf numFmtId="0" fontId="0" fillId="0" borderId="33" xfId="0" applyBorder="1" applyAlignment="1">
      <alignment wrapText="1"/>
    </xf>
    <xf numFmtId="0" fontId="0" fillId="0" borderId="33" xfId="0" applyBorder="1"/>
    <xf numFmtId="0" fontId="2" fillId="4" borderId="28" xfId="0" applyFont="1" applyFill="1" applyBorder="1" applyAlignment="1">
      <alignment horizontal="center" vertical="center" wrapText="1"/>
    </xf>
    <xf numFmtId="0" fontId="14" fillId="0" borderId="21" xfId="1" applyBorder="1" applyAlignment="1">
      <alignment horizontal="center"/>
    </xf>
    <xf numFmtId="0" fontId="14" fillId="0" borderId="9" xfId="1" applyBorder="1"/>
    <xf numFmtId="0" fontId="52" fillId="11" borderId="24" xfId="0" applyFont="1" applyFill="1" applyBorder="1" applyAlignment="1">
      <alignment vertical="center" wrapText="1"/>
    </xf>
    <xf numFmtId="0" fontId="0" fillId="11" borderId="23" xfId="0" applyFill="1" applyBorder="1" applyAlignment="1">
      <alignment horizontal="left" vertical="center" wrapText="1"/>
    </xf>
    <xf numFmtId="1" fontId="48" fillId="8" borderId="18" xfId="0" applyNumberFormat="1" applyFont="1" applyFill="1" applyBorder="1" applyAlignment="1">
      <alignment horizontal="center" vertical="center" wrapText="1"/>
    </xf>
    <xf numFmtId="0" fontId="46" fillId="2" borderId="20" xfId="0" applyFont="1" applyFill="1" applyBorder="1" applyAlignment="1">
      <alignment horizontal="center" vertical="center" wrapText="1"/>
    </xf>
    <xf numFmtId="0" fontId="46" fillId="2" borderId="0" xfId="0" applyFont="1" applyFill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18" fillId="7" borderId="36" xfId="0" applyFont="1" applyFill="1" applyBorder="1" applyAlignment="1">
      <alignment horizontal="center" vertical="center" wrapText="1"/>
    </xf>
    <xf numFmtId="0" fontId="18" fillId="7" borderId="37" xfId="0" applyFont="1" applyFill="1" applyBorder="1" applyAlignment="1">
      <alignment horizontal="center" vertical="center" wrapText="1"/>
    </xf>
    <xf numFmtId="0" fontId="0" fillId="11" borderId="39" xfId="0" applyFill="1" applyBorder="1" applyAlignment="1">
      <alignment horizontal="left" vertical="center"/>
    </xf>
    <xf numFmtId="0" fontId="0" fillId="11" borderId="39" xfId="0" applyFill="1" applyBorder="1" applyAlignment="1">
      <alignment horizontal="left" vertical="center" wrapText="1"/>
    </xf>
    <xf numFmtId="0" fontId="25" fillId="8" borderId="38" xfId="0" applyFont="1" applyFill="1" applyBorder="1" applyAlignment="1">
      <alignment horizontal="center" vertical="center" wrapText="1"/>
    </xf>
    <xf numFmtId="0" fontId="0" fillId="11" borderId="23" xfId="0" applyFill="1" applyBorder="1" applyAlignment="1">
      <alignment horizontal="left" vertical="center"/>
    </xf>
    <xf numFmtId="0" fontId="48" fillId="8" borderId="16" xfId="0" applyFont="1" applyFill="1" applyBorder="1" applyAlignment="1">
      <alignment horizontal="center" vertical="center" wrapText="1"/>
    </xf>
    <xf numFmtId="1" fontId="48" fillId="8" borderId="16" xfId="0" applyNumberFormat="1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1" fontId="2" fillId="4" borderId="32" xfId="0" applyNumberFormat="1" applyFont="1" applyFill="1" applyBorder="1" applyAlignment="1">
      <alignment horizontal="center" vertical="center" wrapText="1"/>
    </xf>
    <xf numFmtId="1" fontId="2" fillId="4" borderId="92" xfId="0" applyNumberFormat="1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center" vertical="center" wrapText="1"/>
    </xf>
    <xf numFmtId="0" fontId="45" fillId="2" borderId="21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24" fillId="7" borderId="8" xfId="0" applyFont="1" applyFill="1" applyBorder="1" applyAlignment="1">
      <alignment horizontal="center" vertical="center" wrapText="1"/>
    </xf>
    <xf numFmtId="0" fontId="0" fillId="11" borderId="94" xfId="0" applyFill="1" applyBorder="1" applyAlignment="1">
      <alignment horizontal="left" vertical="center" wrapText="1"/>
    </xf>
    <xf numFmtId="0" fontId="0" fillId="11" borderId="22" xfId="0" applyFill="1" applyBorder="1" applyAlignment="1">
      <alignment horizontal="left" vertical="center" wrapText="1"/>
    </xf>
    <xf numFmtId="0" fontId="0" fillId="11" borderId="22" xfId="0" applyFill="1" applyBorder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25" fillId="8" borderId="0" xfId="0" applyFont="1" applyFill="1" applyAlignment="1">
      <alignment horizontal="center" vertical="center" wrapText="1"/>
    </xf>
    <xf numFmtId="0" fontId="53" fillId="11" borderId="1" xfId="0" applyFont="1" applyFill="1" applyBorder="1" applyAlignment="1">
      <alignment vertical="center" wrapText="1"/>
    </xf>
    <xf numFmtId="0" fontId="24" fillId="7" borderId="52" xfId="0" applyFont="1" applyFill="1" applyBorder="1" applyAlignment="1">
      <alignment vertical="center" wrapText="1"/>
    </xf>
    <xf numFmtId="0" fontId="24" fillId="7" borderId="13" xfId="0" applyFont="1" applyFill="1" applyBorder="1" applyAlignment="1">
      <alignment vertical="center" wrapText="1"/>
    </xf>
    <xf numFmtId="0" fontId="0" fillId="8" borderId="9" xfId="0" applyFill="1" applyBorder="1" applyAlignment="1">
      <alignment horizontal="left" vertical="center"/>
    </xf>
    <xf numFmtId="0" fontId="8" fillId="8" borderId="9" xfId="0" applyFont="1" applyFill="1" applyBorder="1" applyAlignment="1">
      <alignment horizontal="left" vertical="center"/>
    </xf>
    <xf numFmtId="0" fontId="0" fillId="0" borderId="10" xfId="0" applyBorder="1"/>
    <xf numFmtId="0" fontId="25" fillId="8" borderId="23" xfId="0" applyFont="1" applyFill="1" applyBorder="1" applyAlignment="1">
      <alignment horizontal="center" vertical="center" wrapText="1"/>
    </xf>
    <xf numFmtId="0" fontId="25" fillId="8" borderId="24" xfId="0" applyFont="1" applyFill="1" applyBorder="1" applyAlignment="1">
      <alignment horizontal="center" vertical="center" wrapText="1"/>
    </xf>
    <xf numFmtId="1" fontId="25" fillId="8" borderId="23" xfId="0" applyNumberFormat="1" applyFont="1" applyFill="1" applyBorder="1" applyAlignment="1">
      <alignment horizontal="center" vertical="center" wrapText="1"/>
    </xf>
    <xf numFmtId="0" fontId="0" fillId="16" borderId="16" xfId="0" applyFill="1" applyBorder="1" applyAlignment="1">
      <alignment vertical="top" wrapText="1"/>
    </xf>
    <xf numFmtId="0" fontId="47" fillId="0" borderId="8" xfId="0" applyFont="1" applyBorder="1" applyAlignment="1">
      <alignment horizontal="center"/>
    </xf>
    <xf numFmtId="0" fontId="0" fillId="16" borderId="9" xfId="0" applyFill="1" applyBorder="1" applyAlignment="1">
      <alignment vertical="top" wrapText="1"/>
    </xf>
    <xf numFmtId="0" fontId="47" fillId="0" borderId="24" xfId="0" applyFont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20" fillId="0" borderId="11" xfId="0" applyFont="1" applyBorder="1" applyAlignment="1">
      <alignment horizontal="left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7" borderId="24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7" borderId="40" xfId="0" applyFill="1" applyBorder="1" applyAlignment="1">
      <alignment horizontal="left" vertical="center"/>
    </xf>
    <xf numFmtId="0" fontId="0" fillId="7" borderId="29" xfId="0" applyFill="1" applyBorder="1" applyAlignment="1">
      <alignment horizontal="left" vertical="center"/>
    </xf>
    <xf numFmtId="0" fontId="0" fillId="7" borderId="14" xfId="0" applyFill="1" applyBorder="1" applyAlignment="1">
      <alignment horizontal="left" vertical="center"/>
    </xf>
    <xf numFmtId="0" fontId="0" fillId="7" borderId="93" xfId="0" applyFill="1" applyBorder="1" applyAlignment="1">
      <alignment horizontal="left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2" borderId="89" xfId="0" applyFont="1" applyFill="1" applyBorder="1" applyAlignment="1">
      <alignment horizontal="center" vertical="center" wrapText="1"/>
    </xf>
    <xf numFmtId="0" fontId="42" fillId="4" borderId="10" xfId="0" applyFont="1" applyFill="1" applyBorder="1" applyAlignment="1">
      <alignment horizontal="center" vertical="center" wrapText="1"/>
    </xf>
    <xf numFmtId="0" fontId="42" fillId="4" borderId="12" xfId="0" applyFont="1" applyFill="1" applyBorder="1" applyAlignment="1">
      <alignment horizontal="center" vertical="center" wrapText="1"/>
    </xf>
    <xf numFmtId="1" fontId="42" fillId="4" borderId="19" xfId="0" applyNumberFormat="1" applyFont="1" applyFill="1" applyBorder="1" applyAlignment="1">
      <alignment horizontal="center" vertical="center" wrapText="1"/>
    </xf>
    <xf numFmtId="1" fontId="42" fillId="4" borderId="2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26" fillId="5" borderId="8" xfId="0" applyFont="1" applyFill="1" applyBorder="1" applyAlignment="1">
      <alignment horizontal="center" vertical="center" wrapText="1"/>
    </xf>
    <xf numFmtId="0" fontId="26" fillId="5" borderId="0" xfId="0" applyFont="1" applyFill="1" applyAlignment="1">
      <alignment horizontal="center" vertical="center" wrapText="1"/>
    </xf>
    <xf numFmtId="0" fontId="26" fillId="5" borderId="6" xfId="0" applyFont="1" applyFill="1" applyBorder="1" applyAlignment="1">
      <alignment horizontal="center" vertical="center" wrapText="1"/>
    </xf>
    <xf numFmtId="0" fontId="26" fillId="5" borderId="7" xfId="0" applyFont="1" applyFill="1" applyBorder="1" applyAlignment="1">
      <alignment horizontal="center" vertical="center" wrapText="1"/>
    </xf>
    <xf numFmtId="0" fontId="26" fillId="5" borderId="4" xfId="0" applyFont="1" applyFill="1" applyBorder="1" applyAlignment="1">
      <alignment horizontal="center" vertical="center" wrapText="1"/>
    </xf>
    <xf numFmtId="0" fontId="26" fillId="5" borderId="9" xfId="0" applyFont="1" applyFill="1" applyBorder="1" applyAlignment="1">
      <alignment horizontal="center" vertical="center" wrapText="1"/>
    </xf>
    <xf numFmtId="0" fontId="26" fillId="5" borderId="10" xfId="0" applyFont="1" applyFill="1" applyBorder="1" applyAlignment="1">
      <alignment horizontal="center" vertical="center" wrapText="1"/>
    </xf>
    <xf numFmtId="0" fontId="26" fillId="5" borderId="11" xfId="0" applyFont="1" applyFill="1" applyBorder="1" applyAlignment="1">
      <alignment horizontal="center" vertical="center" wrapText="1"/>
    </xf>
    <xf numFmtId="0" fontId="26" fillId="5" borderId="12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53" fillId="11" borderId="95" xfId="0" applyFont="1" applyFill="1" applyBorder="1" applyAlignment="1">
      <alignment horizontal="left" vertical="center" wrapText="1"/>
    </xf>
    <xf numFmtId="0" fontId="53" fillId="11" borderId="52" xfId="0" applyFont="1" applyFill="1" applyBorder="1" applyAlignment="1">
      <alignment horizontal="left" vertical="center" wrapText="1"/>
    </xf>
    <xf numFmtId="0" fontId="53" fillId="11" borderId="13" xfId="0" applyFont="1" applyFill="1" applyBorder="1" applyAlignment="1">
      <alignment horizontal="left" vertical="center" wrapText="1"/>
    </xf>
    <xf numFmtId="0" fontId="53" fillId="11" borderId="21" xfId="0" applyFont="1" applyFill="1" applyBorder="1" applyAlignment="1">
      <alignment horizontal="left" vertical="center" wrapText="1"/>
    </xf>
    <xf numFmtId="0" fontId="46" fillId="2" borderId="83" xfId="0" applyFont="1" applyFill="1" applyBorder="1" applyAlignment="1">
      <alignment horizontal="center" vertical="center" wrapText="1"/>
    </xf>
    <xf numFmtId="0" fontId="46" fillId="2" borderId="53" xfId="0" applyFont="1" applyFill="1" applyBorder="1" applyAlignment="1">
      <alignment horizontal="center" vertical="center" wrapText="1"/>
    </xf>
    <xf numFmtId="0" fontId="16" fillId="6" borderId="30" xfId="0" applyFont="1" applyFill="1" applyBorder="1" applyAlignment="1">
      <alignment horizontal="center" vertical="center" wrapText="1"/>
    </xf>
    <xf numFmtId="0" fontId="16" fillId="6" borderId="24" xfId="0" applyFont="1" applyFill="1" applyBorder="1" applyAlignment="1">
      <alignment horizontal="center" vertical="center" wrapText="1"/>
    </xf>
    <xf numFmtId="0" fontId="46" fillId="2" borderId="30" xfId="0" applyFont="1" applyFill="1" applyBorder="1" applyAlignment="1">
      <alignment horizontal="center" vertical="center" wrapText="1"/>
    </xf>
    <xf numFmtId="0" fontId="46" fillId="2" borderId="31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46" fillId="2" borderId="21" xfId="0" applyFont="1" applyFill="1" applyBorder="1" applyAlignment="1">
      <alignment horizontal="center" vertical="center" wrapText="1"/>
    </xf>
    <xf numFmtId="0" fontId="46" fillId="2" borderId="13" xfId="0" applyFont="1" applyFill="1" applyBorder="1" applyAlignment="1">
      <alignment horizontal="center" vertical="center" wrapText="1"/>
    </xf>
    <xf numFmtId="0" fontId="24" fillId="7" borderId="21" xfId="0" applyFont="1" applyFill="1" applyBorder="1" applyAlignment="1">
      <alignment horizontal="center" vertical="center" wrapText="1"/>
    </xf>
    <xf numFmtId="0" fontId="24" fillId="7" borderId="52" xfId="0" applyFont="1" applyFill="1" applyBorder="1" applyAlignment="1">
      <alignment horizontal="center" vertical="center" wrapText="1"/>
    </xf>
    <xf numFmtId="0" fontId="24" fillId="7" borderId="8" xfId="0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0" fontId="18" fillId="8" borderId="6" xfId="0" applyFont="1" applyFill="1" applyBorder="1" applyAlignment="1">
      <alignment vertical="center" wrapText="1"/>
    </xf>
    <xf numFmtId="0" fontId="18" fillId="8" borderId="4" xfId="0" applyFont="1" applyFill="1" applyBorder="1" applyAlignment="1">
      <alignment vertical="center" wrapText="1"/>
    </xf>
    <xf numFmtId="0" fontId="18" fillId="8" borderId="8" xfId="0" applyFont="1" applyFill="1" applyBorder="1" applyAlignment="1">
      <alignment vertical="center" wrapText="1"/>
    </xf>
    <xf numFmtId="0" fontId="18" fillId="8" borderId="9" xfId="0" applyFont="1" applyFill="1" applyBorder="1" applyAlignment="1">
      <alignment vertical="center" wrapText="1"/>
    </xf>
    <xf numFmtId="0" fontId="18" fillId="8" borderId="10" xfId="0" applyFont="1" applyFill="1" applyBorder="1" applyAlignment="1">
      <alignment vertical="center" wrapText="1"/>
    </xf>
    <xf numFmtId="0" fontId="18" fillId="8" borderId="12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96" xfId="0" applyFont="1" applyFill="1" applyBorder="1" applyAlignment="1">
      <alignment horizontal="center" vertical="center" wrapText="1"/>
    </xf>
    <xf numFmtId="0" fontId="0" fillId="7" borderId="39" xfId="0" applyFill="1" applyBorder="1" applyAlignment="1">
      <alignment horizontal="left" vertical="center" wrapText="1"/>
    </xf>
    <xf numFmtId="0" fontId="0" fillId="7" borderId="44" xfId="0" applyFill="1" applyBorder="1" applyAlignment="1">
      <alignment horizontal="left" vertical="center" wrapText="1"/>
    </xf>
    <xf numFmtId="0" fontId="0" fillId="7" borderId="32" xfId="0" applyFill="1" applyBorder="1" applyAlignment="1">
      <alignment horizontal="left" vertical="center" wrapText="1"/>
    </xf>
    <xf numFmtId="0" fontId="42" fillId="4" borderId="19" xfId="0" applyFont="1" applyFill="1" applyBorder="1" applyAlignment="1">
      <alignment horizontal="center" vertical="center" wrapText="1"/>
    </xf>
    <xf numFmtId="0" fontId="42" fillId="4" borderId="2" xfId="0" applyFont="1" applyFill="1" applyBorder="1" applyAlignment="1">
      <alignment horizontal="center" vertical="center" wrapText="1"/>
    </xf>
    <xf numFmtId="0" fontId="0" fillId="7" borderId="39" xfId="0" applyFill="1" applyBorder="1" applyAlignment="1">
      <alignment horizontal="left" vertical="center"/>
    </xf>
    <xf numFmtId="0" fontId="0" fillId="7" borderId="44" xfId="0" applyFill="1" applyBorder="1" applyAlignment="1">
      <alignment horizontal="left" vertical="center"/>
    </xf>
    <xf numFmtId="0" fontId="0" fillId="7" borderId="32" xfId="0" applyFill="1" applyBorder="1" applyAlignment="1">
      <alignment horizontal="left" vertical="center"/>
    </xf>
    <xf numFmtId="0" fontId="0" fillId="7" borderId="90" xfId="0" applyFill="1" applyBorder="1" applyAlignment="1">
      <alignment horizontal="left" vertical="center"/>
    </xf>
    <xf numFmtId="0" fontId="0" fillId="7" borderId="91" xfId="0" applyFill="1" applyBorder="1" applyAlignment="1">
      <alignment horizontal="left" vertical="center"/>
    </xf>
    <xf numFmtId="0" fontId="0" fillId="7" borderId="92" xfId="0" applyFill="1" applyBorder="1" applyAlignment="1">
      <alignment horizontal="left" vertical="center"/>
    </xf>
    <xf numFmtId="1" fontId="42" fillId="4" borderId="20" xfId="0" applyNumberFormat="1" applyFont="1" applyFill="1" applyBorder="1" applyAlignment="1">
      <alignment horizontal="center" vertical="center" wrapText="1"/>
    </xf>
    <xf numFmtId="1" fontId="45" fillId="2" borderId="19" xfId="0" applyNumberFormat="1" applyFont="1" applyFill="1" applyBorder="1" applyAlignment="1">
      <alignment horizontal="center" vertical="center" wrapText="1"/>
    </xf>
    <xf numFmtId="1" fontId="45" fillId="2" borderId="2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right" vertical="center" wrapText="1"/>
    </xf>
    <xf numFmtId="0" fontId="1" fillId="2" borderId="12" xfId="0" applyFont="1" applyFill="1" applyBorder="1" applyAlignment="1">
      <alignment horizontal="right" vertical="center" wrapText="1"/>
    </xf>
    <xf numFmtId="0" fontId="1" fillId="2" borderId="19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20" xfId="0" applyFont="1" applyFill="1" applyBorder="1" applyAlignment="1">
      <alignment horizontal="right" vertical="center" wrapText="1"/>
    </xf>
    <xf numFmtId="0" fontId="45" fillId="2" borderId="21" xfId="0" applyFont="1" applyFill="1" applyBorder="1" applyAlignment="1">
      <alignment horizontal="center" vertical="center" wrapText="1"/>
    </xf>
    <xf numFmtId="0" fontId="45" fillId="2" borderId="52" xfId="0" applyFont="1" applyFill="1" applyBorder="1" applyAlignment="1">
      <alignment horizontal="center" vertical="center" wrapText="1"/>
    </xf>
    <xf numFmtId="0" fontId="0" fillId="18" borderId="73" xfId="0" applyFill="1" applyBorder="1" applyAlignment="1" applyProtection="1">
      <alignment vertical="center" wrapText="1"/>
      <protection locked="0"/>
    </xf>
    <xf numFmtId="0" fontId="30" fillId="18" borderId="62" xfId="0" applyFont="1" applyFill="1" applyBorder="1" applyAlignment="1" applyProtection="1">
      <alignment horizontal="center" vertical="center" textRotation="90" wrapText="1"/>
      <protection locked="0"/>
    </xf>
    <xf numFmtId="0" fontId="30" fillId="18" borderId="59" xfId="0" applyFont="1" applyFill="1" applyBorder="1" applyAlignment="1" applyProtection="1">
      <alignment horizontal="center" vertical="center" textRotation="90" wrapText="1"/>
      <protection locked="0"/>
    </xf>
    <xf numFmtId="0" fontId="30" fillId="18" borderId="70" xfId="0" applyFont="1" applyFill="1" applyBorder="1" applyAlignment="1" applyProtection="1">
      <alignment horizontal="center" vertical="center" textRotation="90" wrapText="1"/>
      <protection locked="0"/>
    </xf>
    <xf numFmtId="0" fontId="28" fillId="19" borderId="68" xfId="0" applyFont="1" applyFill="1" applyBorder="1" applyAlignment="1" applyProtection="1">
      <alignment horizontal="left" vertical="center" wrapText="1"/>
      <protection locked="0"/>
    </xf>
    <xf numFmtId="0" fontId="28" fillId="19" borderId="67" xfId="0" applyFont="1" applyFill="1" applyBorder="1" applyAlignment="1" applyProtection="1">
      <alignment horizontal="left" vertical="center" wrapText="1"/>
      <protection locked="0"/>
    </xf>
    <xf numFmtId="0" fontId="18" fillId="18" borderId="65" xfId="0" applyFont="1" applyFill="1" applyBorder="1" applyAlignment="1" applyProtection="1">
      <alignment horizontal="center" vertical="center" wrapText="1"/>
      <protection locked="0"/>
    </xf>
    <xf numFmtId="0" fontId="18" fillId="18" borderId="18" xfId="0" applyFont="1" applyFill="1" applyBorder="1" applyAlignment="1" applyProtection="1">
      <alignment horizontal="center" vertical="center" wrapText="1"/>
      <protection locked="0"/>
    </xf>
    <xf numFmtId="0" fontId="31" fillId="18" borderId="22" xfId="5" applyFont="1" applyFill="1" applyBorder="1" applyAlignment="1" applyProtection="1">
      <alignment horizontal="left" vertical="center" wrapText="1"/>
      <protection locked="0"/>
    </xf>
    <xf numFmtId="0" fontId="31" fillId="18" borderId="3" xfId="5" applyFont="1" applyFill="1" applyBorder="1" applyAlignment="1" applyProtection="1">
      <alignment horizontal="left" vertical="center" wrapText="1"/>
      <protection locked="0"/>
    </xf>
    <xf numFmtId="0" fontId="18" fillId="18" borderId="54" xfId="0" applyFont="1" applyFill="1" applyBorder="1" applyAlignment="1" applyProtection="1">
      <alignment horizontal="center" vertical="center" wrapText="1"/>
      <protection locked="0"/>
    </xf>
    <xf numFmtId="0" fontId="31" fillId="18" borderId="44" xfId="5" applyFont="1" applyFill="1" applyBorder="1" applyAlignment="1" applyProtection="1">
      <alignment horizontal="left" vertical="center" wrapText="1"/>
      <protection locked="0"/>
    </xf>
    <xf numFmtId="0" fontId="0" fillId="18" borderId="40" xfId="0" applyFill="1" applyBorder="1" applyAlignment="1" applyProtection="1">
      <alignment horizontal="left" vertical="center" wrapText="1"/>
      <protection locked="0"/>
    </xf>
    <xf numFmtId="0" fontId="0" fillId="18" borderId="44" xfId="0" applyFill="1" applyBorder="1" applyAlignment="1" applyProtection="1">
      <alignment horizontal="left" vertical="center" wrapText="1"/>
      <protection locked="0"/>
    </xf>
    <xf numFmtId="0" fontId="0" fillId="18" borderId="22" xfId="0" applyFill="1" applyBorder="1" applyAlignment="1" applyProtection="1">
      <alignment horizontal="left" vertical="center" wrapText="1"/>
      <protection locked="0"/>
    </xf>
    <xf numFmtId="0" fontId="18" fillId="18" borderId="19" xfId="0" applyFont="1" applyFill="1" applyBorder="1" applyAlignment="1" applyProtection="1">
      <alignment horizontal="center" vertical="center" wrapText="1"/>
      <protection locked="0"/>
    </xf>
    <xf numFmtId="0" fontId="18" fillId="18" borderId="20" xfId="0" applyFont="1" applyFill="1" applyBorder="1" applyAlignment="1" applyProtection="1">
      <alignment horizontal="center" vertical="center" wrapText="1"/>
      <protection locked="0"/>
    </xf>
    <xf numFmtId="0" fontId="18" fillId="18" borderId="57" xfId="0" applyFont="1" applyFill="1" applyBorder="1" applyAlignment="1" applyProtection="1">
      <alignment horizontal="center" vertical="center" wrapText="1"/>
      <protection locked="0"/>
    </xf>
    <xf numFmtId="0" fontId="18" fillId="18" borderId="56" xfId="0" applyFont="1" applyFill="1" applyBorder="1" applyAlignment="1" applyProtection="1">
      <alignment horizontal="center" vertical="center" wrapText="1"/>
      <protection locked="0"/>
    </xf>
    <xf numFmtId="0" fontId="28" fillId="19" borderId="40" xfId="0" applyFont="1" applyFill="1" applyBorder="1" applyAlignment="1" applyProtection="1">
      <alignment horizontal="left" vertical="center" wrapText="1"/>
      <protection locked="0"/>
    </xf>
    <xf numFmtId="0" fontId="28" fillId="19" borderId="44" xfId="0" applyFont="1" applyFill="1" applyBorder="1" applyAlignment="1" applyProtection="1">
      <alignment horizontal="left" vertical="center" wrapText="1"/>
      <protection locked="0"/>
    </xf>
    <xf numFmtId="0" fontId="31" fillId="18" borderId="3" xfId="0" applyFont="1" applyFill="1" applyBorder="1" applyAlignment="1" applyProtection="1">
      <alignment horizontal="right" vertical="center" wrapText="1"/>
      <protection locked="0"/>
    </xf>
    <xf numFmtId="0" fontId="28" fillId="21" borderId="75" xfId="6" applyFont="1" applyFill="1" applyBorder="1" applyAlignment="1" applyProtection="1">
      <alignment horizontal="left" vertical="center" wrapText="1"/>
      <protection locked="0"/>
    </xf>
    <xf numFmtId="0" fontId="28" fillId="21" borderId="76" xfId="6" applyFont="1" applyFill="1" applyBorder="1" applyAlignment="1" applyProtection="1">
      <alignment horizontal="left" vertical="center" wrapText="1"/>
      <protection locked="0"/>
    </xf>
    <xf numFmtId="0" fontId="35" fillId="18" borderId="75" xfId="6" applyFont="1" applyFill="1" applyBorder="1" applyAlignment="1" applyProtection="1">
      <alignment horizontal="left" vertical="center" wrapText="1"/>
      <protection locked="0"/>
    </xf>
    <xf numFmtId="0" fontId="35" fillId="18" borderId="76" xfId="6" applyFont="1" applyFill="1" applyBorder="1" applyAlignment="1" applyProtection="1">
      <alignment horizontal="left" vertical="center" wrapText="1"/>
      <protection locked="0"/>
    </xf>
    <xf numFmtId="0" fontId="35" fillId="18" borderId="71" xfId="6" applyFont="1" applyFill="1" applyBorder="1" applyAlignment="1" applyProtection="1">
      <alignment horizontal="left" vertical="center" wrapText="1"/>
      <protection locked="0"/>
    </xf>
    <xf numFmtId="0" fontId="0" fillId="18" borderId="75" xfId="0" applyFill="1" applyBorder="1" applyAlignment="1" applyProtection="1">
      <alignment horizontal="left" vertical="center" wrapText="1"/>
      <protection locked="0"/>
    </xf>
    <xf numFmtId="0" fontId="0" fillId="18" borderId="71" xfId="0" applyFill="1" applyBorder="1" applyAlignment="1" applyProtection="1">
      <alignment horizontal="left" vertical="center" wrapText="1"/>
      <protection locked="0"/>
    </xf>
    <xf numFmtId="0" fontId="28" fillId="21" borderId="75" xfId="0" applyFont="1" applyFill="1" applyBorder="1" applyAlignment="1" applyProtection="1">
      <alignment horizontal="left" vertical="center" wrapText="1"/>
      <protection locked="0"/>
    </xf>
    <xf numFmtId="0" fontId="28" fillId="21" borderId="71" xfId="0" applyFont="1" applyFill="1" applyBorder="1" applyAlignment="1" applyProtection="1">
      <alignment horizontal="left" vertical="center" wrapText="1"/>
      <protection locked="0"/>
    </xf>
    <xf numFmtId="0" fontId="0" fillId="18" borderId="75" xfId="0" applyFill="1" applyBorder="1" applyAlignment="1" applyProtection="1">
      <alignment vertical="center" wrapText="1"/>
      <protection locked="0"/>
    </xf>
    <xf numFmtId="0" fontId="0" fillId="18" borderId="71" xfId="0" applyFill="1" applyBorder="1" applyAlignment="1" applyProtection="1">
      <alignment vertical="center" wrapText="1"/>
      <protection locked="0"/>
    </xf>
    <xf numFmtId="0" fontId="41" fillId="0" borderId="0" xfId="8" applyFont="1" applyAlignment="1" applyProtection="1">
      <alignment horizontal="center" vertical="center" wrapText="1"/>
      <protection locked="0"/>
    </xf>
    <xf numFmtId="0" fontId="41" fillId="0" borderId="0" xfId="8" applyFont="1" applyAlignment="1" applyProtection="1">
      <alignment horizontal="right" vertical="center" wrapText="1"/>
      <protection locked="0"/>
    </xf>
    <xf numFmtId="0" fontId="40" fillId="0" borderId="6" xfId="8" applyFont="1" applyBorder="1" applyAlignment="1" applyProtection="1">
      <alignment horizontal="center" vertical="center" wrapText="1"/>
      <protection locked="0"/>
    </xf>
    <xf numFmtId="0" fontId="40" fillId="0" borderId="7" xfId="8" applyFont="1" applyBorder="1" applyAlignment="1" applyProtection="1">
      <alignment horizontal="center" vertical="center" wrapText="1"/>
      <protection locked="0"/>
    </xf>
    <xf numFmtId="0" fontId="40" fillId="0" borderId="4" xfId="8" applyFont="1" applyBorder="1" applyAlignment="1" applyProtection="1">
      <alignment horizontal="center" vertical="center" wrapText="1"/>
      <protection locked="0"/>
    </xf>
    <xf numFmtId="0" fontId="39" fillId="0" borderId="10" xfId="8" applyFont="1" applyBorder="1" applyAlignment="1" applyProtection="1">
      <alignment horizontal="center" vertical="center" wrapText="1"/>
      <protection locked="0"/>
    </xf>
    <xf numFmtId="0" fontId="39" fillId="0" borderId="11" xfId="8" applyFont="1" applyBorder="1" applyAlignment="1" applyProtection="1">
      <alignment horizontal="center" vertical="center" wrapText="1"/>
      <protection locked="0"/>
    </xf>
    <xf numFmtId="0" fontId="39" fillId="0" borderId="12" xfId="8" applyFont="1" applyBorder="1" applyAlignment="1" applyProtection="1">
      <alignment horizontal="center" vertical="center" wrapText="1"/>
      <protection locked="0"/>
    </xf>
    <xf numFmtId="0" fontId="28" fillId="19" borderId="82" xfId="7" applyFont="1" applyFill="1" applyBorder="1" applyAlignment="1" applyProtection="1">
      <alignment horizontal="left" vertical="center" wrapText="1"/>
      <protection locked="0"/>
    </xf>
    <xf numFmtId="0" fontId="28" fillId="19" borderId="81" xfId="7" applyFont="1" applyFill="1" applyBorder="1" applyAlignment="1" applyProtection="1">
      <alignment horizontal="left" vertical="center" wrapText="1"/>
      <protection locked="0"/>
    </xf>
    <xf numFmtId="0" fontId="31" fillId="18" borderId="11" xfId="5" applyFont="1" applyFill="1" applyBorder="1" applyAlignment="1" applyProtection="1">
      <alignment horizontal="right" vertical="center" wrapText="1"/>
      <protection locked="0"/>
    </xf>
    <xf numFmtId="0" fontId="31" fillId="18" borderId="20" xfId="5" applyFont="1" applyFill="1" applyBorder="1" applyAlignment="1" applyProtection="1">
      <alignment horizontal="right" vertical="center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26" fillId="5" borderId="27" xfId="0" applyFont="1" applyFill="1" applyBorder="1" applyAlignment="1">
      <alignment horizontal="center" vertical="center" wrapText="1"/>
    </xf>
    <xf numFmtId="0" fontId="26" fillId="5" borderId="33" xfId="0" applyFont="1" applyFill="1" applyBorder="1" applyAlignment="1">
      <alignment horizontal="center" vertical="center" wrapText="1"/>
    </xf>
    <xf numFmtId="0" fontId="26" fillId="5" borderId="28" xfId="0" applyFont="1" applyFill="1" applyBorder="1" applyAlignment="1">
      <alignment horizontal="center" vertical="center" wrapText="1"/>
    </xf>
    <xf numFmtId="0" fontId="26" fillId="5" borderId="34" xfId="0" applyFont="1" applyFill="1" applyBorder="1" applyAlignment="1">
      <alignment horizontal="center" vertical="center" wrapText="1"/>
    </xf>
    <xf numFmtId="0" fontId="26" fillId="5" borderId="5" xfId="0" applyFont="1" applyFill="1" applyBorder="1" applyAlignment="1">
      <alignment horizontal="center" vertical="center" wrapText="1"/>
    </xf>
    <xf numFmtId="0" fontId="26" fillId="5" borderId="3" xfId="0" applyFont="1" applyFill="1" applyBorder="1" applyAlignment="1">
      <alignment horizontal="center" vertical="center" wrapText="1"/>
    </xf>
    <xf numFmtId="0" fontId="26" fillId="5" borderId="86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</cellXfs>
  <cellStyles count="9">
    <cellStyle name="Milliers" xfId="3" builtinId="3"/>
    <cellStyle name="Milliers 2" xfId="2" xr:uid="{0537A777-12E7-42EE-8F98-CCD855348ECE}"/>
    <cellStyle name="Normal" xfId="0" builtinId="0"/>
    <cellStyle name="Normal 2" xfId="1" xr:uid="{2734A7F5-2326-4578-ADA9-F3E0C0CEE931}"/>
    <cellStyle name="Normal 2 2" xfId="7" xr:uid="{2070C293-AD64-458B-BE01-24C11672CA92}"/>
    <cellStyle name="Normal 3" xfId="8" xr:uid="{DA8987BA-8FD9-4F5C-B68C-4E5D57ADC0B6}"/>
    <cellStyle name="Normal 4" xfId="6" xr:uid="{B5B4940E-6DE1-499B-A661-51BA9A38DC2B}"/>
    <cellStyle name="Normal_DEVOQUAL_Forfait_1.1-Documents-suivi-IDProjet1" xfId="4" xr:uid="{2F1163ED-A6AC-49E1-B44E-A88CD0E82A85}"/>
    <cellStyle name="Normal_DEVOQUAL_Forfait_1.1-Documents-suivi-IDProjet1 2" xfId="5" xr:uid="{8C470B25-41FA-4F57-B79D-9EA5B9100D9D}"/>
  </cellStyles>
  <dxfs count="64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103832</xdr:colOff>
      <xdr:row>0</xdr:row>
      <xdr:rowOff>0</xdr:rowOff>
    </xdr:from>
    <xdr:ext cx="2893198" cy="1089577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9023" y="0"/>
          <a:ext cx="2893198" cy="108957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10</xdr:row>
          <xdr:rowOff>76200</xdr:rowOff>
        </xdr:from>
        <xdr:to>
          <xdr:col>6</xdr:col>
          <xdr:colOff>1276350</xdr:colOff>
          <xdr:row>14</xdr:row>
          <xdr:rowOff>133350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DD508-DFFD-4D54-A161-5CAC57E82848}">
  <sheetPr codeName="Feuil1"/>
  <dimension ref="A1:J22"/>
  <sheetViews>
    <sheetView tabSelected="1" zoomScale="90" zoomScaleNormal="90" workbookViewId="0">
      <selection activeCell="M11" sqref="M11"/>
    </sheetView>
  </sheetViews>
  <sheetFormatPr baseColWidth="10" defaultRowHeight="15"/>
  <cols>
    <col min="2" max="2" width="17.42578125" customWidth="1"/>
    <col min="3" max="3" width="50.5703125" bestFit="1" customWidth="1"/>
    <col min="4" max="4" width="23.5703125" customWidth="1"/>
  </cols>
  <sheetData>
    <row r="1" spans="1:10" ht="14.45" customHeight="1">
      <c r="A1" s="299" t="s">
        <v>183</v>
      </c>
      <c r="B1" s="300"/>
      <c r="C1" s="300"/>
      <c r="D1" s="300"/>
      <c r="E1" s="300"/>
      <c r="F1" s="300"/>
      <c r="G1" s="300"/>
      <c r="H1" s="300"/>
      <c r="I1" s="300"/>
      <c r="J1" s="301"/>
    </row>
    <row r="2" spans="1:10">
      <c r="A2" s="302"/>
      <c r="B2" s="303"/>
      <c r="C2" s="303"/>
      <c r="D2" s="303"/>
      <c r="E2" s="303"/>
      <c r="F2" s="303"/>
      <c r="G2" s="303"/>
      <c r="H2" s="303"/>
      <c r="I2" s="303"/>
      <c r="J2" s="304"/>
    </row>
    <row r="3" spans="1:10">
      <c r="A3" s="302"/>
      <c r="B3" s="303"/>
      <c r="C3" s="303"/>
      <c r="D3" s="303"/>
      <c r="E3" s="303"/>
      <c r="F3" s="303"/>
      <c r="G3" s="303"/>
      <c r="H3" s="303"/>
      <c r="I3" s="303"/>
      <c r="J3" s="304"/>
    </row>
    <row r="4" spans="1:10">
      <c r="A4" s="302"/>
      <c r="B4" s="303"/>
      <c r="C4" s="303"/>
      <c r="D4" s="303"/>
      <c r="E4" s="303"/>
      <c r="F4" s="303"/>
      <c r="G4" s="303"/>
      <c r="H4" s="303"/>
      <c r="I4" s="303"/>
      <c r="J4" s="304"/>
    </row>
    <row r="5" spans="1:10" ht="15.75" thickBot="1">
      <c r="A5" s="302"/>
      <c r="B5" s="303"/>
      <c r="C5" s="303"/>
      <c r="D5" s="303"/>
      <c r="E5" s="305"/>
      <c r="F5" s="305"/>
      <c r="G5" s="305"/>
      <c r="H5" s="305"/>
      <c r="I5" s="305"/>
      <c r="J5" s="306"/>
    </row>
    <row r="6" spans="1:10" ht="15.75" thickBot="1">
      <c r="A6" s="251" t="s">
        <v>184</v>
      </c>
      <c r="B6" s="252" t="s">
        <v>185</v>
      </c>
      <c r="C6" s="252" t="s">
        <v>186</v>
      </c>
      <c r="D6" s="253" t="s">
        <v>187</v>
      </c>
      <c r="E6" s="12"/>
      <c r="F6" s="12"/>
      <c r="G6" s="12"/>
      <c r="H6" s="12"/>
      <c r="I6" s="12"/>
      <c r="J6" s="88"/>
    </row>
    <row r="7" spans="1:10">
      <c r="A7" s="254" t="s">
        <v>188</v>
      </c>
      <c r="B7" s="255" t="s">
        <v>189</v>
      </c>
      <c r="C7" s="256" t="s">
        <v>190</v>
      </c>
      <c r="D7" s="257"/>
      <c r="E7" s="12"/>
      <c r="F7" s="12"/>
      <c r="G7" s="12"/>
      <c r="H7" s="12"/>
      <c r="I7" s="12"/>
      <c r="J7" s="88"/>
    </row>
    <row r="8" spans="1:10">
      <c r="A8" s="81" t="s">
        <v>191</v>
      </c>
      <c r="B8" s="21" t="s">
        <v>81</v>
      </c>
      <c r="C8" s="60" t="s">
        <v>192</v>
      </c>
      <c r="D8" s="24" t="s">
        <v>193</v>
      </c>
      <c r="E8" s="12"/>
      <c r="F8" s="12"/>
      <c r="G8" s="12"/>
      <c r="H8" s="12"/>
      <c r="I8" s="12"/>
      <c r="J8" s="88"/>
    </row>
    <row r="9" spans="1:10" ht="37.5" customHeight="1">
      <c r="A9" s="81" t="s">
        <v>194</v>
      </c>
      <c r="B9" s="60" t="s">
        <v>195</v>
      </c>
      <c r="C9" s="60" t="s">
        <v>195</v>
      </c>
      <c r="D9" s="25" t="s">
        <v>193</v>
      </c>
      <c r="E9" s="12"/>
      <c r="F9" s="12"/>
      <c r="G9" s="12"/>
      <c r="H9" s="12"/>
      <c r="I9" s="12"/>
      <c r="J9" s="88"/>
    </row>
    <row r="10" spans="1:10" ht="30">
      <c r="A10" s="81" t="s">
        <v>196</v>
      </c>
      <c r="B10" s="21" t="s">
        <v>199</v>
      </c>
      <c r="C10" s="21" t="s">
        <v>200</v>
      </c>
      <c r="D10" s="25" t="s">
        <v>201</v>
      </c>
      <c r="E10" s="12"/>
      <c r="F10" s="12"/>
      <c r="G10" s="12"/>
      <c r="H10" s="12"/>
      <c r="I10" s="12"/>
      <c r="J10" s="88"/>
    </row>
    <row r="11" spans="1:10" ht="39" customHeight="1">
      <c r="A11" s="81" t="s">
        <v>198</v>
      </c>
      <c r="B11" s="21" t="s">
        <v>202</v>
      </c>
      <c r="C11" s="21" t="s">
        <v>203</v>
      </c>
      <c r="D11" s="25" t="s">
        <v>197</v>
      </c>
      <c r="E11" s="12"/>
      <c r="F11" s="12"/>
      <c r="G11" s="12"/>
      <c r="H11" s="12"/>
      <c r="I11" s="12"/>
      <c r="J11" s="88"/>
    </row>
    <row r="12" spans="1:10" ht="15.75" thickBot="1">
      <c r="A12" s="192" t="s">
        <v>204</v>
      </c>
      <c r="B12" s="22" t="s">
        <v>205</v>
      </c>
      <c r="C12" s="22" t="s">
        <v>206</v>
      </c>
      <c r="D12" s="26" t="s">
        <v>197</v>
      </c>
      <c r="E12" s="12"/>
      <c r="F12" s="12"/>
      <c r="G12" s="12"/>
      <c r="H12" s="12"/>
      <c r="I12" s="12"/>
      <c r="J12" s="88"/>
    </row>
    <row r="13" spans="1:10" ht="15.75" thickBot="1">
      <c r="A13" s="89"/>
      <c r="B13" s="12"/>
      <c r="C13" s="12"/>
      <c r="D13" s="12"/>
      <c r="E13" s="12"/>
      <c r="F13" s="12"/>
      <c r="G13" s="12"/>
      <c r="H13" s="12"/>
      <c r="I13" s="12"/>
      <c r="J13" s="88"/>
    </row>
    <row r="14" spans="1:10" ht="15" customHeight="1" thickBot="1">
      <c r="A14" s="307" t="s">
        <v>207</v>
      </c>
      <c r="B14" s="308"/>
      <c r="C14" s="308"/>
      <c r="D14" s="308"/>
      <c r="E14" s="308"/>
      <c r="F14" s="308"/>
      <c r="G14" s="308"/>
      <c r="H14" s="308"/>
      <c r="I14" s="308"/>
      <c r="J14" s="309"/>
    </row>
    <row r="15" spans="1:10" ht="15" customHeight="1" thickBot="1">
      <c r="A15" s="312" t="s">
        <v>208</v>
      </c>
      <c r="B15" s="313"/>
      <c r="C15" s="12"/>
      <c r="D15" s="12"/>
      <c r="E15" s="12"/>
      <c r="F15" s="12"/>
      <c r="G15" s="12"/>
      <c r="H15" s="12"/>
      <c r="I15" s="12"/>
      <c r="J15" s="88"/>
    </row>
    <row r="16" spans="1:10" ht="15.75" thickBot="1">
      <c r="A16" s="266" t="s">
        <v>209</v>
      </c>
      <c r="B16" s="20" t="s">
        <v>0</v>
      </c>
      <c r="C16" s="12"/>
      <c r="D16" s="12"/>
      <c r="E16" s="12"/>
      <c r="F16" s="12"/>
      <c r="G16" s="12"/>
      <c r="H16" s="12"/>
      <c r="I16" s="12"/>
      <c r="J16" s="88"/>
    </row>
    <row r="17" spans="1:10" ht="30.75" thickBot="1">
      <c r="A17" s="266" t="s">
        <v>210</v>
      </c>
      <c r="B17" s="23" t="s">
        <v>211</v>
      </c>
      <c r="C17" s="12"/>
      <c r="D17" s="82" t="s">
        <v>215</v>
      </c>
      <c r="E17" s="83" t="s">
        <v>216</v>
      </c>
      <c r="F17" s="12"/>
      <c r="G17" s="12"/>
      <c r="H17" s="12"/>
      <c r="I17" s="12"/>
      <c r="J17" s="88"/>
    </row>
    <row r="18" spans="1:10" ht="45.75" thickBot="1">
      <c r="A18" s="266" t="s">
        <v>212</v>
      </c>
      <c r="B18" s="43" t="s">
        <v>74</v>
      </c>
      <c r="C18" s="12"/>
      <c r="D18" s="12"/>
      <c r="E18" s="12"/>
      <c r="F18" s="12"/>
      <c r="G18" s="12"/>
      <c r="H18" s="12"/>
      <c r="I18" s="12"/>
      <c r="J18" s="88"/>
    </row>
    <row r="19" spans="1:10" ht="45.75" customHeight="1" thickBot="1">
      <c r="A19" s="267" t="s">
        <v>213</v>
      </c>
      <c r="B19" s="265"/>
      <c r="C19" s="310" t="s">
        <v>214</v>
      </c>
      <c r="D19" s="310"/>
      <c r="E19" s="310"/>
      <c r="F19" s="310"/>
      <c r="G19" s="310"/>
      <c r="H19" s="90"/>
      <c r="I19" s="90"/>
      <c r="J19" s="91"/>
    </row>
    <row r="20" spans="1:10" ht="64.5" customHeight="1" thickBot="1">
      <c r="A20" s="94"/>
      <c r="B20" s="95"/>
      <c r="C20" s="311"/>
      <c r="D20" s="311"/>
      <c r="E20" s="311"/>
      <c r="F20" s="311"/>
      <c r="G20" s="311"/>
      <c r="H20" s="92"/>
      <c r="I20" s="92"/>
      <c r="J20" s="93"/>
    </row>
    <row r="21" spans="1:10">
      <c r="G21" s="59"/>
      <c r="H21" s="59"/>
      <c r="I21" s="59"/>
    </row>
    <row r="22" spans="1:10">
      <c r="G22" s="59"/>
      <c r="H22" s="59"/>
      <c r="I22" s="59"/>
    </row>
  </sheetData>
  <sheetProtection algorithmName="SHA-512" hashValue="eftZj2FCx9xr6fg2TY0onQJiKt4RyMNktsy44dCFD2njnbSd+jtp5ScIvjXl13rohgr4p4N3nUGMqHQUyrwOyw==" saltValue="ghZquJm538FMn2aIrY73WA==" spinCount="100000" sheet="1" objects="1" scenarios="1"/>
  <mergeCells count="4">
    <mergeCell ref="A1:J5"/>
    <mergeCell ref="A14:J14"/>
    <mergeCell ref="C19:G20"/>
    <mergeCell ref="A15:B15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ACA7A-6D50-4A9D-B633-EE9F6A8AEC8C}">
  <sheetPr codeName="Feuil11"/>
  <dimension ref="A1:Q11"/>
  <sheetViews>
    <sheetView workbookViewId="0">
      <selection activeCell="E22" sqref="E22"/>
    </sheetView>
  </sheetViews>
  <sheetFormatPr baseColWidth="10" defaultRowHeight="15"/>
  <cols>
    <col min="2" max="2" width="29.7109375" customWidth="1"/>
    <col min="3" max="4" width="17.85546875" bestFit="1" customWidth="1"/>
    <col min="6" max="6" width="17.85546875" bestFit="1" customWidth="1"/>
  </cols>
  <sheetData>
    <row r="1" spans="1:17" ht="15.75" thickBot="1"/>
    <row r="2" spans="1:17">
      <c r="A2" s="435" t="s">
        <v>83</v>
      </c>
      <c r="B2" s="436"/>
      <c r="C2" s="436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  <c r="O2" s="436"/>
      <c r="P2" s="436"/>
      <c r="Q2" s="437"/>
    </row>
    <row r="3" spans="1:17">
      <c r="A3" s="438"/>
      <c r="B3" s="439"/>
      <c r="C3" s="439"/>
      <c r="D3" s="439"/>
      <c r="E3" s="439"/>
      <c r="F3" s="439"/>
      <c r="G3" s="439"/>
      <c r="H3" s="440"/>
      <c r="I3" s="440"/>
      <c r="J3" s="439"/>
      <c r="K3" s="440"/>
      <c r="L3" s="440"/>
      <c r="M3" s="439"/>
      <c r="N3" s="439"/>
      <c r="O3" s="439"/>
      <c r="P3" s="439"/>
      <c r="Q3" s="441"/>
    </row>
    <row r="4" spans="1:17" ht="31.5">
      <c r="A4" s="89"/>
      <c r="B4" s="219"/>
      <c r="C4" s="201" t="s">
        <v>23</v>
      </c>
      <c r="D4" s="201" t="s">
        <v>84</v>
      </c>
      <c r="E4" s="201" t="s">
        <v>25</v>
      </c>
      <c r="F4" s="201" t="s">
        <v>89</v>
      </c>
      <c r="G4" s="12"/>
      <c r="H4" s="442" t="s">
        <v>86</v>
      </c>
      <c r="I4" s="442"/>
      <c r="J4" s="12"/>
      <c r="K4" s="442" t="s">
        <v>90</v>
      </c>
      <c r="L4" s="442"/>
      <c r="M4" s="12"/>
      <c r="N4" s="12"/>
      <c r="O4" s="12"/>
      <c r="P4" s="12"/>
      <c r="Q4" s="88"/>
    </row>
    <row r="5" spans="1:17">
      <c r="A5" s="89"/>
      <c r="B5" s="87" t="s">
        <v>6</v>
      </c>
      <c r="C5" s="214"/>
      <c r="D5" s="214"/>
      <c r="E5" s="214"/>
      <c r="F5" s="215"/>
      <c r="G5" s="220"/>
      <c r="H5" s="434" t="s">
        <v>271</v>
      </c>
      <c r="I5" s="434"/>
      <c r="J5" s="220"/>
      <c r="K5" s="434" t="s">
        <v>271</v>
      </c>
      <c r="L5" s="434"/>
      <c r="M5" s="12"/>
      <c r="N5" s="12"/>
      <c r="O5" s="12"/>
      <c r="P5" s="12"/>
      <c r="Q5" s="88"/>
    </row>
    <row r="6" spans="1:17">
      <c r="A6" s="89"/>
      <c r="B6" s="87" t="s">
        <v>5</v>
      </c>
      <c r="C6" s="214" t="s">
        <v>271</v>
      </c>
      <c r="D6" s="214" t="s">
        <v>271</v>
      </c>
      <c r="E6" s="214"/>
      <c r="F6" s="215"/>
      <c r="G6" s="220"/>
      <c r="H6" s="434" t="s">
        <v>271</v>
      </c>
      <c r="I6" s="434"/>
      <c r="J6" s="220"/>
      <c r="K6" s="434" t="s">
        <v>271</v>
      </c>
      <c r="L6" s="434"/>
      <c r="M6" s="12"/>
      <c r="N6" s="12"/>
      <c r="O6" s="12"/>
      <c r="P6" s="12"/>
      <c r="Q6" s="88"/>
    </row>
    <row r="7" spans="1:17">
      <c r="A7" s="89"/>
      <c r="B7" s="87" t="s">
        <v>82</v>
      </c>
      <c r="C7" s="214">
        <v>10</v>
      </c>
      <c r="D7" s="214"/>
      <c r="E7" s="214"/>
      <c r="F7" s="215"/>
      <c r="G7" s="220"/>
      <c r="H7" s="434"/>
      <c r="I7" s="434"/>
      <c r="J7" s="220"/>
      <c r="K7" s="434"/>
      <c r="L7" s="434"/>
      <c r="M7" s="12"/>
      <c r="N7" s="12"/>
      <c r="O7" s="12"/>
      <c r="P7" s="12"/>
      <c r="Q7" s="88"/>
    </row>
    <row r="8" spans="1:17">
      <c r="A8" s="89"/>
      <c r="B8" s="87" t="s">
        <v>85</v>
      </c>
      <c r="C8" s="214"/>
      <c r="D8" s="214"/>
      <c r="E8" s="214"/>
      <c r="F8" s="215"/>
      <c r="G8" s="220"/>
      <c r="H8" s="434"/>
      <c r="I8" s="434"/>
      <c r="J8" s="220"/>
      <c r="K8" s="434"/>
      <c r="L8" s="434"/>
      <c r="M8" s="12"/>
      <c r="N8" s="12"/>
      <c r="O8" s="12"/>
      <c r="P8" s="12"/>
      <c r="Q8" s="88"/>
    </row>
    <row r="9" spans="1:17">
      <c r="A9" s="89"/>
      <c r="B9" s="87" t="s">
        <v>87</v>
      </c>
      <c r="C9" s="214">
        <v>1</v>
      </c>
      <c r="D9" s="214">
        <v>1</v>
      </c>
      <c r="E9" s="214"/>
      <c r="F9" s="215"/>
      <c r="G9" s="220"/>
      <c r="H9" s="214"/>
      <c r="I9" s="214"/>
      <c r="J9" s="220"/>
      <c r="K9" s="215"/>
      <c r="L9" s="215"/>
      <c r="M9" s="12"/>
      <c r="N9" s="12"/>
      <c r="O9" s="12"/>
      <c r="P9" s="12"/>
      <c r="Q9" s="88"/>
    </row>
    <row r="10" spans="1:17">
      <c r="A10" s="89"/>
      <c r="B10" s="87" t="s">
        <v>88</v>
      </c>
      <c r="C10" s="214">
        <v>1</v>
      </c>
      <c r="D10" s="214"/>
      <c r="E10" s="214"/>
      <c r="F10" s="214" t="s">
        <v>271</v>
      </c>
      <c r="G10" s="220"/>
      <c r="H10" s="214"/>
      <c r="I10" s="214"/>
      <c r="J10" s="220"/>
      <c r="K10" s="215"/>
      <c r="L10" s="215"/>
      <c r="M10" s="12"/>
      <c r="N10" s="12"/>
      <c r="O10" s="12"/>
      <c r="P10" s="12"/>
      <c r="Q10" s="88"/>
    </row>
    <row r="11" spans="1:17" ht="15.75" thickBot="1">
      <c r="A11" s="94"/>
      <c r="B11" s="216" t="s">
        <v>181</v>
      </c>
      <c r="C11" s="217">
        <v>5</v>
      </c>
      <c r="D11" s="218"/>
      <c r="E11" s="218"/>
      <c r="F11" s="218"/>
      <c r="G11" s="221"/>
      <c r="H11" s="218"/>
      <c r="I11" s="218"/>
      <c r="J11" s="221"/>
      <c r="K11" s="218"/>
      <c r="L11" s="218"/>
      <c r="M11" s="95"/>
      <c r="N11" s="95"/>
      <c r="O11" s="95"/>
      <c r="P11" s="95"/>
      <c r="Q11" s="96"/>
    </row>
  </sheetData>
  <sheetProtection algorithmName="SHA-512" hashValue="NLd2t9yB6M8I3w7XcsaZAgBH8jcw6Oq487HiK9o4HrszG+fgnVcPWkTaaTw8gmQ3CVjbLGaO9OpZzVZv5BdACA==" saltValue="tAW+LiCURxi68iIGp0SXDw==" spinCount="100000" sheet="1" objects="1" scenarios="1"/>
  <mergeCells count="11">
    <mergeCell ref="K8:L8"/>
    <mergeCell ref="A2:Q3"/>
    <mergeCell ref="H4:I4"/>
    <mergeCell ref="H5:I5"/>
    <mergeCell ref="H6:I6"/>
    <mergeCell ref="H7:I7"/>
    <mergeCell ref="H8:I8"/>
    <mergeCell ref="K4:L4"/>
    <mergeCell ref="K5:L5"/>
    <mergeCell ref="K6:L6"/>
    <mergeCell ref="K7:L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/>
  <dimension ref="A1:AB35"/>
  <sheetViews>
    <sheetView zoomScale="85" zoomScaleNormal="85" workbookViewId="0">
      <selection activeCell="L7" sqref="L7"/>
    </sheetView>
  </sheetViews>
  <sheetFormatPr baseColWidth="10" defaultColWidth="9.140625" defaultRowHeight="15"/>
  <cols>
    <col min="1" max="1" width="27.5703125" customWidth="1"/>
    <col min="2" max="2" width="16.140625" customWidth="1"/>
    <col min="3" max="3" width="35.28515625" customWidth="1"/>
    <col min="4" max="4" width="15.42578125" bestFit="1" customWidth="1"/>
    <col min="5" max="5" width="13.7109375" customWidth="1"/>
    <col min="8" max="8" width="12.85546875" customWidth="1"/>
    <col min="9" max="9" width="12" customWidth="1"/>
    <col min="10" max="10" width="12.140625" customWidth="1"/>
    <col min="11" max="11" width="19.7109375" customWidth="1"/>
    <col min="12" max="12" width="26.140625" customWidth="1"/>
    <col min="13" max="13" width="26.140625" hidden="1" customWidth="1"/>
    <col min="18" max="18" width="13.85546875" bestFit="1" customWidth="1"/>
    <col min="19" max="19" width="24" bestFit="1" customWidth="1"/>
    <col min="20" max="20" width="24" customWidth="1"/>
    <col min="21" max="21" width="8.28515625" customWidth="1"/>
    <col min="22" max="22" width="11.28515625" customWidth="1"/>
  </cols>
  <sheetData>
    <row r="1" spans="1:28" ht="14.45" customHeight="1">
      <c r="A1" s="331" t="s">
        <v>217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3"/>
      <c r="O1" s="331" t="s">
        <v>31</v>
      </c>
      <c r="P1" s="332"/>
      <c r="Q1" s="332"/>
      <c r="R1" s="332"/>
      <c r="S1" s="332"/>
      <c r="T1" s="332"/>
      <c r="U1" s="332"/>
      <c r="V1" s="332"/>
      <c r="W1" s="332"/>
      <c r="X1" s="333"/>
    </row>
    <row r="2" spans="1:28" ht="14.45" customHeight="1">
      <c r="A2" s="329"/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4"/>
      <c r="O2" s="329"/>
      <c r="P2" s="330"/>
      <c r="Q2" s="330"/>
      <c r="R2" s="330"/>
      <c r="S2" s="330"/>
      <c r="T2" s="330"/>
      <c r="U2" s="330"/>
      <c r="V2" s="330"/>
      <c r="W2" s="330"/>
      <c r="X2" s="334"/>
    </row>
    <row r="3" spans="1:28" ht="14.45" customHeight="1">
      <c r="A3" s="329"/>
      <c r="B3" s="330"/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4"/>
      <c r="O3" s="329"/>
      <c r="P3" s="330"/>
      <c r="Q3" s="330"/>
      <c r="R3" s="330"/>
      <c r="S3" s="330"/>
      <c r="T3" s="330"/>
      <c r="U3" s="330"/>
      <c r="V3" s="330"/>
      <c r="W3" s="330"/>
      <c r="X3" s="334"/>
    </row>
    <row r="4" spans="1:28" ht="14.45" customHeight="1">
      <c r="A4" s="329"/>
      <c r="B4" s="330"/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4"/>
      <c r="O4" s="329"/>
      <c r="P4" s="330"/>
      <c r="Q4" s="330"/>
      <c r="R4" s="330"/>
      <c r="S4" s="330"/>
      <c r="T4" s="330"/>
      <c r="U4" s="330"/>
      <c r="V4" s="330"/>
      <c r="W4" s="330"/>
      <c r="X4" s="334"/>
    </row>
    <row r="5" spans="1:28" ht="33" customHeight="1" thickBot="1">
      <c r="A5" s="335"/>
      <c r="B5" s="336"/>
      <c r="C5" s="336"/>
      <c r="D5" s="336"/>
      <c r="E5" s="336"/>
      <c r="F5" s="336"/>
      <c r="G5" s="336"/>
      <c r="H5" s="336"/>
      <c r="I5" s="336"/>
      <c r="J5" s="336"/>
      <c r="K5" s="336"/>
      <c r="L5" s="336"/>
      <c r="M5" s="336"/>
      <c r="N5" s="337"/>
      <c r="O5" s="335"/>
      <c r="P5" s="336"/>
      <c r="Q5" s="336"/>
      <c r="R5" s="336"/>
      <c r="S5" s="336"/>
      <c r="T5" s="336"/>
      <c r="U5" s="336"/>
      <c r="V5" s="336"/>
      <c r="W5" s="336"/>
      <c r="X5" s="337"/>
    </row>
    <row r="6" spans="1:28" ht="58.15" customHeight="1" thickBot="1">
      <c r="A6" s="250" t="s">
        <v>218</v>
      </c>
      <c r="B6" s="1" t="s">
        <v>219</v>
      </c>
      <c r="C6" s="250" t="s">
        <v>220</v>
      </c>
      <c r="D6" s="250" t="s">
        <v>221</v>
      </c>
      <c r="E6" s="250" t="s">
        <v>222</v>
      </c>
      <c r="F6" s="1" t="s">
        <v>223</v>
      </c>
      <c r="G6" s="12"/>
      <c r="H6" s="338" t="s">
        <v>224</v>
      </c>
      <c r="I6" s="339"/>
      <c r="J6" s="12"/>
      <c r="K6" s="340" t="s">
        <v>225</v>
      </c>
      <c r="L6" s="341"/>
      <c r="M6" s="111"/>
      <c r="N6" s="110"/>
      <c r="O6" s="89"/>
      <c r="P6" s="312" t="s">
        <v>75</v>
      </c>
      <c r="Q6" s="313"/>
      <c r="R6" s="16" t="s">
        <v>242</v>
      </c>
      <c r="S6" s="12"/>
      <c r="T6" s="338" t="s">
        <v>243</v>
      </c>
      <c r="U6" s="339"/>
      <c r="V6" s="12"/>
      <c r="W6" s="12"/>
      <c r="X6" s="88"/>
    </row>
    <row r="7" spans="1:28" ht="30.75" thickBot="1">
      <c r="A7" s="45">
        <v>1000</v>
      </c>
      <c r="B7" s="4">
        <f>A7*10</f>
        <v>10000</v>
      </c>
      <c r="C7" s="45"/>
      <c r="D7" s="4">
        <f>IF(C7&gt;0,C7*4,B7*4)</f>
        <v>40000</v>
      </c>
      <c r="E7" s="208"/>
      <c r="F7" s="46"/>
      <c r="G7" s="12"/>
      <c r="H7" s="13" t="s">
        <v>16</v>
      </c>
      <c r="I7" s="47"/>
      <c r="J7" s="12"/>
      <c r="K7" s="17" t="s">
        <v>24</v>
      </c>
      <c r="L7" s="49"/>
      <c r="M7" s="44" t="str">
        <f t="shared" ref="M7:M12" si="0">K7</f>
        <v>Simple
(1 central)</v>
      </c>
      <c r="N7" s="12"/>
      <c r="O7" s="89"/>
      <c r="P7" s="17" t="s">
        <v>26</v>
      </c>
      <c r="Q7" s="51"/>
      <c r="R7" s="52"/>
      <c r="S7" s="12"/>
      <c r="T7" s="14" t="s">
        <v>21</v>
      </c>
      <c r="U7" s="47"/>
      <c r="V7" s="12"/>
      <c r="W7" s="12"/>
      <c r="X7" s="88"/>
    </row>
    <row r="8" spans="1:28" ht="30.75" thickBot="1">
      <c r="A8" s="89"/>
      <c r="B8" s="12"/>
      <c r="C8" s="12"/>
      <c r="D8" s="12"/>
      <c r="E8" s="12"/>
      <c r="F8" s="12"/>
      <c r="G8" s="12"/>
      <c r="H8" s="13" t="s">
        <v>17</v>
      </c>
      <c r="I8" s="47" t="str">
        <f>IF(I7="X","X"," ")</f>
        <v xml:space="preserve"> </v>
      </c>
      <c r="J8" s="12"/>
      <c r="K8" s="14" t="s">
        <v>226</v>
      </c>
      <c r="L8" s="50" t="s">
        <v>284</v>
      </c>
      <c r="M8" s="44" t="str">
        <f t="shared" si="0"/>
        <v>Distributed
(1 central + X pollers)</v>
      </c>
      <c r="N8" s="12"/>
      <c r="O8" s="89"/>
      <c r="P8" s="14" t="s">
        <v>27</v>
      </c>
      <c r="Q8" s="47"/>
      <c r="R8" s="53"/>
      <c r="S8" s="12"/>
      <c r="T8" s="15" t="s">
        <v>22</v>
      </c>
      <c r="U8" s="48"/>
      <c r="V8" s="12"/>
      <c r="W8" s="12"/>
      <c r="X8" s="88"/>
    </row>
    <row r="9" spans="1:28" ht="60.75" thickBot="1">
      <c r="A9" s="12"/>
      <c r="B9" s="12"/>
      <c r="C9" s="12"/>
      <c r="D9" s="12"/>
      <c r="E9" s="12"/>
      <c r="F9" s="12"/>
      <c r="G9" s="12"/>
      <c r="H9" s="13" t="s">
        <v>18</v>
      </c>
      <c r="I9" s="47" t="str">
        <f>IF(I7="X","X"," ")</f>
        <v xml:space="preserve"> </v>
      </c>
      <c r="J9" s="12"/>
      <c r="K9" s="14" t="s">
        <v>279</v>
      </c>
      <c r="L9" s="47"/>
      <c r="M9" s="44" t="str">
        <f t="shared" si="0"/>
        <v>Distributed with remote Database
(1 central + 1 DB + X pollers)</v>
      </c>
      <c r="N9" s="12"/>
      <c r="O9" s="89"/>
      <c r="P9" s="15" t="s">
        <v>241</v>
      </c>
      <c r="Q9" s="48"/>
      <c r="R9" s="54"/>
      <c r="S9" s="12"/>
      <c r="T9" s="12"/>
      <c r="U9" s="12"/>
      <c r="V9" s="12"/>
      <c r="W9" s="12"/>
      <c r="X9" s="88"/>
    </row>
    <row r="10" spans="1:28" ht="42.75" customHeight="1" thickBot="1">
      <c r="A10" s="191" t="s">
        <v>230</v>
      </c>
      <c r="B10" s="191" t="s">
        <v>231</v>
      </c>
      <c r="C10" s="191" t="s">
        <v>232</v>
      </c>
      <c r="D10" s="16" t="s">
        <v>233</v>
      </c>
      <c r="E10" s="12"/>
      <c r="F10" s="12"/>
      <c r="G10" s="12"/>
      <c r="H10" s="13" t="s">
        <v>19</v>
      </c>
      <c r="I10" s="47" t="str">
        <f>IF(I7="X","X"," ")</f>
        <v xml:space="preserve"> </v>
      </c>
      <c r="J10" s="12"/>
      <c r="K10" s="14" t="s">
        <v>227</v>
      </c>
      <c r="L10" s="47"/>
      <c r="M10" s="44" t="str">
        <f t="shared" si="0"/>
        <v>Distributed
with remote DB replicated</v>
      </c>
      <c r="N10" s="12"/>
      <c r="O10" s="89"/>
      <c r="P10" s="12"/>
      <c r="Q10" s="12"/>
      <c r="R10" s="12"/>
      <c r="S10" s="12"/>
      <c r="T10" s="12"/>
      <c r="U10" s="12"/>
      <c r="V10" s="12"/>
      <c r="W10" s="12"/>
      <c r="X10" s="88"/>
    </row>
    <row r="11" spans="1:28" ht="30.75" thickBot="1">
      <c r="A11" s="186" t="s">
        <v>176</v>
      </c>
      <c r="B11" s="55" t="s">
        <v>284</v>
      </c>
      <c r="C11" s="211">
        <f>ROUNDUP(IF(AND(B11="X",B12="X"),IF(C7&gt;0,IF(Architecture!C7&lt;=2000,"0",IF(C7&gt;2000,ROUNDUP(C7/7500,0))),IF(Architecture!B7&lt;=2000,"0",IF(B7&gt;2000,ROUNDUP(B7/7500,0))))/2,IF(B11="X",IF(C7&gt;0,IF(Architecture!C7&lt;=2000,"0",IF(C7&gt;2000,ROUNDUP(C7/7500,0))),IF(Architecture!B7&lt;=2000,"0",IF(B7&gt;2000,ROUNDUP(B7/7500,0)))),0)),0)</f>
        <v>2</v>
      </c>
      <c r="D11" s="187"/>
      <c r="E11" s="12"/>
      <c r="F11" s="12"/>
      <c r="G11" s="12"/>
      <c r="H11" s="18" t="s">
        <v>20</v>
      </c>
      <c r="I11" s="48" t="str">
        <f>IF(I7="X","X"," ")</f>
        <v xml:space="preserve"> </v>
      </c>
      <c r="J11" s="12"/>
      <c r="K11" s="14" t="s">
        <v>228</v>
      </c>
      <c r="L11" s="47"/>
      <c r="M11" s="44" t="str">
        <f t="shared" si="0"/>
        <v>High Availibility  3 servers</v>
      </c>
      <c r="N11" s="12"/>
      <c r="O11" s="89"/>
      <c r="P11" s="12"/>
      <c r="Q11" s="12"/>
      <c r="R11" s="12"/>
      <c r="S11" s="12"/>
      <c r="T11" s="12"/>
      <c r="U11" s="12"/>
      <c r="V11" s="12"/>
      <c r="W11" s="12"/>
      <c r="X11" s="88"/>
      <c r="AB11" s="27"/>
    </row>
    <row r="12" spans="1:28" ht="28.9" customHeight="1" thickBot="1">
      <c r="A12" s="209" t="s">
        <v>275</v>
      </c>
      <c r="B12" s="55"/>
      <c r="C12" s="211">
        <f>ROUNDUP(IF(AND(B11="X",B12="X"),IF(C7&gt;0,IF(Architecture!C7&lt;=2000,"0",IF(C7&gt;2000,ROUNDUP(C7/7500,0))),IF(Architecture!B7&lt;=2000,"0",IF(B7&gt;2000,ROUNDUP(B7/7500,0))))/2,IF(B12="X",IF(C7&gt;0,IF(Architecture!C7&lt;=2000,"0",IF(C7&gt;2000,ROUNDUP(C7/7500,0))),IF(Architecture!B7&lt;=2000,"0",IF(B7&gt;2000,ROUNDUP(B7/7500,0)))),0)),0)</f>
        <v>0</v>
      </c>
      <c r="D12" s="187"/>
      <c r="E12" s="12"/>
      <c r="F12" s="12"/>
      <c r="G12" s="12"/>
      <c r="H12" s="12"/>
      <c r="I12" s="12"/>
      <c r="J12" s="12"/>
      <c r="K12" s="15" t="s">
        <v>229</v>
      </c>
      <c r="L12" s="48"/>
      <c r="M12" s="44" t="str">
        <f t="shared" si="0"/>
        <v>High Availibility  5 servers</v>
      </c>
      <c r="N12" s="12"/>
      <c r="O12" s="89"/>
      <c r="P12" s="12"/>
      <c r="Q12" s="12"/>
      <c r="R12" s="12"/>
      <c r="S12" s="12"/>
      <c r="T12" s="12"/>
      <c r="U12" s="12"/>
      <c r="V12" s="12"/>
      <c r="W12" s="12"/>
      <c r="X12" s="88"/>
    </row>
    <row r="13" spans="1:28" ht="28.9" customHeight="1" thickBot="1">
      <c r="A13" s="210" t="s">
        <v>234</v>
      </c>
      <c r="B13" s="56" t="s">
        <v>0</v>
      </c>
      <c r="C13" s="212"/>
      <c r="D13" s="213"/>
      <c r="E13" s="12"/>
      <c r="F13" s="12"/>
      <c r="G13" s="12"/>
      <c r="H13" s="12"/>
      <c r="I13" s="12"/>
      <c r="J13" s="12"/>
      <c r="K13" s="12"/>
      <c r="L13" s="12"/>
      <c r="M13" s="44"/>
      <c r="N13" s="12"/>
      <c r="O13" s="89"/>
      <c r="P13" s="12"/>
      <c r="Q13" s="12"/>
      <c r="R13" s="12"/>
      <c r="S13" s="12"/>
      <c r="T13" s="12"/>
      <c r="U13" s="12"/>
      <c r="V13" s="12"/>
      <c r="W13" s="12"/>
      <c r="X13" s="88"/>
    </row>
    <row r="14" spans="1:28" ht="19.5" thickBot="1">
      <c r="A14" s="312" t="str">
        <f>IF(B13="X","Total Poller/remote server/central","Total Poller/remote server")</f>
        <v>Total Poller/remote server/central</v>
      </c>
      <c r="B14" s="313"/>
      <c r="C14" s="323">
        <f>IF(B13="X",1,0)+IF(D11="",C11,D11)+IF(D12="",C12,D12)</f>
        <v>3</v>
      </c>
      <c r="D14" s="324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89"/>
      <c r="P14" s="12"/>
      <c r="Q14" s="12"/>
      <c r="R14" s="12"/>
      <c r="S14" s="12"/>
      <c r="T14" s="12"/>
      <c r="U14" s="12"/>
      <c r="V14" s="12"/>
      <c r="W14" s="12"/>
      <c r="X14" s="88"/>
    </row>
    <row r="15" spans="1:28" ht="36.6" customHeight="1" thickBot="1">
      <c r="A15" s="327" t="str">
        <f>IF(B13="X","Total services by Poller/remote server/central","Total services by Poller/remote server")</f>
        <v>Total services by Poller/remote server/central</v>
      </c>
      <c r="B15" s="328"/>
      <c r="C15" s="325">
        <f>IF(C7="",B7/(C14),C7/(C14))</f>
        <v>3333.3333333333335</v>
      </c>
      <c r="D15" s="326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89"/>
      <c r="P15" s="12"/>
      <c r="Q15" s="12"/>
      <c r="R15" s="12"/>
      <c r="S15" s="12"/>
      <c r="T15" s="12"/>
      <c r="U15" s="12"/>
      <c r="V15" s="12"/>
      <c r="W15" s="12"/>
      <c r="X15" s="88"/>
    </row>
    <row r="16" spans="1:28" ht="17.45" customHeight="1">
      <c r="A16" s="189"/>
      <c r="B16" s="12"/>
      <c r="C16" s="12"/>
      <c r="D16" s="12"/>
      <c r="E16" s="189"/>
      <c r="F16" s="12"/>
      <c r="G16" s="12"/>
      <c r="H16" s="12"/>
      <c r="I16" s="12"/>
      <c r="J16" s="12"/>
      <c r="K16" s="12"/>
      <c r="L16" s="12"/>
      <c r="M16" s="12"/>
      <c r="N16" s="12"/>
      <c r="O16" s="89"/>
      <c r="P16" s="12"/>
      <c r="Q16" s="12"/>
      <c r="R16" s="12"/>
      <c r="S16" s="12"/>
      <c r="T16" s="12"/>
      <c r="U16" s="12"/>
      <c r="V16" s="12"/>
      <c r="W16" s="12"/>
      <c r="X16" s="88"/>
    </row>
    <row r="17" spans="1:24">
      <c r="A17" s="89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89"/>
      <c r="P17" s="12"/>
      <c r="Q17" s="12"/>
      <c r="R17" s="12"/>
      <c r="S17" s="12"/>
      <c r="T17" s="12"/>
      <c r="U17" s="12"/>
      <c r="V17" s="12"/>
      <c r="W17" s="12"/>
      <c r="X17" s="88"/>
    </row>
    <row r="18" spans="1:24" ht="42" customHeight="1">
      <c r="A18" s="329" t="s">
        <v>174</v>
      </c>
      <c r="B18" s="330"/>
      <c r="C18" s="330"/>
      <c r="D18" s="330"/>
      <c r="E18" s="330"/>
      <c r="F18" s="330"/>
      <c r="G18" s="330"/>
      <c r="H18" s="330"/>
      <c r="I18" s="330"/>
      <c r="J18" s="330"/>
      <c r="K18" s="330"/>
      <c r="L18" s="330"/>
      <c r="M18" s="330"/>
      <c r="N18" s="330"/>
      <c r="O18" s="89"/>
      <c r="P18" s="12"/>
      <c r="Q18" s="12"/>
      <c r="R18" s="12"/>
      <c r="S18" s="12"/>
      <c r="T18" s="12"/>
      <c r="U18" s="12"/>
      <c r="V18" s="12"/>
      <c r="W18" s="12"/>
      <c r="X18" s="88"/>
    </row>
    <row r="19" spans="1:24" ht="21" customHeight="1" thickBot="1">
      <c r="A19" s="329"/>
      <c r="B19" s="330"/>
      <c r="C19" s="330"/>
      <c r="D19" s="330"/>
      <c r="E19" s="330"/>
      <c r="F19" s="330"/>
      <c r="G19" s="330"/>
      <c r="H19" s="330"/>
      <c r="I19" s="330"/>
      <c r="J19" s="330"/>
      <c r="K19" s="330"/>
      <c r="L19" s="330"/>
      <c r="M19" s="330"/>
      <c r="N19" s="330"/>
      <c r="O19" s="89"/>
      <c r="P19" s="12"/>
      <c r="Q19" s="12"/>
      <c r="R19" s="12"/>
      <c r="S19" s="12"/>
      <c r="T19" s="12"/>
      <c r="U19" s="12"/>
      <c r="V19" s="12"/>
      <c r="W19" s="12"/>
      <c r="X19" s="88"/>
    </row>
    <row r="20" spans="1:24" ht="31.9" customHeight="1" thickBot="1">
      <c r="A20" s="320" t="s">
        <v>235</v>
      </c>
      <c r="B20" s="321"/>
      <c r="C20" s="321"/>
      <c r="D20" s="322"/>
      <c r="E20" s="1" t="s">
        <v>236</v>
      </c>
      <c r="F20" s="12"/>
      <c r="G20" s="12"/>
      <c r="H20" s="12"/>
      <c r="I20" s="12"/>
      <c r="J20" s="12"/>
      <c r="K20" s="12"/>
      <c r="L20" s="12"/>
      <c r="M20" s="12"/>
      <c r="N20" s="12"/>
      <c r="O20" s="89"/>
      <c r="P20" s="12"/>
      <c r="Q20" s="12"/>
      <c r="R20" s="12"/>
      <c r="S20" s="12"/>
      <c r="T20" s="12"/>
      <c r="U20" s="12"/>
      <c r="V20" s="12"/>
      <c r="W20" s="12"/>
      <c r="X20" s="88"/>
    </row>
    <row r="21" spans="1:24" ht="21" customHeight="1" thickBot="1">
      <c r="A21" s="314" t="s">
        <v>238</v>
      </c>
      <c r="B21" s="315"/>
      <c r="C21" s="316"/>
      <c r="D21" s="52">
        <v>12</v>
      </c>
      <c r="E21" s="29">
        <f>(D21/12)*365</f>
        <v>365</v>
      </c>
      <c r="F21" s="12"/>
      <c r="G21" s="12"/>
      <c r="H21" s="12"/>
      <c r="I21" s="12"/>
      <c r="J21" s="12"/>
      <c r="K21" s="12"/>
      <c r="L21" s="12"/>
      <c r="M21" s="12"/>
      <c r="N21" s="12"/>
      <c r="O21" s="89"/>
      <c r="P21" s="12"/>
      <c r="Q21" s="12"/>
      <c r="R21" s="12"/>
      <c r="S21" s="12"/>
      <c r="T21" s="12"/>
      <c r="U21" s="12"/>
      <c r="V21" s="12"/>
      <c r="W21" s="12"/>
      <c r="X21" s="88"/>
    </row>
    <row r="22" spans="1:24" ht="15.75" thickBot="1">
      <c r="A22" s="314" t="s">
        <v>239</v>
      </c>
      <c r="B22" s="315"/>
      <c r="C22" s="316"/>
      <c r="D22" s="53">
        <v>12</v>
      </c>
      <c r="E22" s="29">
        <f>(D22/12)*365</f>
        <v>365</v>
      </c>
      <c r="F22" s="12"/>
      <c r="G22" s="12"/>
      <c r="H22" s="12"/>
      <c r="I22" s="12"/>
      <c r="J22" s="12"/>
      <c r="K22" s="12"/>
      <c r="L22" s="12"/>
      <c r="M22" s="12"/>
      <c r="N22" s="12"/>
      <c r="O22" s="89"/>
      <c r="P22" s="12"/>
      <c r="Q22" s="12"/>
      <c r="R22" s="12"/>
      <c r="S22" s="12"/>
      <c r="T22" s="12"/>
      <c r="U22" s="12"/>
      <c r="V22" s="12"/>
      <c r="W22" s="12"/>
      <c r="X22" s="88"/>
    </row>
    <row r="23" spans="1:24" ht="15.75" thickBot="1">
      <c r="A23" s="314" t="s">
        <v>240</v>
      </c>
      <c r="B23" s="315"/>
      <c r="C23" s="316"/>
      <c r="D23" s="53">
        <v>12</v>
      </c>
      <c r="E23" s="29">
        <f>(D23/12)*365</f>
        <v>365</v>
      </c>
      <c r="F23" s="12"/>
      <c r="G23" s="12"/>
      <c r="H23" s="12"/>
      <c r="I23" s="12"/>
      <c r="J23" s="12"/>
      <c r="K23" s="12"/>
      <c r="L23" s="12"/>
      <c r="M23" s="12"/>
      <c r="N23" s="12"/>
      <c r="O23" s="89"/>
      <c r="P23" s="12"/>
      <c r="Q23" s="12"/>
      <c r="R23" s="12"/>
      <c r="S23" s="12"/>
      <c r="T23" s="12"/>
      <c r="U23" s="12"/>
      <c r="V23" s="12"/>
      <c r="W23" s="12"/>
      <c r="X23" s="88"/>
    </row>
    <row r="24" spans="1:24" ht="15.75" thickBot="1">
      <c r="A24" s="317" t="s">
        <v>237</v>
      </c>
      <c r="B24" s="318"/>
      <c r="C24" s="319"/>
      <c r="D24" s="54">
        <v>12</v>
      </c>
      <c r="E24" s="29">
        <f>(D24/12)*365</f>
        <v>365</v>
      </c>
      <c r="F24" s="12"/>
      <c r="G24" s="12"/>
      <c r="H24" s="12"/>
      <c r="I24" s="12"/>
      <c r="J24" s="12"/>
      <c r="K24" s="12"/>
      <c r="L24" s="12"/>
      <c r="M24" s="12"/>
      <c r="N24" s="12"/>
      <c r="O24" s="89"/>
      <c r="P24" s="12"/>
      <c r="Q24" s="12"/>
      <c r="R24" s="12"/>
      <c r="S24" s="12"/>
      <c r="T24" s="12"/>
      <c r="U24" s="12"/>
      <c r="V24" s="12"/>
      <c r="W24" s="12"/>
      <c r="X24" s="88"/>
    </row>
    <row r="25" spans="1:24">
      <c r="F25" s="12"/>
      <c r="G25" s="12"/>
      <c r="H25" s="12"/>
      <c r="I25" s="12"/>
      <c r="J25" s="12"/>
      <c r="K25" s="12"/>
      <c r="L25" s="12"/>
      <c r="M25" s="12"/>
      <c r="N25" s="12"/>
      <c r="O25" s="89"/>
      <c r="P25" s="12"/>
      <c r="Q25" s="12"/>
      <c r="R25" s="12"/>
      <c r="S25" s="12"/>
      <c r="T25" s="12"/>
      <c r="U25" s="12"/>
      <c r="V25" s="12"/>
      <c r="W25" s="12"/>
      <c r="X25" s="88"/>
    </row>
    <row r="26" spans="1:24" ht="14.45" customHeight="1">
      <c r="A26" s="89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82"/>
      <c r="P26" s="183"/>
      <c r="Q26" s="183"/>
      <c r="R26" s="12"/>
      <c r="S26" s="12"/>
      <c r="T26" s="12"/>
      <c r="U26" s="12"/>
      <c r="V26" s="12"/>
      <c r="W26" s="12"/>
      <c r="X26" s="88"/>
    </row>
    <row r="27" spans="1:24" ht="14.45" customHeight="1" thickBot="1">
      <c r="A27" s="94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184"/>
      <c r="P27" s="185"/>
      <c r="Q27" s="185"/>
      <c r="R27" s="95"/>
      <c r="S27" s="95"/>
      <c r="T27" s="95"/>
      <c r="U27" s="95"/>
      <c r="V27" s="95"/>
      <c r="W27" s="95"/>
      <c r="X27" s="96"/>
    </row>
    <row r="28" spans="1:24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</row>
    <row r="29" spans="1:24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</row>
    <row r="30" spans="1:24"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</row>
    <row r="31" spans="1:24"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</row>
    <row r="32" spans="1:24"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</row>
    <row r="33" spans="5:8">
      <c r="G33" s="86"/>
      <c r="H33" s="86"/>
    </row>
    <row r="34" spans="5:8">
      <c r="E34" s="86"/>
      <c r="G34" s="86"/>
      <c r="H34" s="86"/>
    </row>
    <row r="35" spans="5:8">
      <c r="E35" s="86"/>
      <c r="G35" s="86"/>
      <c r="H35" s="86"/>
    </row>
  </sheetData>
  <sheetProtection algorithmName="SHA-512" hashValue="dQ/7Tdau7KLoVRdbnGeu0aZI1/Kw2xmKYnpOt9ZTT6Pj/zRfQNWg7Mp/3hIr+FFHX8SoHuahO6hXoGFaE4vTtA==" saltValue="4tt4TDAmzBzxdtkTJwCiQg==" spinCount="100000" sheet="1" selectLockedCells="1"/>
  <mergeCells count="16">
    <mergeCell ref="A1:N5"/>
    <mergeCell ref="O1:X5"/>
    <mergeCell ref="H6:I6"/>
    <mergeCell ref="K6:L6"/>
    <mergeCell ref="T6:U6"/>
    <mergeCell ref="P6:Q6"/>
    <mergeCell ref="C14:D14"/>
    <mergeCell ref="C15:D15"/>
    <mergeCell ref="A14:B14"/>
    <mergeCell ref="A15:B15"/>
    <mergeCell ref="A18:N19"/>
    <mergeCell ref="A21:C21"/>
    <mergeCell ref="A22:C22"/>
    <mergeCell ref="A23:C23"/>
    <mergeCell ref="A24:C24"/>
    <mergeCell ref="A20:D20"/>
  </mergeCells>
  <conditionalFormatting sqref="C12:C13">
    <cfRule type="cellIs" dxfId="63" priority="5" operator="equal">
      <formula>0</formula>
    </cfRule>
  </conditionalFormatting>
  <conditionalFormatting sqref="C15:D15">
    <cfRule type="cellIs" dxfId="62" priority="3" operator="greaterThan">
      <formula>7500</formula>
    </cfRule>
  </conditionalFormatting>
  <conditionalFormatting sqref="C11">
    <cfRule type="cellIs" dxfId="61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86EF6-6060-491C-A9F5-78E8119D341C}">
  <sheetPr codeName="Feuil3"/>
  <dimension ref="A1:K55"/>
  <sheetViews>
    <sheetView topLeftCell="A7" zoomScale="94" zoomScaleNormal="160" workbookViewId="0">
      <selection activeCell="B12" sqref="B12"/>
    </sheetView>
  </sheetViews>
  <sheetFormatPr baseColWidth="10" defaultColWidth="11.42578125" defaultRowHeight="15" outlineLevelCol="1"/>
  <cols>
    <col min="1" max="1" width="58.140625" style="30" bestFit="1" customWidth="1"/>
    <col min="2" max="2" width="12" style="30" customWidth="1"/>
    <col min="3" max="3" width="20.7109375" style="30" customWidth="1"/>
    <col min="4" max="4" width="18.85546875" style="30" hidden="1" customWidth="1" outlineLevel="1"/>
    <col min="5" max="5" width="19.140625" style="30" hidden="1" customWidth="1" outlineLevel="1"/>
    <col min="6" max="6" width="12.140625" style="30" hidden="1" customWidth="1" outlineLevel="1"/>
    <col min="7" max="7" width="24.42578125" style="30" customWidth="1" collapsed="1"/>
    <col min="8" max="8" width="34.42578125" style="30" bestFit="1" customWidth="1"/>
    <col min="9" max="9" width="4.140625" style="30" bestFit="1" customWidth="1"/>
    <col min="10" max="10" width="19.42578125" style="30" hidden="1" customWidth="1"/>
    <col min="11" max="11" width="19.140625" style="30" customWidth="1"/>
    <col min="12" max="16384" width="11.42578125" style="30"/>
  </cols>
  <sheetData>
    <row r="1" spans="1:11">
      <c r="A1" s="99"/>
      <c r="B1" s="100"/>
      <c r="C1" s="100"/>
      <c r="D1" s="100"/>
      <c r="E1" s="100"/>
      <c r="F1" s="100"/>
      <c r="G1" s="101"/>
      <c r="J1" s="39" t="s">
        <v>71</v>
      </c>
    </row>
    <row r="2" spans="1:11">
      <c r="A2" s="102"/>
      <c r="B2" s="103"/>
      <c r="C2" s="103"/>
      <c r="D2" s="103"/>
      <c r="E2" s="103"/>
      <c r="F2" s="103"/>
      <c r="G2" s="104"/>
      <c r="J2" s="37" t="s">
        <v>70</v>
      </c>
    </row>
    <row r="3" spans="1:11" ht="15.75" thickBot="1">
      <c r="A3" s="102"/>
      <c r="B3" s="103"/>
      <c r="C3" s="103"/>
      <c r="D3" s="103"/>
      <c r="E3" s="103"/>
      <c r="F3" s="105"/>
      <c r="G3" s="106"/>
      <c r="H3" s="32"/>
      <c r="I3" s="32"/>
      <c r="J3" s="37"/>
      <c r="K3" s="32"/>
    </row>
    <row r="4" spans="1:11">
      <c r="A4" s="16" t="s">
        <v>36</v>
      </c>
      <c r="B4" s="16" t="s">
        <v>37</v>
      </c>
      <c r="C4" s="103"/>
      <c r="D4" s="103"/>
      <c r="E4" s="103"/>
      <c r="F4" s="103"/>
      <c r="G4" s="106"/>
      <c r="H4" s="32"/>
      <c r="I4" s="38"/>
      <c r="J4" s="37" t="s">
        <v>69</v>
      </c>
    </row>
    <row r="5" spans="1:11">
      <c r="A5" s="61" t="s">
        <v>38</v>
      </c>
      <c r="B5" s="63">
        <f>Architecture!A7</f>
        <v>1000</v>
      </c>
      <c r="C5" s="103"/>
      <c r="D5" s="103"/>
      <c r="E5" s="103"/>
      <c r="F5" s="103"/>
      <c r="G5" s="106"/>
      <c r="H5" s="32"/>
      <c r="I5" s="38"/>
      <c r="J5" s="37" t="s">
        <v>68</v>
      </c>
    </row>
    <row r="6" spans="1:11">
      <c r="A6" s="61" t="s">
        <v>39</v>
      </c>
      <c r="B6" s="63">
        <f>'Final sizing'!O3</f>
        <v>10000</v>
      </c>
      <c r="C6" s="103"/>
      <c r="D6" s="103"/>
      <c r="E6" s="103"/>
      <c r="F6" s="103"/>
      <c r="G6" s="106"/>
      <c r="H6" s="32"/>
      <c r="I6" s="38"/>
      <c r="J6" s="37" t="s">
        <v>67</v>
      </c>
    </row>
    <row r="7" spans="1:11">
      <c r="A7" s="61" t="s">
        <v>40</v>
      </c>
      <c r="B7" s="64">
        <v>1</v>
      </c>
      <c r="C7" s="103"/>
      <c r="D7" s="103"/>
      <c r="E7" s="103"/>
      <c r="F7" s="103"/>
      <c r="G7" s="106"/>
      <c r="H7" s="32"/>
      <c r="I7" s="38"/>
      <c r="J7" s="37" t="s">
        <v>66</v>
      </c>
    </row>
    <row r="8" spans="1:11" ht="15.75" thickBot="1">
      <c r="A8" s="61" t="s">
        <v>41</v>
      </c>
      <c r="B8" s="64">
        <v>2</v>
      </c>
      <c r="C8" s="103"/>
      <c r="D8" s="103"/>
      <c r="E8" s="103"/>
      <c r="F8" s="103"/>
      <c r="G8" s="106"/>
      <c r="H8" s="32"/>
      <c r="I8" s="38"/>
      <c r="J8" s="32"/>
    </row>
    <row r="9" spans="1:11" ht="15.75" thickBot="1">
      <c r="A9" s="61" t="s">
        <v>42</v>
      </c>
      <c r="B9" s="64">
        <v>2</v>
      </c>
      <c r="C9" s="103"/>
      <c r="G9" s="1" t="s">
        <v>244</v>
      </c>
      <c r="H9" s="32"/>
      <c r="I9" s="38"/>
      <c r="J9" s="32"/>
    </row>
    <row r="10" spans="1:11">
      <c r="A10" s="61" t="s">
        <v>43</v>
      </c>
      <c r="B10" s="64">
        <v>3</v>
      </c>
      <c r="C10" s="103"/>
      <c r="G10" s="258"/>
      <c r="H10" s="32"/>
      <c r="I10" s="38"/>
      <c r="J10" s="32"/>
    </row>
    <row r="11" spans="1:11">
      <c r="A11" s="61" t="s">
        <v>44</v>
      </c>
      <c r="B11" s="64">
        <v>15</v>
      </c>
      <c r="C11" s="103"/>
      <c r="G11" s="78"/>
      <c r="H11" s="32"/>
      <c r="I11" s="38"/>
      <c r="J11" s="32"/>
    </row>
    <row r="12" spans="1:11">
      <c r="A12" s="61" t="s">
        <v>45</v>
      </c>
      <c r="B12" s="64">
        <v>5</v>
      </c>
      <c r="C12" s="103"/>
      <c r="G12" s="79"/>
    </row>
    <row r="13" spans="1:11">
      <c r="A13" s="61" t="s">
        <v>46</v>
      </c>
      <c r="B13" s="64">
        <f>'Final sizing'!P3/'Final sizing'!O3</f>
        <v>4</v>
      </c>
      <c r="C13" s="103"/>
      <c r="G13" s="79"/>
    </row>
    <row r="14" spans="1:11" ht="15.75" thickBot="1">
      <c r="A14" s="65" t="s">
        <v>47</v>
      </c>
      <c r="B14" s="66">
        <v>5</v>
      </c>
      <c r="C14" s="103"/>
      <c r="G14" s="79"/>
    </row>
    <row r="15" spans="1:11" ht="15.75" thickBot="1">
      <c r="A15" s="102"/>
      <c r="B15" s="103"/>
      <c r="C15" s="103"/>
      <c r="F15" s="76" t="s">
        <v>65</v>
      </c>
      <c r="G15" s="80"/>
    </row>
    <row r="16" spans="1:11" ht="15.75" thickBot="1">
      <c r="A16" s="102"/>
      <c r="B16" s="103"/>
      <c r="C16" s="103"/>
      <c r="E16" s="97"/>
      <c r="F16" s="77">
        <v>2.8</v>
      </c>
      <c r="G16" s="259"/>
    </row>
    <row r="17" spans="1:9" ht="60">
      <c r="A17" s="16" t="s">
        <v>48</v>
      </c>
      <c r="B17" s="16" t="s">
        <v>49</v>
      </c>
      <c r="C17" s="16" t="s">
        <v>50</v>
      </c>
      <c r="D17" s="69" t="s">
        <v>64</v>
      </c>
      <c r="E17" s="36" t="s">
        <v>63</v>
      </c>
      <c r="F17" s="36" t="s">
        <v>62</v>
      </c>
      <c r="G17" s="104"/>
      <c r="H17" s="33"/>
      <c r="I17" s="31"/>
    </row>
    <row r="18" spans="1:9">
      <c r="A18" s="61" t="s">
        <v>51</v>
      </c>
      <c r="B18" s="62">
        <v>30</v>
      </c>
      <c r="C18" s="75">
        <f>((E18*D18)*2)/1024/1024</f>
        <v>9228.515625</v>
      </c>
      <c r="D18" s="67">
        <f>(60/$B$14)*24*B18*$B$6*$B$13</f>
        <v>345600000</v>
      </c>
      <c r="E18" s="34">
        <v>14</v>
      </c>
      <c r="F18" s="34" t="s">
        <v>61</v>
      </c>
      <c r="G18" s="104"/>
      <c r="H18" s="33"/>
      <c r="I18" s="31"/>
    </row>
    <row r="19" spans="1:9">
      <c r="A19" s="61" t="s">
        <v>52</v>
      </c>
      <c r="B19" s="62">
        <v>90</v>
      </c>
      <c r="C19" s="75">
        <f>(E19*D19+F19*D19)/1024/1024</f>
        <v>42583.0078125</v>
      </c>
      <c r="D19" s="67">
        <f>$B$6*$B$7*$B$8*$B$9*$B$13*B19*24</f>
        <v>345600000</v>
      </c>
      <c r="E19" s="34">
        <v>62</v>
      </c>
      <c r="F19" s="34">
        <f>(4+4+4+6+6)*$F$16</f>
        <v>67.199999999999989</v>
      </c>
      <c r="G19" s="104"/>
      <c r="H19" s="33"/>
      <c r="I19" s="31"/>
    </row>
    <row r="20" spans="1:9">
      <c r="A20" s="61" t="s">
        <v>53</v>
      </c>
      <c r="B20" s="62">
        <v>180</v>
      </c>
      <c r="C20" s="75">
        <f>(E20*D20+F20*D20)/1024/1024</f>
        <v>11700.439453125</v>
      </c>
      <c r="D20" s="67">
        <f>$B$6*$B$7*$B$8*$B$9*$B$10*$B$13*B20</f>
        <v>86400000</v>
      </c>
      <c r="E20" s="34">
        <v>72</v>
      </c>
      <c r="F20" s="34">
        <f>(1+4+4+4+6+6)*$F$16</f>
        <v>70</v>
      </c>
      <c r="G20" s="104"/>
      <c r="H20" s="33"/>
      <c r="I20" s="31"/>
    </row>
    <row r="21" spans="1:9">
      <c r="A21" s="61" t="s">
        <v>54</v>
      </c>
      <c r="B21" s="62">
        <v>180</v>
      </c>
      <c r="C21" s="75">
        <f>(E21*D21+F21*D21)/1024/1024</f>
        <v>134.92584228515625</v>
      </c>
      <c r="D21" s="67">
        <f>($B$5*($B$12/31)*B21)+($B$6*($B$11/31)*B21)</f>
        <v>900000</v>
      </c>
      <c r="E21" s="34">
        <v>90</v>
      </c>
      <c r="F21" s="34">
        <f>(4+4+4+6+6)*$F$16</f>
        <v>67.199999999999989</v>
      </c>
      <c r="G21" s="104"/>
      <c r="H21" s="33"/>
      <c r="I21" s="31"/>
    </row>
    <row r="22" spans="1:9" ht="15.75" thickBot="1">
      <c r="A22" s="61" t="s">
        <v>55</v>
      </c>
      <c r="B22" s="62">
        <v>180</v>
      </c>
      <c r="C22" s="75">
        <f>SUM(C23:C26)</f>
        <v>4787.2260309034773</v>
      </c>
      <c r="D22" s="67"/>
      <c r="E22" s="34"/>
      <c r="F22" s="34"/>
      <c r="G22" s="104"/>
      <c r="H22" s="33"/>
      <c r="I22" s="31"/>
    </row>
    <row r="23" spans="1:9" ht="15.75" hidden="1" thickBot="1">
      <c r="A23" s="70" t="s">
        <v>56</v>
      </c>
      <c r="B23" s="68">
        <f>B22</f>
        <v>180</v>
      </c>
      <c r="C23" s="72">
        <f>(E23*D23+F23*D23)/1024/1024</f>
        <v>29.370707850302423</v>
      </c>
      <c r="D23" s="67">
        <f>$B$5*$B$7*$B$8*$B$10*($B$12/31)*B23</f>
        <v>174193.54838709679</v>
      </c>
      <c r="E23" s="34">
        <v>76</v>
      </c>
      <c r="F23" s="34">
        <f>(4+1+1+4+4+1+1+4+4+6+6)*$F$16</f>
        <v>100.8</v>
      </c>
      <c r="G23" s="104"/>
      <c r="H23" s="33"/>
      <c r="I23" s="31"/>
    </row>
    <row r="24" spans="1:9" ht="15.75" hidden="1" thickBot="1">
      <c r="A24" s="71" t="s">
        <v>57</v>
      </c>
      <c r="B24" s="35">
        <f>B22</f>
        <v>180</v>
      </c>
      <c r="C24" s="73">
        <f>(E24*D24+F24*D24)/1024/1024</f>
        <v>1562.8937752016127</v>
      </c>
      <c r="D24" s="67">
        <f>$B$6*($B$11/31)*$B$7*$B$8*$B$9*$B$10*B24</f>
        <v>10451612.903225806</v>
      </c>
      <c r="E24" s="34">
        <v>56</v>
      </c>
      <c r="F24" s="34">
        <f>(4+1+1+4+4+1+1+4+4+6+6)*$F$16</f>
        <v>100.8</v>
      </c>
      <c r="G24" s="104"/>
      <c r="H24" s="33"/>
      <c r="I24" s="31"/>
    </row>
    <row r="25" spans="1:9" ht="15.75" hidden="1" thickBot="1">
      <c r="A25" s="71" t="s">
        <v>58</v>
      </c>
      <c r="B25" s="35">
        <f>B22</f>
        <v>180</v>
      </c>
      <c r="C25" s="73">
        <f>(E25*D25+F25*D25)/1024/1024</f>
        <v>146.2554931640625</v>
      </c>
      <c r="D25" s="67">
        <f>B25*$B$5*$B$7*$B$8*$B$10</f>
        <v>1080000</v>
      </c>
      <c r="E25" s="34">
        <v>72</v>
      </c>
      <c r="F25" s="34">
        <f>(4+4+1+4+6+6)*$F$16</f>
        <v>70</v>
      </c>
      <c r="G25" s="104"/>
      <c r="H25" s="33"/>
      <c r="I25" s="31"/>
    </row>
    <row r="26" spans="1:9" ht="15.75" hidden="1" thickBot="1">
      <c r="A26" s="71" t="s">
        <v>59</v>
      </c>
      <c r="B26" s="35">
        <f>B22</f>
        <v>180</v>
      </c>
      <c r="C26" s="73">
        <f>(E26*D26+F26*D26)/1024/1024</f>
        <v>3048.7060546875</v>
      </c>
      <c r="D26" s="67">
        <f>B26*$B$7*$B$9*$B$10*$B$6*$B$8</f>
        <v>21600000</v>
      </c>
      <c r="E26" s="34">
        <v>78</v>
      </c>
      <c r="F26" s="34">
        <f>(4+4+1+4+6+6)*$F$16</f>
        <v>70</v>
      </c>
      <c r="G26" s="104"/>
      <c r="H26" s="33"/>
      <c r="I26" s="31"/>
    </row>
    <row r="27" spans="1:9" ht="15.75" thickBot="1">
      <c r="A27" s="1"/>
      <c r="B27" s="1" t="s">
        <v>60</v>
      </c>
      <c r="C27" s="74">
        <f>SUM(C18:C22)</f>
        <v>68434.114763813632</v>
      </c>
      <c r="D27" s="32"/>
      <c r="E27" s="31"/>
      <c r="F27" s="31"/>
      <c r="G27" s="104"/>
    </row>
    <row r="28" spans="1:9">
      <c r="A28" s="102"/>
      <c r="B28" s="103"/>
      <c r="C28" s="103"/>
      <c r="G28" s="104"/>
    </row>
    <row r="29" spans="1:9" ht="15.75" thickBot="1">
      <c r="A29" s="108"/>
      <c r="B29" s="109"/>
      <c r="C29" s="109"/>
      <c r="D29" s="98"/>
      <c r="E29" s="98"/>
      <c r="F29" s="98"/>
      <c r="G29" s="107"/>
    </row>
    <row r="33" spans="1:3" hidden="1">
      <c r="A33">
        <v>500</v>
      </c>
      <c r="B33">
        <v>10</v>
      </c>
      <c r="C33">
        <f t="shared" ref="C33:C38" si="0">B33/A33</f>
        <v>0.02</v>
      </c>
    </row>
    <row r="34" spans="1:3" hidden="1">
      <c r="A34">
        <v>2000</v>
      </c>
      <c r="B34">
        <v>42</v>
      </c>
      <c r="C34">
        <f t="shared" si="0"/>
        <v>2.1000000000000001E-2</v>
      </c>
    </row>
    <row r="35" spans="1:3" hidden="1">
      <c r="A35">
        <v>10000</v>
      </c>
      <c r="B35">
        <v>126</v>
      </c>
      <c r="C35">
        <f t="shared" si="0"/>
        <v>1.26E-2</v>
      </c>
    </row>
    <row r="36" spans="1:3" hidden="1">
      <c r="A36">
        <v>20000</v>
      </c>
      <c r="B36">
        <v>252</v>
      </c>
      <c r="C36">
        <f t="shared" si="0"/>
        <v>1.26E-2</v>
      </c>
    </row>
    <row r="37" spans="1:3" hidden="1">
      <c r="A37">
        <v>50000</v>
      </c>
      <c r="B37">
        <v>660</v>
      </c>
      <c r="C37">
        <f t="shared" si="0"/>
        <v>1.32E-2</v>
      </c>
    </row>
    <row r="38" spans="1:3" hidden="1">
      <c r="A38">
        <v>100000</v>
      </c>
      <c r="B38">
        <v>1400</v>
      </c>
      <c r="C38">
        <f t="shared" si="0"/>
        <v>1.4E-2</v>
      </c>
    </row>
    <row r="39" spans="1:3" hidden="1">
      <c r="A39"/>
      <c r="B39"/>
      <c r="C39"/>
    </row>
    <row r="40" spans="1:3" hidden="1">
      <c r="A40"/>
      <c r="B40"/>
      <c r="C40"/>
    </row>
    <row r="41" spans="1:3" hidden="1">
      <c r="A41"/>
      <c r="B41"/>
      <c r="C41">
        <v>1.2999999999999999E-2</v>
      </c>
    </row>
    <row r="42" spans="1:3" hidden="1"/>
    <row r="43" spans="1:3" hidden="1">
      <c r="A43" s="8">
        <v>500</v>
      </c>
      <c r="B43" s="8">
        <v>2.5</v>
      </c>
      <c r="C43" s="30">
        <f t="shared" ref="C43:C48" si="1">B43/A43</f>
        <v>5.0000000000000001E-3</v>
      </c>
    </row>
    <row r="44" spans="1:3" hidden="1">
      <c r="A44" s="8">
        <v>2000</v>
      </c>
      <c r="B44" s="8">
        <v>10</v>
      </c>
      <c r="C44" s="30">
        <f t="shared" si="1"/>
        <v>5.0000000000000001E-3</v>
      </c>
    </row>
    <row r="45" spans="1:3" hidden="1">
      <c r="A45" s="8">
        <v>10000</v>
      </c>
      <c r="B45" s="8">
        <v>30</v>
      </c>
      <c r="C45" s="30">
        <f t="shared" si="1"/>
        <v>3.0000000000000001E-3</v>
      </c>
    </row>
    <row r="46" spans="1:3" hidden="1">
      <c r="A46" s="8">
        <v>20000</v>
      </c>
      <c r="B46" s="8">
        <v>60</v>
      </c>
      <c r="C46" s="30">
        <f t="shared" si="1"/>
        <v>3.0000000000000001E-3</v>
      </c>
    </row>
    <row r="47" spans="1:3" hidden="1">
      <c r="A47" s="8">
        <v>50000</v>
      </c>
      <c r="B47" s="8">
        <v>150</v>
      </c>
      <c r="C47" s="30">
        <f t="shared" si="1"/>
        <v>3.0000000000000001E-3</v>
      </c>
    </row>
    <row r="48" spans="1:3" ht="15.75" hidden="1" thickBot="1">
      <c r="A48" s="10">
        <v>100000</v>
      </c>
      <c r="B48" s="10">
        <v>600</v>
      </c>
      <c r="C48" s="30">
        <f t="shared" si="1"/>
        <v>6.0000000000000001E-3</v>
      </c>
    </row>
    <row r="49" spans="3:3" hidden="1"/>
    <row r="50" spans="3:3" hidden="1">
      <c r="C50" s="57">
        <f>+AVERAGEA(C43:C48)</f>
        <v>4.1666666666666666E-3</v>
      </c>
    </row>
    <row r="51" spans="3:3" hidden="1"/>
    <row r="52" spans="3:3" hidden="1"/>
    <row r="53" spans="3:3" hidden="1"/>
    <row r="54" spans="3:3" hidden="1"/>
    <row r="55" spans="3:3" hidden="1"/>
  </sheetData>
  <sheetProtection algorithmName="SHA-512" hashValue="JXunIUWlS4UM2BeKoYbEpd0ZYJPZ/TkT0n3fQROpwQnI6bO7TzFqkvwHXCdX9yWx6Z92C/Iu0dZ7PJyo4zLamQ==" saltValue="e+xzy5vnNoFByG4c3f9fWQ==" spinCount="100000" sheet="1" select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 alignWithMargins="0">
    <oddHeader>&amp;C&amp;"Arial,Normal"&amp;10&amp;A</oddHeader>
    <oddFooter>&amp;C&amp;"Arial,Normal"&amp;10Page &amp;P</oddFooter>
  </headerFooter>
  <drawing r:id="rId2"/>
  <legacyDrawing r:id="rId3"/>
  <oleObjects>
    <mc:AlternateContent xmlns:mc="http://schemas.openxmlformats.org/markup-compatibility/2006">
      <mc:Choice Requires="x14">
        <oleObject progId="Acrobat Document" dvAspect="DVASPECT_ICON" shapeId="1026" r:id="rId4">
          <objectPr defaultSize="0" r:id="rId5">
            <anchor moveWithCells="1">
              <from>
                <xdr:col>6</xdr:col>
                <xdr:colOff>361950</xdr:colOff>
                <xdr:row>10</xdr:row>
                <xdr:rowOff>76200</xdr:rowOff>
              </from>
              <to>
                <xdr:col>6</xdr:col>
                <xdr:colOff>1276350</xdr:colOff>
                <xdr:row>14</xdr:row>
                <xdr:rowOff>133350</xdr:rowOff>
              </to>
            </anchor>
          </objectPr>
        </oleObject>
      </mc:Choice>
      <mc:Fallback>
        <oleObject progId="Acrobat Document" dvAspect="DVASPECT_ICON" shapeId="1026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D6D3F-AF0F-4701-A58B-39C6D78A8885}">
  <sheetPr codeName="Feuil4"/>
  <dimension ref="A1:Y59"/>
  <sheetViews>
    <sheetView topLeftCell="A17" zoomScale="70" zoomScaleNormal="70" workbookViewId="0">
      <selection activeCell="D40" sqref="D40"/>
    </sheetView>
  </sheetViews>
  <sheetFormatPr baseColWidth="10" defaultRowHeight="15"/>
  <cols>
    <col min="1" max="1" width="22.85546875" customWidth="1"/>
    <col min="2" max="2" width="11" customWidth="1"/>
    <col min="3" max="3" width="39.28515625" customWidth="1"/>
    <col min="4" max="4" width="32.28515625" customWidth="1"/>
    <col min="5" max="5" width="18.85546875" bestFit="1" customWidth="1"/>
    <col min="6" max="6" width="19.7109375" customWidth="1"/>
    <col min="7" max="7" width="21.42578125" customWidth="1"/>
    <col min="8" max="8" width="17.7109375" customWidth="1"/>
    <col min="9" max="9" width="10.7109375" customWidth="1"/>
    <col min="10" max="10" width="19.42578125" customWidth="1"/>
    <col min="11" max="12" width="19.7109375" customWidth="1"/>
    <col min="13" max="13" width="10.85546875" customWidth="1"/>
    <col min="14" max="14" width="19.7109375" bestFit="1" customWidth="1"/>
    <col min="15" max="15" width="20.5703125" customWidth="1"/>
    <col min="16" max="17" width="10.7109375" customWidth="1"/>
    <col min="18" max="18" width="19.42578125" customWidth="1"/>
    <col min="19" max="19" width="21.7109375" customWidth="1"/>
    <col min="20" max="21" width="22.140625" customWidth="1"/>
    <col min="22" max="22" width="15.42578125" customWidth="1"/>
  </cols>
  <sheetData>
    <row r="1" spans="1:21" ht="20.25" hidden="1">
      <c r="A1" s="329" t="s">
        <v>28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</row>
    <row r="2" spans="1:21" ht="40.5" hidden="1">
      <c r="A2" s="3" t="s">
        <v>8</v>
      </c>
      <c r="B2" s="3"/>
      <c r="C2" s="3" t="s">
        <v>30</v>
      </c>
      <c r="D2" s="3" t="s">
        <v>29</v>
      </c>
      <c r="F2" s="3" t="s">
        <v>32</v>
      </c>
      <c r="G2" s="3" t="s">
        <v>33</v>
      </c>
      <c r="H2" s="6" t="s">
        <v>14</v>
      </c>
      <c r="I2" s="42"/>
      <c r="K2" s="3" t="s">
        <v>72</v>
      </c>
      <c r="L2" s="40"/>
      <c r="M2" s="40" t="s">
        <v>35</v>
      </c>
      <c r="N2" s="42" t="s">
        <v>73</v>
      </c>
      <c r="O2" s="3" t="s">
        <v>76</v>
      </c>
      <c r="P2" s="3" t="s">
        <v>77</v>
      </c>
      <c r="Q2" s="3"/>
      <c r="R2" s="3" t="s">
        <v>78</v>
      </c>
      <c r="S2" s="42" t="s">
        <v>79</v>
      </c>
      <c r="T2" s="42" t="s">
        <v>80</v>
      </c>
      <c r="U2" s="42" t="s">
        <v>80</v>
      </c>
    </row>
    <row r="3" spans="1:21" hidden="1">
      <c r="A3" s="2" t="s">
        <v>7</v>
      </c>
      <c r="B3" s="2"/>
      <c r="C3" s="8">
        <v>0</v>
      </c>
      <c r="D3" s="8">
        <v>500</v>
      </c>
      <c r="F3" s="8">
        <v>10</v>
      </c>
      <c r="G3" s="8" t="s">
        <v>34</v>
      </c>
      <c r="H3" s="9">
        <v>4000</v>
      </c>
      <c r="I3" s="284"/>
      <c r="K3" s="8">
        <v>7500</v>
      </c>
      <c r="L3" s="41"/>
      <c r="M3" s="41">
        <v>10000</v>
      </c>
      <c r="N3" s="41">
        <v>4000</v>
      </c>
      <c r="O3" s="8">
        <f>IF(Architecture!C7&gt;0,Architecture!C7,Architecture!B7)</f>
        <v>10000</v>
      </c>
      <c r="P3" s="8">
        <f>IF(Architecture!E7&gt;0,Architecture!E7,Architecture!D7)</f>
        <v>40000</v>
      </c>
      <c r="Q3" s="8"/>
      <c r="R3" s="188">
        <f>Architecture!C15</f>
        <v>3333.3333333333335</v>
      </c>
      <c r="S3" s="8">
        <v>1.2999999999999999E-2</v>
      </c>
      <c r="T3" s="58">
        <v>4.1666666666666666E-3</v>
      </c>
      <c r="U3" s="58">
        <v>0.14000000000000001</v>
      </c>
    </row>
    <row r="4" spans="1:21" hidden="1">
      <c r="A4" s="2" t="s">
        <v>9</v>
      </c>
      <c r="B4" s="2"/>
      <c r="C4" s="8">
        <v>500</v>
      </c>
      <c r="D4" s="8">
        <v>2000</v>
      </c>
      <c r="F4" s="8">
        <v>42</v>
      </c>
      <c r="G4" s="8">
        <v>10</v>
      </c>
      <c r="H4" s="9">
        <v>20000</v>
      </c>
      <c r="I4" s="284"/>
      <c r="K4" s="41">
        <v>10000</v>
      </c>
      <c r="L4" s="41"/>
      <c r="M4" s="41">
        <v>20000</v>
      </c>
      <c r="N4" s="41">
        <v>20000</v>
      </c>
    </row>
    <row r="5" spans="1:21" hidden="1">
      <c r="A5" s="2" t="s">
        <v>10</v>
      </c>
      <c r="B5" s="2"/>
      <c r="C5" s="8">
        <v>2000</v>
      </c>
      <c r="D5" s="8">
        <v>7000</v>
      </c>
      <c r="F5" s="8">
        <v>210</v>
      </c>
      <c r="G5" s="8">
        <v>50</v>
      </c>
      <c r="H5" s="9">
        <v>40000</v>
      </c>
      <c r="I5" s="284"/>
      <c r="M5" s="41">
        <v>40000</v>
      </c>
      <c r="N5" s="41">
        <v>40000</v>
      </c>
    </row>
    <row r="6" spans="1:21" hidden="1">
      <c r="A6" s="2" t="s">
        <v>11</v>
      </c>
      <c r="B6" s="2"/>
      <c r="C6" s="8">
        <v>7000</v>
      </c>
      <c r="D6" s="8">
        <v>14000</v>
      </c>
      <c r="F6" s="8">
        <v>420</v>
      </c>
      <c r="G6" s="8">
        <v>100</v>
      </c>
      <c r="H6" s="9">
        <v>100000</v>
      </c>
      <c r="I6" s="284"/>
      <c r="M6" s="229">
        <v>100000</v>
      </c>
      <c r="N6" s="41">
        <v>100000</v>
      </c>
    </row>
    <row r="7" spans="1:21" hidden="1">
      <c r="A7" s="2" t="s">
        <v>12</v>
      </c>
      <c r="B7" s="2"/>
      <c r="C7" s="8">
        <v>14000</v>
      </c>
      <c r="D7" s="8">
        <v>21000</v>
      </c>
      <c r="F7" s="8">
        <v>1100</v>
      </c>
      <c r="G7" s="8">
        <v>250</v>
      </c>
      <c r="H7" s="9"/>
      <c r="I7" s="284"/>
    </row>
    <row r="8" spans="1:21" ht="15.75" hidden="1" thickBot="1">
      <c r="A8" s="7" t="s">
        <v>13</v>
      </c>
      <c r="B8" s="7"/>
      <c r="C8" s="10">
        <v>21000</v>
      </c>
      <c r="D8" s="10">
        <v>100000</v>
      </c>
      <c r="F8" s="10">
        <v>2300</v>
      </c>
      <c r="G8" s="10">
        <v>1000</v>
      </c>
      <c r="H8" s="11"/>
      <c r="I8" s="284"/>
    </row>
    <row r="9" spans="1:21" hidden="1"/>
    <row r="10" spans="1:21" hidden="1">
      <c r="A10" s="5"/>
    </row>
    <row r="12" spans="1:21" ht="13.9" customHeight="1">
      <c r="A12" s="5"/>
      <c r="C12" s="86"/>
      <c r="D12" s="86"/>
      <c r="E12" s="86"/>
      <c r="F12" s="86"/>
      <c r="G12" s="86"/>
      <c r="J12" s="86"/>
      <c r="K12" s="86"/>
      <c r="L12" s="86"/>
    </row>
    <row r="13" spans="1:21">
      <c r="A13" s="5"/>
      <c r="C13" s="86"/>
      <c r="D13" s="86"/>
      <c r="E13" s="86"/>
      <c r="F13" s="86"/>
      <c r="G13" s="86"/>
      <c r="J13" s="86"/>
      <c r="K13" s="86"/>
      <c r="L13" s="86"/>
    </row>
    <row r="14" spans="1:21" ht="15.75" thickBot="1">
      <c r="A14" s="5"/>
    </row>
    <row r="15" spans="1:21" ht="14.45" customHeight="1">
      <c r="A15" s="331" t="s">
        <v>256</v>
      </c>
      <c r="B15" s="332"/>
      <c r="C15" s="332"/>
      <c r="D15" s="332"/>
      <c r="E15" s="332"/>
      <c r="F15" s="332"/>
      <c r="G15" s="332"/>
      <c r="H15" s="332"/>
      <c r="I15" s="332"/>
      <c r="J15" s="332"/>
      <c r="K15" s="332"/>
      <c r="L15" s="332"/>
      <c r="M15" s="332"/>
      <c r="N15" s="332"/>
      <c r="O15" s="332"/>
      <c r="P15" s="332"/>
      <c r="Q15" s="332"/>
      <c r="R15" s="332"/>
      <c r="S15" s="333"/>
    </row>
    <row r="16" spans="1:21" ht="15" customHeight="1" thickBot="1">
      <c r="A16" s="335"/>
      <c r="B16" s="336"/>
      <c r="C16" s="336"/>
      <c r="D16" s="336"/>
      <c r="E16" s="336"/>
      <c r="F16" s="336"/>
      <c r="G16" s="336"/>
      <c r="H16" s="336"/>
      <c r="I16" s="336"/>
      <c r="J16" s="336"/>
      <c r="K16" s="336"/>
      <c r="L16" s="336"/>
      <c r="M16" s="336"/>
      <c r="N16" s="336"/>
      <c r="O16" s="336"/>
      <c r="P16" s="336"/>
      <c r="Q16" s="336"/>
      <c r="R16" s="336"/>
      <c r="S16" s="337"/>
    </row>
    <row r="17" spans="1:25" ht="29.25" thickBot="1">
      <c r="A17" s="356" t="str">
        <f xml:space="preserve"> "Architecture "&amp;VLOOKUP("X",Architecture!L7:M12,2)</f>
        <v>Architecture Distributed
(1 central + X pollers)</v>
      </c>
      <c r="B17" s="279"/>
      <c r="C17" s="348" t="s">
        <v>276</v>
      </c>
      <c r="D17" s="198" t="s">
        <v>0</v>
      </c>
      <c r="E17" s="199" t="str">
        <f>IF(Architecture!L11="X","",IF(Architecture!L7="X","",IF(Architecture!L8="X","","X")))</f>
        <v/>
      </c>
      <c r="F17" s="199" t="str">
        <f>IF(Architecture!B11="X","X","")</f>
        <v>X</v>
      </c>
      <c r="G17" s="200" t="str">
        <f>IF(Architecture!B12="X","X","")</f>
        <v/>
      </c>
      <c r="H17" s="12"/>
      <c r="J17" s="352" t="str">
        <f>IF(Architecture!I11="X","X","")</f>
        <v/>
      </c>
      <c r="K17" s="353"/>
      <c r="L17" s="12"/>
      <c r="M17" s="12"/>
      <c r="N17" s="352" t="str">
        <f>IF(Architecture!I10="X","X","")</f>
        <v/>
      </c>
      <c r="O17" s="353"/>
      <c r="Q17" s="12"/>
      <c r="R17" s="352" t="str">
        <f>IF(Architecture!L11="X","X",IF(Architecture!L12="X","X",""))</f>
        <v/>
      </c>
      <c r="S17" s="353"/>
    </row>
    <row r="18" spans="1:25" ht="36.6" customHeight="1" thickBot="1">
      <c r="A18" s="357"/>
      <c r="B18" s="280"/>
      <c r="C18" s="349"/>
      <c r="D18" s="346" t="str">
        <f>IF(Architecture!L11="X","2 Servers central",IF(Architecture!L12="X","2 Servers central","1 Server central"))</f>
        <v>1 Server central</v>
      </c>
      <c r="E18" s="346" t="str">
        <f>"Database server "&amp;IF(OR(Architecture!L7="X",Architecture!L8="X",Architecture!L11="X")=TRUE,"inside the central GB","remoted GB")</f>
        <v>Database server inside the central GB</v>
      </c>
      <c r="F18" s="346" t="str">
        <f>IF(Architecture!D11&gt;0,Architecture!D11&amp;" Poller(s)",Architecture!C11&amp;" Poller(s)")</f>
        <v>2 Poller(s)</v>
      </c>
      <c r="G18" s="354" t="str">
        <f>IF(Architecture!D12&gt;0,Architecture!D12,Architecture!C12)&amp;" Remote Server"</f>
        <v>0 Remote Server</v>
      </c>
      <c r="H18" s="12"/>
      <c r="I18" s="12"/>
      <c r="J18" s="350" t="str">
        <f>IF(OR(Architecture!I11="X",Architecture!I7="X"),IF(Architecture!E48="X","2","1")&amp;" Server Centreon MAP"," Server Centreon MAP")</f>
        <v xml:space="preserve"> Server Centreon MAP</v>
      </c>
      <c r="K18" s="351"/>
      <c r="L18" s="12"/>
      <c r="M18" s="12"/>
      <c r="N18" s="350" t="s">
        <v>254</v>
      </c>
      <c r="O18" s="351"/>
      <c r="P18" s="12"/>
      <c r="Q18" s="12"/>
      <c r="R18" s="350" t="s">
        <v>255</v>
      </c>
      <c r="S18" s="351"/>
      <c r="Y18" s="28"/>
    </row>
    <row r="19" spans="1:25" ht="32.450000000000003" customHeight="1" thickBot="1">
      <c r="A19" s="357"/>
      <c r="B19" s="280"/>
      <c r="C19" s="246" t="s">
        <v>250</v>
      </c>
      <c r="D19" s="347"/>
      <c r="E19" s="347"/>
      <c r="F19" s="347"/>
      <c r="G19" s="355"/>
      <c r="H19" s="12"/>
      <c r="I19" s="12"/>
      <c r="J19" s="230" t="s">
        <v>250</v>
      </c>
      <c r="K19" s="202"/>
      <c r="L19" s="12"/>
      <c r="M19" s="12"/>
      <c r="N19" s="230" t="s">
        <v>250</v>
      </c>
      <c r="O19" s="193"/>
      <c r="P19" s="12"/>
      <c r="Q19" s="12"/>
      <c r="R19" s="230" t="s">
        <v>250</v>
      </c>
      <c r="S19" s="193"/>
    </row>
    <row r="20" spans="1:25" ht="37.9" customHeight="1">
      <c r="A20" s="357"/>
      <c r="B20" s="280"/>
      <c r="C20" s="271" t="s">
        <v>6</v>
      </c>
      <c r="D20" s="232" t="str">
        <f>IF(O3&lt;=D3,"1vCPU",IF(AND(O3&gt;C4,O3&lt;=D4),"2vCPU",IF(AND(O3&gt;C5,O3&lt;=D5),"4vCPU",IF(O3&gt;C6,"4vCPU","Consulter Centreon"))))</f>
        <v>4vCPU</v>
      </c>
      <c r="E20" s="232" t="str">
        <f>IF(E17="X",D20,"X")</f>
        <v>X</v>
      </c>
      <c r="F20" s="232" t="str">
        <f>IF(F17="X",IF((Architecture!C11+Architecture!D11)&gt;0,IF(Architecture!C15&lt;=K3,"2vCPU",IF(AND(Architecture!C15&gt;=K3,Architecture!C15&lt;=K4),"4vCPU","Consulter Centreon")),"X"),"X")</f>
        <v>2vCPU</v>
      </c>
      <c r="G20" s="233" t="str">
        <f>IF(G17="X",IF(R3&lt;=D3,"1vCPU",IF(AND(R3&gt;C4,R3&lt;=D4),"2vCPU",IF(AND(R3&gt;C5,R3&lt;=D5),"4vCPU",IF(R3&gt;C6,"4vCPU","Consulter Centreon")))),"X")</f>
        <v>X</v>
      </c>
      <c r="H20" s="12"/>
      <c r="I20" s="12"/>
      <c r="J20" s="204" t="s">
        <v>6</v>
      </c>
      <c r="K20" s="194" t="str">
        <f>IF(J17="X",IF(O3&lt;M3,"2vCPU",IF(AND(O3&gt;M3,O3&lt;M6),"4vCPU",'AVV config'!H5)),"X")</f>
        <v>X</v>
      </c>
      <c r="L20" s="285"/>
      <c r="M20" s="12"/>
      <c r="N20" s="204" t="s">
        <v>6</v>
      </c>
      <c r="O20" s="194" t="str">
        <f>IF(N17="X",IF(O3&lt;N3,"2vCPU",IF(AND(O3&gt;=N3,O3&lt;N4),"4vCPU",IF(AND(O3&gt;=N4,O3&lt;N5),"4vCPU",IF(AND(O3&gt;=N5,O3&lt;N6),"8vCPU",'AVV config'!K5)))),"X")</f>
        <v>X</v>
      </c>
      <c r="P20" s="12"/>
      <c r="Q20" s="12"/>
      <c r="R20" s="204" t="s">
        <v>6</v>
      </c>
      <c r="S20" s="194" t="str">
        <f>IF(R17="X","1vCPU","X")</f>
        <v>X</v>
      </c>
    </row>
    <row r="21" spans="1:25" ht="27" thickBot="1">
      <c r="A21" s="357"/>
      <c r="B21" s="280"/>
      <c r="C21" s="84" t="s">
        <v>253</v>
      </c>
      <c r="D21" s="234" t="str">
        <f>IF(O3&lt;=D3,"1",IF(AND(O3&gt;D3,O3&lt;=D4),"2",IF(AND(O3&gt;D4,O3&lt;=D5),"4",IF(AND(O3&gt;D5,O3&lt;=D8),"8",'AVV config'!C6))))</f>
        <v>8</v>
      </c>
      <c r="E21" s="234" t="str">
        <f>IF(E17="X",D21,"X")</f>
        <v>X</v>
      </c>
      <c r="F21" s="234" t="str">
        <f>IF(F17="X",IF((Architecture!C11+Architecture!D11)&gt;0,IF(Architecture!C15&lt;=K3,"2",IF(AND(Architecture!C15&gt;=K3,Architecture!C15&lt;=K4),"4","Consulter Centreon")),"X"),"X")</f>
        <v>2</v>
      </c>
      <c r="G21" s="233" t="str">
        <f>IF(G17="X",IF(R3&lt;=D3,"1",IF(AND(R3&gt;D3,R3&lt;=D4),"2",IF(AND(R3&gt;D4,R3&lt;=D5),"4",IF(AND(R3&gt;D5,R3&lt;=D8),"8","Consulter Centreon")))),"X")</f>
        <v>X</v>
      </c>
      <c r="H21" s="12"/>
      <c r="I21" s="12"/>
      <c r="J21" s="260" t="s">
        <v>253</v>
      </c>
      <c r="K21" s="195" t="str">
        <f>IF(J17="X",IF(O3&lt;M4,"2",IF(AND(O3&gt;M3,O3&lt;M4),"4",IF(AND(O3&gt;M4,O3&lt;M5),"8",IF(AND(O3&gt;M5,O3&lt;M6),"16",'AVV config'!H6)))),"X")</f>
        <v>X</v>
      </c>
      <c r="L21" s="285"/>
      <c r="M21" s="12"/>
      <c r="N21" s="260" t="s">
        <v>257</v>
      </c>
      <c r="O21" s="194" t="str">
        <f>IF(N17="X",IF(O3&lt;N3,"12",IF(AND(O3&gt;=N3,O3&lt;N4),"16",IF(AND(O3&gt;=N4,O3&lt;N5),"24",IF(AND(O3&gt;=N5,O3&lt;N6),"32",'AVV config'!K6)))),"X")</f>
        <v>X</v>
      </c>
      <c r="P21" s="12"/>
      <c r="Q21" s="12"/>
      <c r="R21" s="260" t="s">
        <v>253</v>
      </c>
      <c r="S21" s="194" t="str">
        <f>IF(R17="X",1,"X")</f>
        <v>X</v>
      </c>
    </row>
    <row r="22" spans="1:25" ht="27" thickBot="1">
      <c r="A22" s="357"/>
      <c r="B22" s="280"/>
      <c r="C22" s="246" t="s">
        <v>251</v>
      </c>
      <c r="D22" s="246" t="s">
        <v>252</v>
      </c>
      <c r="E22" s="246" t="s">
        <v>252</v>
      </c>
      <c r="F22" s="246" t="s">
        <v>252</v>
      </c>
      <c r="G22" s="248" t="s">
        <v>252</v>
      </c>
      <c r="H22" s="12"/>
      <c r="I22" s="12"/>
      <c r="J22" s="230" t="s">
        <v>251</v>
      </c>
      <c r="K22" s="230" t="s">
        <v>252</v>
      </c>
      <c r="L22" s="12"/>
      <c r="M22" s="12"/>
      <c r="N22" s="246" t="s">
        <v>251</v>
      </c>
      <c r="O22" s="248" t="s">
        <v>252</v>
      </c>
      <c r="P22" s="12"/>
      <c r="Q22" s="12"/>
      <c r="R22" s="246" t="s">
        <v>251</v>
      </c>
      <c r="S22" s="248" t="s">
        <v>252</v>
      </c>
    </row>
    <row r="23" spans="1:25" ht="27" thickBot="1">
      <c r="A23" s="357"/>
      <c r="B23" s="280"/>
      <c r="C23" s="281" t="s">
        <v>175</v>
      </c>
      <c r="D23" s="262">
        <f>IF(D17="X",1,"X")</f>
        <v>1</v>
      </c>
      <c r="E23" s="232" t="str">
        <f>IF(E17="X",1,"X")</f>
        <v>X</v>
      </c>
      <c r="F23" s="232">
        <f>IF(F17="X",1,"X")</f>
        <v>1</v>
      </c>
      <c r="G23" s="233" t="str">
        <f>IF(G17="X",1,"X")</f>
        <v>X</v>
      </c>
      <c r="H23" s="12"/>
      <c r="I23" s="12"/>
      <c r="J23" s="85" t="s">
        <v>175</v>
      </c>
      <c r="K23" s="195" t="str">
        <f>IF(J17="X",1,"X")</f>
        <v>X</v>
      </c>
      <c r="L23" s="12"/>
      <c r="M23" s="12"/>
      <c r="N23" s="261" t="s">
        <v>175</v>
      </c>
      <c r="O23" s="194" t="str">
        <f>IF(N17="X",1,"X")</f>
        <v>X</v>
      </c>
      <c r="P23" s="12"/>
      <c r="Q23" s="12"/>
      <c r="R23" s="261" t="s">
        <v>175</v>
      </c>
      <c r="S23" s="194" t="str">
        <f>IF(R17="X",1,"X")</f>
        <v>X</v>
      </c>
    </row>
    <row r="24" spans="1:25" ht="32.450000000000003" customHeight="1">
      <c r="A24" s="358"/>
      <c r="B24" s="342" t="s">
        <v>280</v>
      </c>
      <c r="C24" s="282" t="s">
        <v>245</v>
      </c>
      <c r="D24" s="235">
        <v>20</v>
      </c>
      <c r="E24" s="234" t="str">
        <f>IF(E17="X",20,"X")</f>
        <v>X</v>
      </c>
      <c r="F24" s="234">
        <f>IF(F17="X",IF((Architecture!C11+Architecture!D11)&gt;0,20,"X"),"X")</f>
        <v>20</v>
      </c>
      <c r="G24" s="233" t="str">
        <f>IF(G17="X",D24,"X")</f>
        <v>X</v>
      </c>
      <c r="H24" s="12"/>
      <c r="I24" s="345" t="s">
        <v>282</v>
      </c>
      <c r="J24" s="85" t="s">
        <v>245</v>
      </c>
      <c r="K24" s="194" t="str">
        <f>IF(J17="X",20,"X")</f>
        <v>X</v>
      </c>
      <c r="L24" s="285"/>
      <c r="M24" s="345" t="s">
        <v>282</v>
      </c>
      <c r="N24" s="85" t="s">
        <v>245</v>
      </c>
      <c r="O24" s="194" t="str">
        <f>IF(N17="X",20,"X")</f>
        <v>X</v>
      </c>
      <c r="P24" s="12"/>
      <c r="Q24" s="342" t="s">
        <v>282</v>
      </c>
      <c r="R24" s="85" t="s">
        <v>245</v>
      </c>
      <c r="S24" s="194" t="str">
        <f>IF(R17="X",10,"X")</f>
        <v>X</v>
      </c>
    </row>
    <row r="25" spans="1:25" ht="29.45" customHeight="1">
      <c r="A25" s="358"/>
      <c r="B25" s="343"/>
      <c r="C25" s="283" t="s">
        <v>4</v>
      </c>
      <c r="D25" s="235">
        <f>IF(D21="Consulter Centreon",D21,1*D21)</f>
        <v>8</v>
      </c>
      <c r="E25" s="234" t="str">
        <f>IF(E21="Consulter Centreon",E21,IF(E17="X",1*E21,"X"))</f>
        <v>X</v>
      </c>
      <c r="F25" s="234">
        <f>IF(F17="X",IF((Architecture!C11+Architecture!D11)&gt;0,1*F21,"X"),"X")</f>
        <v>2</v>
      </c>
      <c r="G25" s="233" t="str">
        <f>IF(G17="X",G21,"X")</f>
        <v>X</v>
      </c>
      <c r="H25" s="12"/>
      <c r="I25" s="343"/>
      <c r="J25" s="205" t="s">
        <v>4</v>
      </c>
      <c r="K25" s="194" t="str">
        <f>IF(J17="X",IF(K21&gt;=8,8,K21),"X")</f>
        <v>X</v>
      </c>
      <c r="L25" s="285"/>
      <c r="M25" s="343"/>
      <c r="N25" s="205" t="s">
        <v>4</v>
      </c>
      <c r="O25" s="194" t="str">
        <f>IF(N17="X",IF(O21&gt;=8,8,O21),"X")</f>
        <v>X</v>
      </c>
      <c r="P25" s="12"/>
      <c r="Q25" s="343"/>
      <c r="R25" s="205" t="s">
        <v>4</v>
      </c>
      <c r="S25" s="194" t="str">
        <f>IF(R17="X",6,"X")</f>
        <v>X</v>
      </c>
    </row>
    <row r="26" spans="1:25" ht="34.5" thickBot="1">
      <c r="A26" s="358"/>
      <c r="B26" s="344"/>
      <c r="C26" s="282" t="s">
        <v>246</v>
      </c>
      <c r="D26" s="235">
        <v>10</v>
      </c>
      <c r="E26" s="234" t="str">
        <f>IF(E17="X",10,"X")</f>
        <v>X</v>
      </c>
      <c r="F26" s="234">
        <f>IF(F17="X",IF((Architecture!C11+Architecture!D11)&gt;0,10,"X"),"X")</f>
        <v>10</v>
      </c>
      <c r="G26" s="233" t="str">
        <f>IF(G17="X",10,"X")</f>
        <v>X</v>
      </c>
      <c r="H26" s="12"/>
      <c r="I26" s="344"/>
      <c r="J26" s="205" t="s">
        <v>15</v>
      </c>
      <c r="K26" s="194" t="str">
        <f>IF(J17="X",10,"X")</f>
        <v>X</v>
      </c>
      <c r="L26" s="285"/>
      <c r="M26" s="344"/>
      <c r="N26" s="205" t="s">
        <v>15</v>
      </c>
      <c r="O26" s="194" t="str">
        <f>IF(N17="X",10,"X")</f>
        <v>X</v>
      </c>
      <c r="P26" s="12"/>
      <c r="Q26" s="344"/>
      <c r="R26" s="205" t="s">
        <v>15</v>
      </c>
      <c r="S26" s="194" t="str">
        <f>IF(R17="X",10,"X")</f>
        <v>X</v>
      </c>
    </row>
    <row r="27" spans="1:25" ht="70.150000000000006" customHeight="1" thickBot="1">
      <c r="A27" s="357"/>
      <c r="B27" s="345" t="s">
        <v>281</v>
      </c>
      <c r="C27" s="271" t="s">
        <v>3</v>
      </c>
      <c r="D27" s="235">
        <f>IF(D17="X",IF(O3&lt;=D3,G3,IF(AND(O3&gt;C4,O3&lt;=D4),G4,'Main server and BI server'!H70)),"X")</f>
        <v>27</v>
      </c>
      <c r="E27" s="236"/>
      <c r="F27" s="236"/>
      <c r="G27" s="237" t="str">
        <f>IF(G17="X",IF(R3&lt;=D3,G3,IF(AND(R3&gt;C4,R3&lt;=D4),G4,'RS Main server and BI server '!H70)),"X")</f>
        <v>X</v>
      </c>
      <c r="H27" s="12"/>
      <c r="I27" s="345" t="s">
        <v>281</v>
      </c>
      <c r="J27" s="205" t="s">
        <v>2</v>
      </c>
      <c r="K27" s="194" t="str">
        <f>IF(J17="X",5,"X")</f>
        <v>X</v>
      </c>
      <c r="L27" s="285"/>
      <c r="M27" s="345" t="s">
        <v>281</v>
      </c>
      <c r="N27" s="205" t="s">
        <v>2</v>
      </c>
      <c r="O27" s="203" t="str">
        <f>IF(N17="X",ROUNDUP('MBI Sizing'!C27,0)/1024,"X")</f>
        <v>X</v>
      </c>
      <c r="Q27" s="12"/>
      <c r="R27" s="246" t="s">
        <v>258</v>
      </c>
      <c r="S27" s="244">
        <f>SUM(S23:S26)</f>
        <v>0</v>
      </c>
    </row>
    <row r="28" spans="1:25" ht="34.5" thickBot="1">
      <c r="A28" s="357"/>
      <c r="B28" s="343"/>
      <c r="C28" s="85" t="s">
        <v>247</v>
      </c>
      <c r="D28" s="235">
        <v>5</v>
      </c>
      <c r="E28" s="236"/>
      <c r="F28" s="236"/>
      <c r="G28" s="272" t="str">
        <f>IF(G17="X",5,"X")</f>
        <v>X</v>
      </c>
      <c r="H28" s="12"/>
      <c r="I28" s="344"/>
      <c r="J28" s="85" t="s">
        <v>260</v>
      </c>
      <c r="K28" s="194">
        <v>2</v>
      </c>
      <c r="L28" s="12"/>
      <c r="M28" s="343"/>
      <c r="N28" s="205" t="s">
        <v>1</v>
      </c>
      <c r="O28" s="194" t="str">
        <f>IF(N17="X",'AVV config'!C7,"X")</f>
        <v>X</v>
      </c>
      <c r="P28" s="12"/>
      <c r="Q28" s="12"/>
      <c r="R28" s="12"/>
      <c r="S28" s="88"/>
    </row>
    <row r="29" spans="1:25" ht="34.5" thickBot="1">
      <c r="A29" s="357"/>
      <c r="B29" s="343"/>
      <c r="C29" s="85" t="s">
        <v>277</v>
      </c>
      <c r="D29" s="235">
        <v>5</v>
      </c>
      <c r="E29" s="236"/>
      <c r="F29" s="272">
        <f>IF(F17="X",IF((Architecture!C11+Architecture!D11)&gt;0,5,"X"),"X")</f>
        <v>5</v>
      </c>
      <c r="G29" s="272" t="str">
        <f>IF(G17="X",5,"X")</f>
        <v>X</v>
      </c>
      <c r="H29" s="12"/>
      <c r="I29" s="12"/>
      <c r="J29" s="249" t="s">
        <v>248</v>
      </c>
      <c r="K29" s="247">
        <f>+SUM(K23:K28)</f>
        <v>2</v>
      </c>
      <c r="L29" s="12"/>
      <c r="M29" s="344"/>
      <c r="N29" s="85" t="s">
        <v>260</v>
      </c>
      <c r="O29" s="194">
        <v>5</v>
      </c>
      <c r="P29" s="12"/>
      <c r="Q29" s="12"/>
      <c r="R29" s="12"/>
      <c r="S29" s="88"/>
    </row>
    <row r="30" spans="1:25" ht="25.9" customHeight="1" thickBot="1">
      <c r="A30" s="357"/>
      <c r="B30" s="343"/>
      <c r="C30" s="84" t="s">
        <v>2</v>
      </c>
      <c r="D30" s="235">
        <f>IF(E17="X","X",IF(O3&lt;=D3,F3,IF(AND(O3&gt;C4,O3&lt;=D4),F4,'Main server and BI server'!H77)))</f>
        <v>213.12336729999998</v>
      </c>
      <c r="E30" s="235" t="str">
        <f>IF(E17="X",IF(O3&lt;=D3,F3,IF(AND(O3&gt;C4,O3&lt;=D4),F4,'Main server and BI server'!H77)),"X")</f>
        <v>X</v>
      </c>
      <c r="F30" s="236"/>
      <c r="G30" s="273" t="str">
        <f>IF(G17="X",IF(R3&lt;=D3,F3,IF(AND(R3&gt;C4,R3&lt;=D4),F4,'RS Main server and BI server '!H77)),"X")</f>
        <v>X</v>
      </c>
      <c r="H30" s="12"/>
      <c r="I30" s="12"/>
      <c r="J30" s="246" t="s">
        <v>249</v>
      </c>
      <c r="K30" s="248">
        <f>IF(Architecture!C48="X",K29,IF(Architecture!C48="0",K29,IF(Architecture!E48="X",K29*Architecture!C48,K29)))</f>
        <v>2</v>
      </c>
      <c r="L30" s="12"/>
      <c r="M30" s="12"/>
      <c r="N30" s="246" t="s">
        <v>258</v>
      </c>
      <c r="O30" s="244">
        <f>SUM(O23:O29)</f>
        <v>5</v>
      </c>
      <c r="P30" s="12"/>
      <c r="Q30" s="12"/>
      <c r="R30" s="12"/>
      <c r="S30" s="88"/>
    </row>
    <row r="31" spans="1:25" ht="26.45" customHeight="1" thickBot="1">
      <c r="A31" s="357"/>
      <c r="B31" s="343"/>
      <c r="C31" s="84" t="str">
        <f>IF(E17="X","/var/backup","/var/cache/centreon/backup")</f>
        <v>/var/cache/centreon/backup</v>
      </c>
      <c r="D31" s="235">
        <f>IF(E17="X","X",'AVV config'!C7)</f>
        <v>10</v>
      </c>
      <c r="E31" s="235" t="str">
        <f>IF(E17="X",10,"X")</f>
        <v>X</v>
      </c>
      <c r="F31" s="236"/>
      <c r="G31" s="273" t="str">
        <f>IF(G17="X",'AVV config'!C7,"X")</f>
        <v>X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88"/>
    </row>
    <row r="32" spans="1:25" ht="17.25" customHeight="1" thickBot="1">
      <c r="A32" s="357"/>
      <c r="B32" s="344"/>
      <c r="C32" s="84" t="s">
        <v>260</v>
      </c>
      <c r="D32" s="238">
        <f>IF(E17="X","X",'AVV config'!C11)</f>
        <v>5</v>
      </c>
      <c r="E32" s="238" t="str">
        <f>IF(E17="X",'AVV config'!C11,"X")</f>
        <v>X</v>
      </c>
      <c r="F32" s="239"/>
      <c r="G32" s="240"/>
      <c r="H32" s="12"/>
      <c r="I32" s="12"/>
      <c r="J32" s="360" t="str">
        <f>IF(J17="X","In MAP, to show a large number of services, it is necessary to ask for the Centreon expertise","X")</f>
        <v>X</v>
      </c>
      <c r="K32" s="361"/>
      <c r="L32" s="90"/>
      <c r="M32" s="12"/>
      <c r="N32" s="12"/>
      <c r="O32" s="12"/>
      <c r="P32" s="12"/>
      <c r="Q32" s="12"/>
      <c r="R32" s="12"/>
      <c r="S32" s="88"/>
    </row>
    <row r="33" spans="1:19" ht="18" customHeight="1" thickBot="1">
      <c r="A33" s="357"/>
      <c r="B33" s="287"/>
      <c r="C33" s="249" t="s">
        <v>248</v>
      </c>
      <c r="D33" s="241">
        <f>SUM(D23:D32)</f>
        <v>304.12336729999998</v>
      </c>
      <c r="E33" s="241">
        <f>SUM(E23:E32)</f>
        <v>0</v>
      </c>
      <c r="F33" s="241">
        <f>SUM(F23:F26,F29)</f>
        <v>38</v>
      </c>
      <c r="G33" s="242">
        <f>SUM(G23:G31)</f>
        <v>0</v>
      </c>
      <c r="H33" s="12"/>
      <c r="I33" s="12"/>
      <c r="J33" s="362"/>
      <c r="K33" s="363"/>
      <c r="L33" s="90"/>
      <c r="M33" s="12"/>
      <c r="N33" s="12"/>
      <c r="O33" s="12"/>
      <c r="P33" s="12"/>
      <c r="Q33" s="12"/>
      <c r="R33" s="12"/>
      <c r="S33" s="88"/>
    </row>
    <row r="34" spans="1:19" ht="18" customHeight="1" thickBot="1">
      <c r="A34" s="359"/>
      <c r="B34" s="288"/>
      <c r="C34" s="246" t="s">
        <v>249</v>
      </c>
      <c r="D34" s="243">
        <f>IF(Architecture!L11="X",D33*2,IF(Architecture!L12="X",D33*2,D33))</f>
        <v>304.12336729999998</v>
      </c>
      <c r="E34" s="243">
        <f>IF(Architecture!L10="X",E33*2,IF(Architecture!L12="X",E33*2,E33))</f>
        <v>0</v>
      </c>
      <c r="F34" s="243">
        <f>IF(Architecture!D11&gt;0,Architecture!D11*F33,Architecture!C11*F33)</f>
        <v>76</v>
      </c>
      <c r="G34" s="244">
        <f>IF(Architecture!B12="X",IF(Architecture!D12&gt;0,Architecture!D12*G33,Architecture!C12*G33),0)</f>
        <v>0</v>
      </c>
      <c r="H34" s="12"/>
      <c r="I34" s="12"/>
      <c r="J34" s="362"/>
      <c r="K34" s="363"/>
      <c r="L34" s="90"/>
      <c r="M34" s="12"/>
      <c r="N34" s="12"/>
      <c r="O34" s="12"/>
      <c r="P34" s="12"/>
      <c r="Q34" s="12"/>
      <c r="R34" s="12"/>
      <c r="S34" s="88"/>
    </row>
    <row r="35" spans="1:19" ht="53.25" customHeight="1" thickBot="1">
      <c r="A35" s="89"/>
      <c r="B35" s="12"/>
      <c r="C35" s="245"/>
      <c r="D35" s="12"/>
      <c r="E35" s="12"/>
      <c r="F35" s="12"/>
      <c r="G35" s="12"/>
      <c r="H35" s="12"/>
      <c r="I35" s="12"/>
      <c r="J35" s="364"/>
      <c r="K35" s="365"/>
      <c r="L35" s="90"/>
      <c r="M35" s="12"/>
      <c r="N35" s="12"/>
      <c r="O35" s="12"/>
      <c r="P35" s="12"/>
      <c r="Q35" s="12"/>
      <c r="R35" s="12"/>
      <c r="S35" s="88"/>
    </row>
    <row r="36" spans="1:19" ht="42.75" thickBot="1">
      <c r="A36" s="94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196" t="s">
        <v>259</v>
      </c>
      <c r="O36" s="197">
        <f>SUM(D34,E34,F34,G34,K30,O30,S27)</f>
        <v>387.12336729999998</v>
      </c>
      <c r="P36" s="95"/>
      <c r="Q36" s="95"/>
      <c r="R36" s="95"/>
      <c r="S36" s="96"/>
    </row>
    <row r="59" spans="18:18">
      <c r="R59" t="s">
        <v>270</v>
      </c>
    </row>
  </sheetData>
  <sheetProtection algorithmName="SHA-512" hashValue="RDFDKf1MZMEp35mKVVZjaUU7mgdLRSVKpyeGWLrXctArCDAJcDFrens4S9QCwzzegamyVaD7pKp7uU1AZp5QKA==" saltValue="tgIh02Oo4QQRivq+auYowA==" spinCount="100000" sheet="1" selectLockedCells="1"/>
  <mergeCells count="22">
    <mergeCell ref="A1:U1"/>
    <mergeCell ref="E18:E19"/>
    <mergeCell ref="C17:C18"/>
    <mergeCell ref="J18:K18"/>
    <mergeCell ref="N18:O18"/>
    <mergeCell ref="R18:S18"/>
    <mergeCell ref="N17:O17"/>
    <mergeCell ref="J17:K17"/>
    <mergeCell ref="R17:S17"/>
    <mergeCell ref="A15:S16"/>
    <mergeCell ref="D18:D19"/>
    <mergeCell ref="G18:G19"/>
    <mergeCell ref="F18:F19"/>
    <mergeCell ref="A17:A34"/>
    <mergeCell ref="J32:K35"/>
    <mergeCell ref="B24:B26"/>
    <mergeCell ref="Q24:Q26"/>
    <mergeCell ref="B27:B32"/>
    <mergeCell ref="I24:I26"/>
    <mergeCell ref="M24:M26"/>
    <mergeCell ref="M27:M29"/>
    <mergeCell ref="I27:I28"/>
  </mergeCells>
  <conditionalFormatting sqref="J20:L21 K24:L24 G24:G28 G30 E30 J25:L25 J27:L27 N25 O24:O25 N27:O27">
    <cfRule type="containsText" dxfId="60" priority="52" operator="containsText" text="X">
      <formula>NOT(ISERROR(SEARCH("X",E20)))</formula>
    </cfRule>
  </conditionalFormatting>
  <conditionalFormatting sqref="N20:N21">
    <cfRule type="containsText" dxfId="59" priority="51" operator="containsText" text="X">
      <formula>NOT(ISERROR(SEARCH("X",N20)))</formula>
    </cfRule>
  </conditionalFormatting>
  <conditionalFormatting sqref="R20:R21 R25:R26">
    <cfRule type="containsText" dxfId="58" priority="50" operator="containsText" text="X">
      <formula>NOT(ISERROR(SEARCH("X",R20)))</formula>
    </cfRule>
  </conditionalFormatting>
  <conditionalFormatting sqref="G35:G2232">
    <cfRule type="containsText" dxfId="57" priority="49" operator="containsText" text="X">
      <formula>NOT(ISERROR(SEARCH("X",G35)))</formula>
    </cfRule>
  </conditionalFormatting>
  <conditionalFormatting sqref="F20:F21">
    <cfRule type="containsText" dxfId="56" priority="47" operator="containsText" text="X">
      <formula>NOT(ISERROR(SEARCH("X",F20)))</formula>
    </cfRule>
  </conditionalFormatting>
  <conditionalFormatting sqref="E27:E28 E20:E21">
    <cfRule type="containsText" dxfId="55" priority="41" operator="containsText" text="X">
      <formula>NOT(ISERROR(SEARCH("X",E20)))</formula>
    </cfRule>
  </conditionalFormatting>
  <conditionalFormatting sqref="O20:O21">
    <cfRule type="containsText" dxfId="54" priority="37" operator="containsText" text="X">
      <formula>NOT(ISERROR(SEARCH("X",O20)))</formula>
    </cfRule>
  </conditionalFormatting>
  <conditionalFormatting sqref="G20:G21">
    <cfRule type="containsText" dxfId="53" priority="35" operator="containsText" text="X">
      <formula>NOT(ISERROR(SEARCH("X",G20)))</formula>
    </cfRule>
  </conditionalFormatting>
  <conditionalFormatting sqref="S20:S21">
    <cfRule type="containsText" dxfId="52" priority="33" operator="containsText" text="X">
      <formula>NOT(ISERROR(SEARCH("X",S20)))</formula>
    </cfRule>
  </conditionalFormatting>
  <conditionalFormatting sqref="S24:S26">
    <cfRule type="containsText" dxfId="51" priority="32" operator="containsText" text="X">
      <formula>NOT(ISERROR(SEARCH("X",S24)))</formula>
    </cfRule>
  </conditionalFormatting>
  <conditionalFormatting sqref="D31:D32">
    <cfRule type="containsText" dxfId="50" priority="31" operator="containsText" text="X">
      <formula>NOT(ISERROR(SEARCH("X",D31)))</formula>
    </cfRule>
  </conditionalFormatting>
  <conditionalFormatting sqref="E24">
    <cfRule type="containsText" dxfId="49" priority="30" operator="containsText" text="X">
      <formula>NOT(ISERROR(SEARCH("X",E24)))</formula>
    </cfRule>
  </conditionalFormatting>
  <conditionalFormatting sqref="E26">
    <cfRule type="containsText" dxfId="48" priority="29" operator="containsText" text="X">
      <formula>NOT(ISERROR(SEARCH("X",E26)))</formula>
    </cfRule>
  </conditionalFormatting>
  <conditionalFormatting sqref="E25">
    <cfRule type="containsText" dxfId="47" priority="28" operator="containsText" text="X">
      <formula>NOT(ISERROR(SEARCH("X",E25)))</formula>
    </cfRule>
  </conditionalFormatting>
  <conditionalFormatting sqref="D23:G23 O23 S23 K23 D30">
    <cfRule type="cellIs" dxfId="46" priority="24" operator="equal">
      <formula>"X"</formula>
    </cfRule>
  </conditionalFormatting>
  <conditionalFormatting sqref="F24:F26">
    <cfRule type="cellIs" dxfId="45" priority="22" operator="equal">
      <formula>"X"</formula>
    </cfRule>
  </conditionalFormatting>
  <conditionalFormatting sqref="J26">
    <cfRule type="containsText" dxfId="44" priority="21" operator="containsText" text="X">
      <formula>NOT(ISERROR(SEARCH("X",J26)))</formula>
    </cfRule>
  </conditionalFormatting>
  <conditionalFormatting sqref="K26:L26">
    <cfRule type="containsText" dxfId="43" priority="20" operator="containsText" text="X">
      <formula>NOT(ISERROR(SEARCH("X",K26)))</formula>
    </cfRule>
  </conditionalFormatting>
  <conditionalFormatting sqref="N26">
    <cfRule type="containsText" dxfId="42" priority="19" operator="containsText" text="X">
      <formula>NOT(ISERROR(SEARCH("X",N26)))</formula>
    </cfRule>
  </conditionalFormatting>
  <conditionalFormatting sqref="O26">
    <cfRule type="containsText" dxfId="41" priority="18" operator="containsText" text="X">
      <formula>NOT(ISERROR(SEARCH("X",O26)))</formula>
    </cfRule>
  </conditionalFormatting>
  <conditionalFormatting sqref="N28">
    <cfRule type="containsText" dxfId="40" priority="17" operator="containsText" text="X">
      <formula>NOT(ISERROR(SEARCH("X",N28)))</formula>
    </cfRule>
  </conditionalFormatting>
  <conditionalFormatting sqref="O28">
    <cfRule type="containsText" dxfId="39" priority="16" operator="containsText" text="X">
      <formula>NOT(ISERROR(SEARCH("X",O28)))</formula>
    </cfRule>
  </conditionalFormatting>
  <conditionalFormatting sqref="G31">
    <cfRule type="containsText" dxfId="38" priority="15" operator="containsText" text="X">
      <formula>NOT(ISERROR(SEARCH("X",G31)))</formula>
    </cfRule>
  </conditionalFormatting>
  <conditionalFormatting sqref="E31:E32">
    <cfRule type="containsText" dxfId="37" priority="14" operator="containsText" text="X">
      <formula>NOT(ISERROR(SEARCH("X",E31)))</formula>
    </cfRule>
  </conditionalFormatting>
  <conditionalFormatting sqref="J32:L35">
    <cfRule type="cellIs" dxfId="36" priority="13" operator="equal">
      <formula>"X"</formula>
    </cfRule>
  </conditionalFormatting>
  <conditionalFormatting sqref="E29">
    <cfRule type="containsText" dxfId="35" priority="12" operator="containsText" text="X">
      <formula>NOT(ISERROR(SEARCH("X",E29)))</formula>
    </cfRule>
  </conditionalFormatting>
  <conditionalFormatting sqref="F29">
    <cfRule type="containsText" dxfId="34" priority="11" operator="containsText" text="X">
      <formula>NOT(ISERROR(SEARCH("X",F29)))</formula>
    </cfRule>
  </conditionalFormatting>
  <conditionalFormatting sqref="G29">
    <cfRule type="containsText" dxfId="33" priority="10" operator="containsText" text="X">
      <formula>NOT(ISERROR(SEARCH("X",G29)))</formula>
    </cfRule>
  </conditionalFormatting>
  <conditionalFormatting sqref="M24">
    <cfRule type="containsText" dxfId="32" priority="9" operator="containsText" text="X">
      <formula>NOT(ISERROR(SEARCH("X",M24)))</formula>
    </cfRule>
  </conditionalFormatting>
  <conditionalFormatting sqref="M27">
    <cfRule type="containsText" dxfId="31" priority="8" operator="containsText" text="X">
      <formula>NOT(ISERROR(SEARCH("X",M27)))</formula>
    </cfRule>
  </conditionalFormatting>
  <conditionalFormatting sqref="I24">
    <cfRule type="containsText" dxfId="30" priority="7" operator="containsText" text="X">
      <formula>NOT(ISERROR(SEARCH("X",I24)))</formula>
    </cfRule>
  </conditionalFormatting>
  <conditionalFormatting sqref="I27">
    <cfRule type="containsText" dxfId="29" priority="6" operator="containsText" text="X">
      <formula>NOT(ISERROR(SEARCH("X",I27)))</formula>
    </cfRule>
  </conditionalFormatting>
  <conditionalFormatting sqref="B24">
    <cfRule type="containsText" dxfId="28" priority="5" operator="containsText" text="X">
      <formula>NOT(ISERROR(SEARCH("X",B24)))</formula>
    </cfRule>
  </conditionalFormatting>
  <conditionalFormatting sqref="B27">
    <cfRule type="containsText" dxfId="27" priority="4" operator="containsText" text="X">
      <formula>NOT(ISERROR(SEARCH("X",B27)))</formula>
    </cfRule>
  </conditionalFormatting>
  <conditionalFormatting sqref="Q24">
    <cfRule type="containsText" dxfId="26" priority="3" operator="containsText" text="X">
      <formula>NOT(ISERROR(SEARCH("X",Q24)))</formula>
    </cfRule>
  </conditionalFormatting>
  <conditionalFormatting sqref="O29">
    <cfRule type="containsText" dxfId="25" priority="2" operator="containsText" text="X">
      <formula>NOT(ISERROR(SEARCH("X",O29)))</formula>
    </cfRule>
  </conditionalFormatting>
  <conditionalFormatting sqref="K28">
    <cfRule type="containsText" dxfId="24" priority="1" operator="containsText" text="X">
      <formula>NOT(ISERROR(SEARCH("X",K28)))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4B625-9346-4778-A19D-91A0768FB6F1}">
  <sheetPr codeName="Feuil5"/>
  <dimension ref="A1:E37"/>
  <sheetViews>
    <sheetView topLeftCell="A28" workbookViewId="0">
      <selection activeCell="E57" sqref="E57"/>
    </sheetView>
  </sheetViews>
  <sheetFormatPr baseColWidth="10" defaultRowHeight="15"/>
  <cols>
    <col min="1" max="1" width="32.7109375" customWidth="1"/>
    <col min="2" max="2" width="23" customWidth="1"/>
    <col min="3" max="3" width="18.140625" bestFit="1" customWidth="1"/>
    <col min="4" max="4" width="19.140625" customWidth="1"/>
  </cols>
  <sheetData>
    <row r="1" spans="1:5" ht="14.45" customHeight="1">
      <c r="A1" s="331" t="s">
        <v>261</v>
      </c>
      <c r="B1" s="332"/>
      <c r="C1" s="332"/>
      <c r="D1" s="332"/>
      <c r="E1" s="333"/>
    </row>
    <row r="2" spans="1:5" ht="33.6" customHeight="1" thickBot="1">
      <c r="A2" s="329"/>
      <c r="B2" s="330"/>
      <c r="C2" s="330"/>
      <c r="D2" s="330"/>
      <c r="E2" s="334"/>
    </row>
    <row r="3" spans="1:5" ht="15.75" thickBot="1">
      <c r="A3" s="19" t="s">
        <v>262</v>
      </c>
      <c r="B3" s="206">
        <v>1000</v>
      </c>
      <c r="C3" s="12"/>
      <c r="D3" s="12"/>
      <c r="E3" s="88"/>
    </row>
    <row r="4" spans="1:5" ht="15.75" thickBot="1">
      <c r="A4" s="19" t="s">
        <v>263</v>
      </c>
      <c r="B4" s="187">
        <v>10000</v>
      </c>
      <c r="C4" s="12"/>
      <c r="D4" s="12"/>
      <c r="E4" s="88"/>
    </row>
    <row r="5" spans="1:5" ht="15.75" thickBot="1">
      <c r="A5" s="19" t="s">
        <v>264</v>
      </c>
      <c r="B5" s="207"/>
      <c r="C5" s="12"/>
      <c r="D5" s="12"/>
      <c r="E5" s="88"/>
    </row>
    <row r="6" spans="1:5" ht="15.75" thickBot="1">
      <c r="A6" s="5"/>
      <c r="D6" s="12"/>
      <c r="E6" s="88"/>
    </row>
    <row r="7" spans="1:5" ht="30.75" thickBot="1">
      <c r="A7" s="340" t="s">
        <v>265</v>
      </c>
      <c r="B7" s="366"/>
      <c r="C7" s="366"/>
      <c r="D7" s="367"/>
      <c r="E7" s="274" t="s">
        <v>236</v>
      </c>
    </row>
    <row r="8" spans="1:5" ht="29.45" customHeight="1">
      <c r="A8" s="373" t="s">
        <v>238</v>
      </c>
      <c r="B8" s="374"/>
      <c r="C8" s="375"/>
      <c r="D8" s="52">
        <v>6</v>
      </c>
      <c r="E8" s="275">
        <f>(D8/12)*365</f>
        <v>182.5</v>
      </c>
    </row>
    <row r="9" spans="1:5">
      <c r="A9" s="368" t="s">
        <v>239</v>
      </c>
      <c r="B9" s="369"/>
      <c r="C9" s="370"/>
      <c r="D9" s="53">
        <v>6</v>
      </c>
      <c r="E9" s="275">
        <f>(D9/12)*365</f>
        <v>182.5</v>
      </c>
    </row>
    <row r="10" spans="1:5" ht="14.45" customHeight="1">
      <c r="A10" s="373" t="s">
        <v>240</v>
      </c>
      <c r="B10" s="374"/>
      <c r="C10" s="375"/>
      <c r="D10" s="53">
        <v>1</v>
      </c>
      <c r="E10" s="275">
        <f>(D10/12)*365</f>
        <v>30.416666666666664</v>
      </c>
    </row>
    <row r="11" spans="1:5" ht="14.45" customHeight="1" thickBot="1">
      <c r="A11" s="376" t="s">
        <v>237</v>
      </c>
      <c r="B11" s="377"/>
      <c r="C11" s="378"/>
      <c r="D11" s="54">
        <v>12</v>
      </c>
      <c r="E11" s="276">
        <f>(D11/12)*365</f>
        <v>365</v>
      </c>
    </row>
    <row r="12" spans="1:5" ht="15" customHeight="1" thickBot="1">
      <c r="A12" s="5"/>
      <c r="E12" s="88"/>
    </row>
    <row r="13" spans="1:5" ht="15" customHeight="1">
      <c r="A13" s="191" t="s">
        <v>230</v>
      </c>
      <c r="B13" s="191" t="s">
        <v>231</v>
      </c>
      <c r="C13" s="191" t="s">
        <v>232</v>
      </c>
      <c r="D13" s="16" t="s">
        <v>233</v>
      </c>
      <c r="E13" s="88"/>
    </row>
    <row r="14" spans="1:5">
      <c r="A14" s="227" t="s">
        <v>266</v>
      </c>
      <c r="B14" s="226" t="s">
        <v>0</v>
      </c>
      <c r="C14" s="211">
        <f>IF(B14="X",IF(B4&gt;0,IF(B4&lt;=2000,"0",IF(B4&gt;2000,ROUNDUP(B4/7500,0))),IF(Architecture!B3&lt;=2000,"0",IF(B4&gt;2000,ROUNDUP(B4/7500,0)))),0)</f>
        <v>2</v>
      </c>
      <c r="D14" s="187"/>
      <c r="E14" s="88"/>
    </row>
    <row r="15" spans="1:5" ht="15.75" thickBot="1">
      <c r="A15" s="227" t="s">
        <v>267</v>
      </c>
      <c r="B15" s="226"/>
      <c r="C15" s="225"/>
      <c r="D15" s="228"/>
      <c r="E15" s="88"/>
    </row>
    <row r="16" spans="1:5" ht="19.5" thickBot="1">
      <c r="A16" s="382" t="str">
        <f>IF(B15="X", "Total (Poller+Remote)","Total Poller")</f>
        <v>Total Poller</v>
      </c>
      <c r="B16" s="383"/>
      <c r="C16" s="371">
        <f>IF(B15="X",IF(D14="",C14+1,D14+1),IF(D14="",C14,D14))</f>
        <v>2</v>
      </c>
      <c r="D16" s="372"/>
      <c r="E16" s="88"/>
    </row>
    <row r="17" spans="1:5" ht="19.5" thickBot="1">
      <c r="A17" s="384" t="s">
        <v>268</v>
      </c>
      <c r="B17" s="385"/>
      <c r="C17" s="325">
        <f>IF(B15="X",B4/(C16),B4/(C16))</f>
        <v>5000</v>
      </c>
      <c r="D17" s="326"/>
      <c r="E17" s="88"/>
    </row>
    <row r="18" spans="1:5" ht="19.5" thickBot="1">
      <c r="A18" s="384" t="s">
        <v>269</v>
      </c>
      <c r="B18" s="386"/>
      <c r="C18" s="379">
        <f>B4</f>
        <v>10000</v>
      </c>
      <c r="D18" s="326"/>
      <c r="E18" s="88"/>
    </row>
    <row r="19" spans="1:5">
      <c r="A19" s="89"/>
      <c r="B19" s="12"/>
      <c r="C19" s="12"/>
      <c r="D19" s="12"/>
      <c r="E19" s="88"/>
    </row>
    <row r="20" spans="1:5" ht="15.75" thickBot="1">
      <c r="A20" s="89"/>
      <c r="B20" s="12"/>
      <c r="C20" s="12"/>
      <c r="D20" s="12"/>
      <c r="E20" s="88"/>
    </row>
    <row r="21" spans="1:5" ht="16.149999999999999" customHeight="1" thickBot="1">
      <c r="A21" s="89"/>
      <c r="B21" s="12"/>
      <c r="C21" s="387" t="str">
        <f>1&amp;" Remote Server"</f>
        <v>1 Remote Server</v>
      </c>
      <c r="D21" s="387" t="str">
        <f>IF(D14&gt;0,D14&amp;" Poller(s)",C14&amp;" Poller(s)")</f>
        <v>2 Poller(s)</v>
      </c>
      <c r="E21" s="88"/>
    </row>
    <row r="22" spans="1:5" ht="16.5" thickBot="1">
      <c r="A22" s="89"/>
      <c r="B22" s="263" t="s">
        <v>250</v>
      </c>
      <c r="C22" s="388"/>
      <c r="D22" s="388"/>
      <c r="E22" s="88"/>
    </row>
    <row r="23" spans="1:5" ht="41.45" customHeight="1">
      <c r="A23" s="89"/>
      <c r="B23" s="268" t="s">
        <v>6</v>
      </c>
      <c r="C23" s="292" t="str">
        <f>IF(C18&lt;='Final sizing'!D3,"1vCPU",IF(AND(C18&gt;'Final sizing'!C4,C18&lt;='Final sizing'!D4),"2vCPU",IF(AND(C18&gt;'Final sizing'!C5,C18&lt;='Final sizing'!D5),"4vCPU",IF(C18&gt;'Final sizing'!C6,"4vCPU","Consulter Centreon"))))</f>
        <v>4vCPU</v>
      </c>
      <c r="D23" s="194" t="str">
        <f>IF(B14="",0,IF(C17&lt;='Final sizing'!K3,"2vCPU",IF(AND(C17&gt;='Final sizing'!K3,C17&lt;='Final sizing'!K4),"4vCPU","Consulter Centreon")))</f>
        <v>2vCPU</v>
      </c>
      <c r="E23" s="88"/>
    </row>
    <row r="24" spans="1:5" ht="15.75" thickBot="1">
      <c r="A24" s="89"/>
      <c r="B24" s="268" t="s">
        <v>253</v>
      </c>
      <c r="C24" s="292" t="str">
        <f>IF(C18&lt;='Final sizing'!D3,"1",IF(AND(C18&gt;'Final sizing'!D3,C18&lt;='Final sizing'!D4),"2",IF(AND(C18&gt;'Final sizing'!D4,C18&lt;='Final sizing'!D5),"4",IF(AND(C18&gt;'Final sizing'!D5,C18&lt;='Final sizing'!D8),"8","Consulter Centreon"))))</f>
        <v>8</v>
      </c>
      <c r="D24" s="194" t="str">
        <f>IF(B14="",0,IF(C17&lt;='Final sizing'!K3,"2",IF(AND(C17&gt;='Final sizing'!K3,C17&lt;=J7),"4","Consulter Centreon")))</f>
        <v>2</v>
      </c>
      <c r="E24" s="88"/>
    </row>
    <row r="25" spans="1:5" ht="16.5" thickBot="1">
      <c r="A25" s="89"/>
      <c r="B25" s="263" t="s">
        <v>251</v>
      </c>
      <c r="C25" s="246" t="s">
        <v>252</v>
      </c>
      <c r="D25" s="248" t="s">
        <v>252</v>
      </c>
      <c r="E25" s="88"/>
    </row>
    <row r="26" spans="1:5">
      <c r="A26" s="89"/>
      <c r="B26" s="269" t="s">
        <v>175</v>
      </c>
      <c r="C26" s="293">
        <f>1</f>
        <v>1</v>
      </c>
      <c r="D26" s="195">
        <f>IF(B14="",0,1)</f>
        <v>1</v>
      </c>
      <c r="E26" s="88"/>
    </row>
    <row r="27" spans="1:5" ht="33.75">
      <c r="A27" s="342" t="s">
        <v>280</v>
      </c>
      <c r="B27" s="269" t="s">
        <v>272</v>
      </c>
      <c r="C27" s="292">
        <v>20</v>
      </c>
      <c r="D27" s="195">
        <f>IF(B14="",0,20)</f>
        <v>20</v>
      </c>
      <c r="E27" s="88"/>
    </row>
    <row r="28" spans="1:5">
      <c r="A28" s="343"/>
      <c r="B28" s="268" t="s">
        <v>4</v>
      </c>
      <c r="C28" s="292" t="str">
        <f>C24</f>
        <v>8</v>
      </c>
      <c r="D28" s="195" t="str">
        <f>D24</f>
        <v>2</v>
      </c>
      <c r="E28" s="88"/>
    </row>
    <row r="29" spans="1:5" ht="34.5" thickBot="1">
      <c r="A29" s="344"/>
      <c r="B29" s="269" t="s">
        <v>273</v>
      </c>
      <c r="C29" s="292">
        <v>10</v>
      </c>
      <c r="D29" s="195">
        <f>IF(B14="",0,10)</f>
        <v>10</v>
      </c>
      <c r="E29" s="88"/>
    </row>
    <row r="30" spans="1:5">
      <c r="A30" s="345" t="s">
        <v>281</v>
      </c>
      <c r="B30" s="268" t="s">
        <v>3</v>
      </c>
      <c r="C30" s="294">
        <f>IF(C18&lt;='Final sizing'!D3,'Final sizing'!G3,IF(AND(C18&gt;'Final sizing'!C4,C18&lt;='Final sizing'!D4),'Final sizing'!G4,'RS so Main server and BI serve'!H70))</f>
        <v>13.5</v>
      </c>
      <c r="D30" s="295"/>
      <c r="E30" s="88"/>
    </row>
    <row r="31" spans="1:5" ht="48.75">
      <c r="A31" s="343"/>
      <c r="B31" s="269" t="s">
        <v>247</v>
      </c>
      <c r="C31" s="292">
        <v>5</v>
      </c>
      <c r="D31" s="195">
        <f>IF(B14="",0,IF(C17&lt;'Final sizing'!K3,5,IF(AND(C17&gt;'Final sizing'!K3,C17&lt;'Final sizing'!K4),"10","Consulter Centreon")))</f>
        <v>5</v>
      </c>
      <c r="E31" s="88"/>
    </row>
    <row r="32" spans="1:5" ht="48.75">
      <c r="A32" s="343"/>
      <c r="B32" s="269" t="s">
        <v>277</v>
      </c>
      <c r="C32" s="292">
        <v>5</v>
      </c>
      <c r="D32" s="195">
        <f>IF(B14="",0,5)</f>
        <v>5</v>
      </c>
      <c r="E32" s="88"/>
    </row>
    <row r="33" spans="1:5">
      <c r="A33" s="343"/>
      <c r="B33" s="268" t="s">
        <v>2</v>
      </c>
      <c r="C33" s="294">
        <f>IF(C18&lt;='Final sizing'!D3,'Final sizing'!G3,IF(AND(C18&gt;'Final sizing'!C4,C18&lt;='Final sizing'!D4),'Final sizing'!G4,'RS so Main server and BI serve'!H77))</f>
        <v>106.54423730000001</v>
      </c>
      <c r="D33" s="295"/>
      <c r="E33" s="88"/>
    </row>
    <row r="34" spans="1:5" ht="30">
      <c r="A34" s="343"/>
      <c r="B34" s="269" t="s">
        <v>283</v>
      </c>
      <c r="C34" s="298">
        <f>'AVV config'!C7</f>
        <v>10</v>
      </c>
      <c r="D34" s="295"/>
      <c r="E34" s="88"/>
    </row>
    <row r="35" spans="1:5" ht="30.75" thickBot="1">
      <c r="A35" s="344"/>
      <c r="B35" s="269" t="s">
        <v>260</v>
      </c>
      <c r="C35" s="296">
        <v>5</v>
      </c>
      <c r="D35" s="297"/>
      <c r="E35" s="88"/>
    </row>
    <row r="36" spans="1:5" ht="32.25" thickBot="1">
      <c r="A36" s="5"/>
      <c r="B36" s="264" t="s">
        <v>248</v>
      </c>
      <c r="C36" s="231">
        <f>SUM(C26:C35)</f>
        <v>176.04423730000002</v>
      </c>
      <c r="D36" s="278">
        <f>SUM(D26:D29,D31)</f>
        <v>36</v>
      </c>
      <c r="E36" s="88"/>
    </row>
    <row r="37" spans="1:5" ht="16.5" thickBot="1">
      <c r="A37" s="291"/>
      <c r="B37" s="263" t="s">
        <v>249</v>
      </c>
      <c r="C37" s="380">
        <f>SUM(C36)+IF(D14="",SUM(D26:D29,D31)*C14,SUM(D26:D29,D31)*D14)</f>
        <v>248.04423730000002</v>
      </c>
      <c r="D37" s="381"/>
      <c r="E37" s="96"/>
    </row>
  </sheetData>
  <sheetProtection algorithmName="SHA-512" hashValue="akmJYDKY6tFZBiASabfhNPqW4KIvza5O0BsZL3OJUsm6dZREbVYidnEci+pOZ4l8SrSvatfpbZnhJbXGtKQrdg==" saltValue="ltNrJXfavXRWwPEkQhX48w==" spinCount="100000" sheet="1" objects="1" scenarios="1"/>
  <mergeCells count="17">
    <mergeCell ref="A27:A29"/>
    <mergeCell ref="A30:A35"/>
    <mergeCell ref="C18:D18"/>
    <mergeCell ref="C37:D37"/>
    <mergeCell ref="A16:B16"/>
    <mergeCell ref="A17:B17"/>
    <mergeCell ref="A18:B18"/>
    <mergeCell ref="C21:C22"/>
    <mergeCell ref="D21:D22"/>
    <mergeCell ref="A1:E2"/>
    <mergeCell ref="A7:D7"/>
    <mergeCell ref="A9:C9"/>
    <mergeCell ref="C16:D16"/>
    <mergeCell ref="C17:D17"/>
    <mergeCell ref="A8:C8"/>
    <mergeCell ref="A10:C10"/>
    <mergeCell ref="A11:C11"/>
  </mergeCells>
  <conditionalFormatting sqref="C23:C24">
    <cfRule type="containsText" dxfId="23" priority="16" operator="containsText" text="X">
      <formula>NOT(ISERROR(SEARCH("X",C23)))</formula>
    </cfRule>
  </conditionalFormatting>
  <conditionalFormatting sqref="C27:C33">
    <cfRule type="containsText" dxfId="22" priority="15" operator="containsText" text="X">
      <formula>NOT(ISERROR(SEARCH("X",C27)))</formula>
    </cfRule>
  </conditionalFormatting>
  <conditionalFormatting sqref="C26">
    <cfRule type="cellIs" dxfId="21" priority="14" operator="equal">
      <formula>"X"</formula>
    </cfRule>
  </conditionalFormatting>
  <conditionalFormatting sqref="C14:C15">
    <cfRule type="cellIs" dxfId="20" priority="12" operator="equal">
      <formula>0</formula>
    </cfRule>
  </conditionalFormatting>
  <conditionalFormatting sqref="D23">
    <cfRule type="containsText" dxfId="19" priority="11" operator="containsText" text="X">
      <formula>NOT(ISERROR(SEARCH("X",D23)))</formula>
    </cfRule>
  </conditionalFormatting>
  <conditionalFormatting sqref="D26">
    <cfRule type="cellIs" dxfId="18" priority="10" operator="equal">
      <formula>"X"</formula>
    </cfRule>
  </conditionalFormatting>
  <conditionalFormatting sqref="D27 D31:D32 D29">
    <cfRule type="cellIs" dxfId="17" priority="9" operator="equal">
      <formula>"X"</formula>
    </cfRule>
  </conditionalFormatting>
  <conditionalFormatting sqref="D23 D26:D27 D29:D35">
    <cfRule type="cellIs" dxfId="16" priority="8" operator="equal">
      <formula>0</formula>
    </cfRule>
  </conditionalFormatting>
  <conditionalFormatting sqref="D15">
    <cfRule type="cellIs" dxfId="15" priority="7" operator="equal">
      <formula>0</formula>
    </cfRule>
  </conditionalFormatting>
  <conditionalFormatting sqref="D28">
    <cfRule type="cellIs" dxfId="14" priority="6" operator="equal">
      <formula>"X"</formula>
    </cfRule>
  </conditionalFormatting>
  <conditionalFormatting sqref="D28">
    <cfRule type="cellIs" dxfId="13" priority="5" operator="equal">
      <formula>0</formula>
    </cfRule>
  </conditionalFormatting>
  <conditionalFormatting sqref="D24">
    <cfRule type="containsText" dxfId="12" priority="4" operator="containsText" text="X">
      <formula>NOT(ISERROR(SEARCH("X",D24)))</formula>
    </cfRule>
  </conditionalFormatting>
  <conditionalFormatting sqref="D24">
    <cfRule type="cellIs" dxfId="11" priority="3" operator="equal">
      <formula>0</formula>
    </cfRule>
  </conditionalFormatting>
  <conditionalFormatting sqref="A27">
    <cfRule type="containsText" dxfId="10" priority="2" operator="containsText" text="X">
      <formula>NOT(ISERROR(SEARCH("X",A27)))</formula>
    </cfRule>
  </conditionalFormatting>
  <conditionalFormatting sqref="A30">
    <cfRule type="containsText" dxfId="9" priority="1" operator="containsText" text="X">
      <formula>NOT(ISERROR(SEARCH("X",A30)))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B2DA8-65DF-4F32-A898-5781D136BE51}">
  <sheetPr codeName="Feuil7"/>
  <dimension ref="A1:R80"/>
  <sheetViews>
    <sheetView topLeftCell="D52" zoomScale="70" zoomScaleNormal="70" workbookViewId="0">
      <selection activeCell="H78" sqref="H78"/>
    </sheetView>
  </sheetViews>
  <sheetFormatPr baseColWidth="10" defaultColWidth="11.42578125" defaultRowHeight="12.75"/>
  <cols>
    <col min="1" max="1" width="8.7109375" style="113" customWidth="1"/>
    <col min="2" max="2" width="3.85546875" style="113" customWidth="1"/>
    <col min="3" max="3" width="40.7109375" style="113" bestFit="1" customWidth="1"/>
    <col min="4" max="4" width="23" style="113" bestFit="1" customWidth="1"/>
    <col min="5" max="5" width="28.7109375" style="113" bestFit="1" customWidth="1"/>
    <col min="6" max="6" width="23.42578125" style="113" bestFit="1" customWidth="1"/>
    <col min="7" max="7" width="28.85546875" style="113" customWidth="1"/>
    <col min="8" max="8" width="24" style="113" customWidth="1"/>
    <col min="9" max="9" width="26.28515625" style="113" customWidth="1"/>
    <col min="10" max="10" width="29" style="113" customWidth="1"/>
    <col min="11" max="11" width="22.85546875" style="113" customWidth="1"/>
    <col min="12" max="16384" width="11.42578125" style="113"/>
  </cols>
  <sheetData>
    <row r="1" spans="1:18" ht="15" customHeight="1">
      <c r="A1" s="422" t="s">
        <v>173</v>
      </c>
      <c r="B1" s="422"/>
      <c r="C1" s="422"/>
      <c r="D1" s="422"/>
      <c r="E1" s="423" t="s">
        <v>172</v>
      </c>
      <c r="F1" s="423"/>
      <c r="G1" s="423"/>
      <c r="H1" s="112"/>
      <c r="M1" s="114" t="s">
        <v>171</v>
      </c>
    </row>
    <row r="2" spans="1:18" ht="13.5" thickBot="1"/>
    <row r="3" spans="1:18" s="116" customFormat="1" ht="24.75" customHeight="1">
      <c r="A3" s="424" t="s">
        <v>170</v>
      </c>
      <c r="B3" s="425"/>
      <c r="C3" s="425"/>
      <c r="D3" s="425"/>
      <c r="E3" s="425"/>
      <c r="F3" s="425" t="s">
        <v>169</v>
      </c>
      <c r="G3" s="426"/>
      <c r="H3" s="115"/>
    </row>
    <row r="4" spans="1:18" s="116" customFormat="1" ht="29.25" customHeight="1" thickBot="1">
      <c r="A4" s="427" t="s">
        <v>168</v>
      </c>
      <c r="B4" s="428"/>
      <c r="C4" s="428"/>
      <c r="D4" s="428"/>
      <c r="E4" s="428"/>
      <c r="F4" s="428"/>
      <c r="G4" s="429"/>
      <c r="H4" s="117"/>
    </row>
    <row r="5" spans="1:18" ht="13.5" thickBot="1"/>
    <row r="6" spans="1:18" ht="22.5" customHeight="1" thickTop="1">
      <c r="A6" s="392" t="s">
        <v>130</v>
      </c>
      <c r="B6" s="118"/>
      <c r="C6" s="430" t="s">
        <v>167</v>
      </c>
      <c r="D6" s="430"/>
      <c r="E6" s="430"/>
      <c r="F6" s="430"/>
      <c r="G6" s="431"/>
      <c r="H6" s="119"/>
      <c r="I6" s="120"/>
      <c r="J6" s="120"/>
      <c r="K6" s="120"/>
    </row>
    <row r="7" spans="1:18" ht="38.25">
      <c r="A7" s="390"/>
      <c r="B7" s="121"/>
      <c r="C7" s="122" t="s">
        <v>166</v>
      </c>
      <c r="D7" s="122" t="s">
        <v>165</v>
      </c>
      <c r="E7" s="122" t="s">
        <v>164</v>
      </c>
      <c r="F7" s="122" t="s">
        <v>163</v>
      </c>
      <c r="G7" s="123" t="s">
        <v>162</v>
      </c>
      <c r="H7" s="124" t="s">
        <v>161</v>
      </c>
      <c r="I7" s="125" t="s">
        <v>160</v>
      </c>
      <c r="J7" s="125" t="s">
        <v>159</v>
      </c>
      <c r="K7" s="125" t="s">
        <v>158</v>
      </c>
    </row>
    <row r="8" spans="1:18" ht="15">
      <c r="A8" s="390"/>
      <c r="B8" s="121"/>
      <c r="C8" s="126" t="s">
        <v>157</v>
      </c>
      <c r="D8" s="190">
        <f>'Remote Server Sizing'!C18</f>
        <v>10000</v>
      </c>
      <c r="E8" s="127">
        <v>2</v>
      </c>
      <c r="F8" s="127">
        <v>5</v>
      </c>
      <c r="G8" s="128">
        <f>IF('Remote Server Sizing'!B5="",D8*E8,'Remote Server Sizing'!B5)</f>
        <v>20000</v>
      </c>
      <c r="H8" s="129">
        <f>'Remote Server Sizing'!$E$9*(86400/(F8*60))*G8</f>
        <v>1051200000</v>
      </c>
      <c r="I8" s="130">
        <f>(('Remote Server Sizing'!$E$11*24*60)/F8)*D8</f>
        <v>1051200000</v>
      </c>
      <c r="J8" s="131">
        <f>((450000*5/F8)*G8)*('Remote Server Sizing'!$D$8/6)</f>
        <v>9000000000</v>
      </c>
      <c r="K8" s="131">
        <f>IF(E8&lt;&gt;0,((450000*5/F8)*D8)*('Remote Server Sizing'!$D$8/6),0)</f>
        <v>4500000000</v>
      </c>
      <c r="R8" s="132"/>
    </row>
    <row r="9" spans="1:18" ht="15">
      <c r="A9" s="390"/>
      <c r="B9" s="121"/>
      <c r="C9" s="126" t="s">
        <v>156</v>
      </c>
      <c r="D9" s="127">
        <v>0</v>
      </c>
      <c r="E9" s="127">
        <v>2</v>
      </c>
      <c r="F9" s="127">
        <v>5</v>
      </c>
      <c r="G9" s="128">
        <f t="shared" ref="G9:G32" si="0">D9*E9</f>
        <v>0</v>
      </c>
      <c r="H9" s="129">
        <f>Architecture!$E$22*(86400/(F9*60))*G9</f>
        <v>0</v>
      </c>
      <c r="I9" s="130">
        <f>((Architecture!$E$24*24*60)/F9)*D9</f>
        <v>0</v>
      </c>
      <c r="J9" s="131">
        <f>((450000*5/F9)*G9)*(Architecture!$D$21/6)</f>
        <v>0</v>
      </c>
      <c r="K9" s="131">
        <f>IF(E9&lt;&gt;0,((450000*5/F9)*D9)*(Architecture!$D$21/6),0)</f>
        <v>0</v>
      </c>
      <c r="R9" s="132"/>
    </row>
    <row r="10" spans="1:18" ht="15">
      <c r="A10" s="390"/>
      <c r="B10" s="121"/>
      <c r="C10" s="126" t="s">
        <v>155</v>
      </c>
      <c r="D10" s="133">
        <v>0</v>
      </c>
      <c r="E10" s="133">
        <v>2</v>
      </c>
      <c r="F10" s="127">
        <v>5</v>
      </c>
      <c r="G10" s="128">
        <f>D10*E10</f>
        <v>0</v>
      </c>
      <c r="H10" s="129">
        <f>Architecture!$E$22*(86400/(F10*60))*G10</f>
        <v>0</v>
      </c>
      <c r="I10" s="130">
        <f>((Architecture!$E$24*24*60)/F10)*D10</f>
        <v>0</v>
      </c>
      <c r="J10" s="131">
        <f>((450000*5/F10)*G10)*(Architecture!$D$21/6)</f>
        <v>0</v>
      </c>
      <c r="K10" s="131">
        <f>IF(E10&lt;&gt;0,((450000*5/F10)*D10)*(Architecture!$D$21/6),0)</f>
        <v>0</v>
      </c>
      <c r="R10" s="132"/>
    </row>
    <row r="11" spans="1:18" ht="15">
      <c r="A11" s="390"/>
      <c r="B11" s="121"/>
      <c r="C11" s="126" t="s">
        <v>154</v>
      </c>
      <c r="D11" s="133">
        <v>0</v>
      </c>
      <c r="E11" s="133">
        <v>1</v>
      </c>
      <c r="F11" s="127">
        <v>5</v>
      </c>
      <c r="G11" s="128">
        <f t="shared" si="0"/>
        <v>0</v>
      </c>
      <c r="H11" s="129">
        <f>Architecture!$E$22*(86400/(F11*60))*G11</f>
        <v>0</v>
      </c>
      <c r="I11" s="130">
        <f>((Architecture!$E$24*24*60)/F11)*D11</f>
        <v>0</v>
      </c>
      <c r="J11" s="131">
        <f>((450000*5/F11)*G11)*(Architecture!$D$21/6)</f>
        <v>0</v>
      </c>
      <c r="K11" s="131">
        <f>IF(E11&lt;&gt;0,((450000*5/F11)*D11)*(Architecture!$D$21/6),0)</f>
        <v>0</v>
      </c>
      <c r="R11" s="132"/>
    </row>
    <row r="12" spans="1:18" ht="15">
      <c r="A12" s="390"/>
      <c r="B12" s="121"/>
      <c r="C12" s="126" t="s">
        <v>153</v>
      </c>
      <c r="D12" s="127">
        <v>0</v>
      </c>
      <c r="E12" s="127">
        <v>1</v>
      </c>
      <c r="F12" s="127">
        <v>5</v>
      </c>
      <c r="G12" s="128">
        <f t="shared" si="0"/>
        <v>0</v>
      </c>
      <c r="H12" s="129">
        <f>Architecture!$E$22*(86400/(F12*60))*G12</f>
        <v>0</v>
      </c>
      <c r="I12" s="130">
        <f>((Architecture!$E$24*24*60)/F12)*D12</f>
        <v>0</v>
      </c>
      <c r="J12" s="131">
        <f>((450000*5/F12)*G12)*(Architecture!$D$21/6)</f>
        <v>0</v>
      </c>
      <c r="K12" s="131">
        <f>IF(E12&lt;&gt;0,((450000*5/F12)*D12)*(Architecture!$D$21/6),0)</f>
        <v>0</v>
      </c>
      <c r="R12" s="132"/>
    </row>
    <row r="13" spans="1:18" ht="15">
      <c r="A13" s="390"/>
      <c r="B13" s="121"/>
      <c r="C13" s="126" t="s">
        <v>152</v>
      </c>
      <c r="D13" s="133">
        <v>0</v>
      </c>
      <c r="E13" s="133">
        <v>2</v>
      </c>
      <c r="F13" s="133">
        <v>5</v>
      </c>
      <c r="G13" s="128">
        <f t="shared" si="0"/>
        <v>0</v>
      </c>
      <c r="H13" s="129">
        <f>Architecture!$E$22*(86400/(F13*60))*G13</f>
        <v>0</v>
      </c>
      <c r="I13" s="130">
        <f>((Architecture!$E$24*24*60)/F13)*D13</f>
        <v>0</v>
      </c>
      <c r="J13" s="131">
        <f>((450000*5/F13)*G13)*(Architecture!$D$21/6)</f>
        <v>0</v>
      </c>
      <c r="K13" s="131">
        <f>IF(E13&lt;&gt;0,((450000*5/F13)*D13)*(Architecture!$D$21/6),0)</f>
        <v>0</v>
      </c>
      <c r="R13" s="132"/>
    </row>
    <row r="14" spans="1:18" ht="15">
      <c r="A14" s="390"/>
      <c r="B14" s="121"/>
      <c r="C14" s="126" t="s">
        <v>151</v>
      </c>
      <c r="D14" s="127">
        <v>0</v>
      </c>
      <c r="E14" s="127">
        <v>0</v>
      </c>
      <c r="F14" s="127">
        <v>5</v>
      </c>
      <c r="G14" s="128">
        <f t="shared" si="0"/>
        <v>0</v>
      </c>
      <c r="H14" s="129">
        <f>Architecture!$E$22*(86400/(F14*60))*G14</f>
        <v>0</v>
      </c>
      <c r="I14" s="130">
        <f>((Architecture!$E$24*24*60)/F14)*D14</f>
        <v>0</v>
      </c>
      <c r="J14" s="131">
        <f>((450000*5/F14)*G14)*(Architecture!$D$21/6)</f>
        <v>0</v>
      </c>
      <c r="K14" s="131">
        <f>IF(E14&lt;&gt;0,((450000*5/F14)*D14)*(Architecture!$D$21/6),0)</f>
        <v>0</v>
      </c>
      <c r="R14" s="132"/>
    </row>
    <row r="15" spans="1:18" ht="15">
      <c r="A15" s="390"/>
      <c r="B15" s="121"/>
      <c r="C15" s="126" t="s">
        <v>150</v>
      </c>
      <c r="D15" s="127">
        <v>0</v>
      </c>
      <c r="E15" s="127">
        <v>2</v>
      </c>
      <c r="F15" s="127">
        <v>5</v>
      </c>
      <c r="G15" s="128">
        <f t="shared" si="0"/>
        <v>0</v>
      </c>
      <c r="H15" s="129">
        <f>Architecture!$E$22*(86400/(F15*60))*G15</f>
        <v>0</v>
      </c>
      <c r="I15" s="130">
        <f>((Architecture!$E$24*24*60)/F15)*D15</f>
        <v>0</v>
      </c>
      <c r="J15" s="131">
        <f>((450000*5/F15)*G15)*(Architecture!$D$21/6)</f>
        <v>0</v>
      </c>
      <c r="K15" s="131">
        <f>IF(E15&lt;&gt;0,((450000*5/F15)*D15)*(Architecture!$D$21/6),0)</f>
        <v>0</v>
      </c>
      <c r="R15" s="132"/>
    </row>
    <row r="16" spans="1:18" ht="15">
      <c r="A16" s="390"/>
      <c r="B16" s="121"/>
      <c r="C16" s="126" t="s">
        <v>149</v>
      </c>
      <c r="D16" s="133">
        <v>0</v>
      </c>
      <c r="E16" s="133">
        <v>4</v>
      </c>
      <c r="F16" s="133">
        <v>5</v>
      </c>
      <c r="G16" s="128">
        <f t="shared" si="0"/>
        <v>0</v>
      </c>
      <c r="H16" s="129">
        <f>Architecture!$E$22*(86400/(F16*60))*G16</f>
        <v>0</v>
      </c>
      <c r="I16" s="130">
        <f>((Architecture!$E$24*24*60)/F16)*D16</f>
        <v>0</v>
      </c>
      <c r="J16" s="131">
        <f>((450000*5/F16)*G16)*(Architecture!$D$21/6)</f>
        <v>0</v>
      </c>
      <c r="K16" s="131">
        <f>IF(E16&lt;&gt;0,((450000*5/F16)*D16)*(Architecture!$D$21/6),0)</f>
        <v>0</v>
      </c>
      <c r="R16" s="132"/>
    </row>
    <row r="17" spans="1:18" ht="15">
      <c r="A17" s="390"/>
      <c r="B17" s="121"/>
      <c r="C17" s="126" t="s">
        <v>148</v>
      </c>
      <c r="D17" s="127">
        <v>0</v>
      </c>
      <c r="E17" s="127">
        <v>0</v>
      </c>
      <c r="F17" s="127">
        <v>60</v>
      </c>
      <c r="G17" s="128">
        <f t="shared" si="0"/>
        <v>0</v>
      </c>
      <c r="H17" s="129">
        <f>Architecture!$E$22*(86400/(F17*60))*G17</f>
        <v>0</v>
      </c>
      <c r="I17" s="130">
        <f>((Architecture!$E$24*24*60)/F17)*D17</f>
        <v>0</v>
      </c>
      <c r="J17" s="131">
        <f>((450000*5/F17)*G17)*(Architecture!$D$21/6)</f>
        <v>0</v>
      </c>
      <c r="K17" s="131">
        <f>IF(E17&lt;&gt;0,((450000*5/F17)*D17)*(Architecture!$D$21/6),0)</f>
        <v>0</v>
      </c>
      <c r="R17" s="132"/>
    </row>
    <row r="18" spans="1:18" ht="15">
      <c r="A18" s="390"/>
      <c r="B18" s="121"/>
      <c r="C18" s="126" t="s">
        <v>147</v>
      </c>
      <c r="D18" s="133">
        <v>0</v>
      </c>
      <c r="E18" s="133">
        <v>2</v>
      </c>
      <c r="F18" s="133">
        <v>60</v>
      </c>
      <c r="G18" s="128">
        <f t="shared" si="0"/>
        <v>0</v>
      </c>
      <c r="H18" s="129">
        <f>Architecture!$E$22*(86400/(F18*60))*G18</f>
        <v>0</v>
      </c>
      <c r="I18" s="130">
        <f>((Architecture!$E$24*24*60)/F18)*D18</f>
        <v>0</v>
      </c>
      <c r="J18" s="131">
        <f>((450000*5/F18)*G18)*(Architecture!$D$21/6)</f>
        <v>0</v>
      </c>
      <c r="K18" s="131">
        <f>IF(E18&lt;&gt;0,((450000*5/F18)*D18)*(Architecture!$D$21/6),0)</f>
        <v>0</v>
      </c>
      <c r="R18" s="132"/>
    </row>
    <row r="19" spans="1:18" ht="15">
      <c r="A19" s="390"/>
      <c r="B19" s="121"/>
      <c r="C19" s="126" t="s">
        <v>146</v>
      </c>
      <c r="D19" s="133">
        <v>0</v>
      </c>
      <c r="E19" s="133">
        <v>3</v>
      </c>
      <c r="F19" s="133">
        <v>5</v>
      </c>
      <c r="G19" s="128">
        <f t="shared" si="0"/>
        <v>0</v>
      </c>
      <c r="H19" s="129">
        <f>Architecture!$E$22*(86400/(F19*60))*G19</f>
        <v>0</v>
      </c>
      <c r="I19" s="130">
        <f>((Architecture!$E$24*24*60)/F19)*D19</f>
        <v>0</v>
      </c>
      <c r="J19" s="131">
        <f>((450000*5/F19)*G19)*(Architecture!$D$21/6)</f>
        <v>0</v>
      </c>
      <c r="K19" s="131">
        <f>IF(E19&lt;&gt;0,((450000*5/F19)*D19)*(Architecture!$D$21/6),0)</f>
        <v>0</v>
      </c>
      <c r="R19" s="132"/>
    </row>
    <row r="20" spans="1:18" ht="15">
      <c r="A20" s="390"/>
      <c r="B20" s="121"/>
      <c r="C20" s="126" t="s">
        <v>145</v>
      </c>
      <c r="D20" s="127">
        <v>0</v>
      </c>
      <c r="E20" s="127">
        <v>2</v>
      </c>
      <c r="F20" s="127">
        <v>5</v>
      </c>
      <c r="G20" s="128">
        <f t="shared" si="0"/>
        <v>0</v>
      </c>
      <c r="H20" s="129">
        <f>Architecture!$E$22*(86400/(F20*60))*G20</f>
        <v>0</v>
      </c>
      <c r="I20" s="130">
        <f>((Architecture!$E$24*24*60)/F20)*D20</f>
        <v>0</v>
      </c>
      <c r="J20" s="131">
        <f>((450000*5/F20)*G20)*(Architecture!$D$21/6)</f>
        <v>0</v>
      </c>
      <c r="K20" s="131">
        <f>IF(E20&lt;&gt;0,((450000*5/F20)*D20)*(Architecture!$D$21/6),0)</f>
        <v>0</v>
      </c>
      <c r="R20" s="132"/>
    </row>
    <row r="21" spans="1:18" ht="15">
      <c r="A21" s="390"/>
      <c r="B21" s="121"/>
      <c r="C21" s="126" t="s">
        <v>144</v>
      </c>
      <c r="D21" s="133">
        <v>0</v>
      </c>
      <c r="E21" s="127">
        <v>0</v>
      </c>
      <c r="F21" s="127">
        <v>5</v>
      </c>
      <c r="G21" s="128">
        <f t="shared" si="0"/>
        <v>0</v>
      </c>
      <c r="H21" s="129">
        <f>Architecture!$E$22*(86400/(F21*60))*G21</f>
        <v>0</v>
      </c>
      <c r="I21" s="130">
        <f>((Architecture!$E$24*24*60)/F21)*D21</f>
        <v>0</v>
      </c>
      <c r="J21" s="131">
        <f>((450000*5/F21)*G21)*(Architecture!$D$21/6)</f>
        <v>0</v>
      </c>
      <c r="K21" s="131">
        <f>IF(E21&lt;&gt;0,((450000*5/F21)*D21)*(Architecture!$D$21/6),0)</f>
        <v>0</v>
      </c>
      <c r="R21" s="132"/>
    </row>
    <row r="22" spans="1:18" ht="15">
      <c r="A22" s="390"/>
      <c r="B22" s="121"/>
      <c r="C22" s="134" t="s">
        <v>143</v>
      </c>
      <c r="D22" s="133">
        <v>0</v>
      </c>
      <c r="E22" s="127">
        <v>0</v>
      </c>
      <c r="F22" s="127">
        <v>5</v>
      </c>
      <c r="G22" s="128">
        <f t="shared" si="0"/>
        <v>0</v>
      </c>
      <c r="H22" s="129">
        <f>Architecture!$E$22*(86400/(F22*60))*G22</f>
        <v>0</v>
      </c>
      <c r="I22" s="130">
        <f>((Architecture!$E$24*24*60)/F22)*D22</f>
        <v>0</v>
      </c>
      <c r="J22" s="131">
        <f>((450000*5/F22)*G22)*(Architecture!$D$21/6)</f>
        <v>0</v>
      </c>
      <c r="K22" s="131">
        <f>IF(E22&lt;&gt;0,((450000*5/F22)*D22)*(Architecture!$D$21/6),0)</f>
        <v>0</v>
      </c>
      <c r="R22" s="135"/>
    </row>
    <row r="23" spans="1:18" ht="15">
      <c r="A23" s="390"/>
      <c r="B23" s="121"/>
      <c r="C23" s="126" t="s">
        <v>142</v>
      </c>
      <c r="D23" s="127">
        <v>0</v>
      </c>
      <c r="E23" s="127">
        <v>0</v>
      </c>
      <c r="F23" s="127">
        <v>5</v>
      </c>
      <c r="G23" s="128">
        <f t="shared" si="0"/>
        <v>0</v>
      </c>
      <c r="H23" s="129">
        <f>Architecture!$E$22*(86400/(F23*60))*G23</f>
        <v>0</v>
      </c>
      <c r="I23" s="130">
        <f>((Architecture!$E$24*24*60)/F23)*D23</f>
        <v>0</v>
      </c>
      <c r="J23" s="131">
        <f>((450000*5/F23)*G23)*(Architecture!$D$21/6)</f>
        <v>0</v>
      </c>
      <c r="K23" s="131">
        <f>IF(E23&lt;&gt;0,((450000*5/F23)*D23)*(Architecture!$D$21/6),0)</f>
        <v>0</v>
      </c>
      <c r="R23" s="132"/>
    </row>
    <row r="24" spans="1:18" ht="15">
      <c r="A24" s="390"/>
      <c r="B24" s="121"/>
      <c r="C24" s="126" t="s">
        <v>141</v>
      </c>
      <c r="D24" s="133">
        <v>0</v>
      </c>
      <c r="E24" s="127">
        <v>2</v>
      </c>
      <c r="F24" s="127">
        <v>5</v>
      </c>
      <c r="G24" s="128">
        <f t="shared" si="0"/>
        <v>0</v>
      </c>
      <c r="H24" s="129">
        <f>Architecture!$E$22*(86400/(F24*60))*G24</f>
        <v>0</v>
      </c>
      <c r="I24" s="130">
        <f>((Architecture!$E$24*24*60)/F24)*D24</f>
        <v>0</v>
      </c>
      <c r="J24" s="131">
        <f>((450000*5/F24)*G24)*(Architecture!$D$21/6)</f>
        <v>0</v>
      </c>
      <c r="K24" s="131">
        <f>IF(E24&lt;&gt;0,((450000*5/F24)*D24)*(Architecture!$D$21/6),0)</f>
        <v>0</v>
      </c>
      <c r="R24" s="132"/>
    </row>
    <row r="25" spans="1:18" ht="15">
      <c r="A25" s="390"/>
      <c r="B25" s="121"/>
      <c r="C25" s="126" t="s">
        <v>140</v>
      </c>
      <c r="D25" s="133">
        <v>0</v>
      </c>
      <c r="E25" s="133">
        <v>2</v>
      </c>
      <c r="F25" s="133">
        <v>5</v>
      </c>
      <c r="G25" s="128">
        <f t="shared" si="0"/>
        <v>0</v>
      </c>
      <c r="H25" s="129">
        <f>Architecture!$E$22*(86400/(F25*60))*G25</f>
        <v>0</v>
      </c>
      <c r="I25" s="130">
        <f>((Architecture!$E$24*24*60)/F25)*D25</f>
        <v>0</v>
      </c>
      <c r="J25" s="131">
        <f>((450000*5/F25)*G25)*(Architecture!$D$21/6)</f>
        <v>0</v>
      </c>
      <c r="K25" s="131">
        <f>IF(E25&lt;&gt;0,((450000*5/F25)*D25)*(Architecture!$D$21/6),0)</f>
        <v>0</v>
      </c>
      <c r="R25" s="132"/>
    </row>
    <row r="26" spans="1:18" ht="15">
      <c r="A26" s="390"/>
      <c r="B26" s="121"/>
      <c r="C26" s="126" t="s">
        <v>139</v>
      </c>
      <c r="D26" s="133">
        <v>0</v>
      </c>
      <c r="E26" s="127">
        <v>0</v>
      </c>
      <c r="F26" s="127">
        <v>300</v>
      </c>
      <c r="G26" s="128">
        <f t="shared" si="0"/>
        <v>0</v>
      </c>
      <c r="H26" s="129">
        <f>Architecture!$E$22*(86400/(F26*60))*G26</f>
        <v>0</v>
      </c>
      <c r="I26" s="130">
        <f>((Architecture!$E$24*24*60)/F26)*D26</f>
        <v>0</v>
      </c>
      <c r="J26" s="131">
        <f>((450000*5/F26)*G26)*(Architecture!$D$21/6)</f>
        <v>0</v>
      </c>
      <c r="K26" s="131">
        <f>IF(E26&lt;&gt;0,((450000*5/F26)*D26)*(Architecture!$D$21/6),0)</f>
        <v>0</v>
      </c>
      <c r="R26" s="132"/>
    </row>
    <row r="27" spans="1:18" ht="15">
      <c r="A27" s="390"/>
      <c r="B27" s="121"/>
      <c r="C27" s="126" t="s">
        <v>138</v>
      </c>
      <c r="D27" s="127">
        <v>0</v>
      </c>
      <c r="E27" s="133">
        <v>3</v>
      </c>
      <c r="F27" s="133">
        <v>300</v>
      </c>
      <c r="G27" s="128">
        <f t="shared" si="0"/>
        <v>0</v>
      </c>
      <c r="H27" s="129">
        <f>Architecture!$E$22*(86400/(F27*60))*G27</f>
        <v>0</v>
      </c>
      <c r="I27" s="130">
        <f>((Architecture!$E$24*24*60)/F27)*D27</f>
        <v>0</v>
      </c>
      <c r="J27" s="131">
        <f>((450000*5/F27)*G27)*(Architecture!$D$21/6)</f>
        <v>0</v>
      </c>
      <c r="K27" s="131">
        <f>IF(E27&lt;&gt;0,((450000*5/F27)*D27)*(Architecture!$D$21/6),0)</f>
        <v>0</v>
      </c>
      <c r="R27" s="132"/>
    </row>
    <row r="28" spans="1:18" ht="15">
      <c r="A28" s="390"/>
      <c r="B28" s="121"/>
      <c r="C28" s="126" t="s">
        <v>137</v>
      </c>
      <c r="D28" s="133">
        <v>0</v>
      </c>
      <c r="E28" s="133">
        <v>0</v>
      </c>
      <c r="F28" s="133">
        <v>5</v>
      </c>
      <c r="G28" s="128">
        <f t="shared" si="0"/>
        <v>0</v>
      </c>
      <c r="H28" s="129">
        <f>Architecture!$E$22*(86400/(F28*60))*G28</f>
        <v>0</v>
      </c>
      <c r="I28" s="130">
        <f>((Architecture!$E$24*24*60)/F28)*D28</f>
        <v>0</v>
      </c>
      <c r="J28" s="131">
        <f>((450000*5/F28)*G28)*(Architecture!$D$21/6)</f>
        <v>0</v>
      </c>
      <c r="K28" s="131">
        <f>IF(E28&lt;&gt;0,((450000*5/F28)*D28)*(Architecture!$D$21/6),0)</f>
        <v>0</v>
      </c>
      <c r="R28" s="132"/>
    </row>
    <row r="29" spans="1:18" ht="15">
      <c r="A29" s="390"/>
      <c r="B29" s="121"/>
      <c r="C29" s="126" t="s">
        <v>136</v>
      </c>
      <c r="D29" s="127">
        <v>0</v>
      </c>
      <c r="E29" s="133">
        <v>2</v>
      </c>
      <c r="F29" s="133">
        <v>5</v>
      </c>
      <c r="G29" s="128">
        <f t="shared" si="0"/>
        <v>0</v>
      </c>
      <c r="H29" s="129">
        <f>Architecture!$E$22*(86400/(F29*60))*G29</f>
        <v>0</v>
      </c>
      <c r="I29" s="130">
        <f>((Architecture!$E$24*24*60)/F29)*D29</f>
        <v>0</v>
      </c>
      <c r="J29" s="131">
        <f>((450000*5/F29)*G29)*(Architecture!$D$21/6)</f>
        <v>0</v>
      </c>
      <c r="K29" s="131">
        <f>IF(E29&lt;&gt;0,((450000*5/F29)*D29)*(Architecture!$D$21/6),0)</f>
        <v>0</v>
      </c>
      <c r="R29" s="132"/>
    </row>
    <row r="30" spans="1:18" ht="15">
      <c r="A30" s="390"/>
      <c r="B30" s="121"/>
      <c r="C30" s="126" t="s">
        <v>135</v>
      </c>
      <c r="D30" s="127">
        <v>0</v>
      </c>
      <c r="E30" s="127">
        <v>0</v>
      </c>
      <c r="F30" s="127">
        <v>5</v>
      </c>
      <c r="G30" s="128">
        <f t="shared" si="0"/>
        <v>0</v>
      </c>
      <c r="H30" s="129">
        <f>Architecture!$E$22*(86400/(F30*60))*G30</f>
        <v>0</v>
      </c>
      <c r="I30" s="130">
        <f>((Architecture!$E$24*24*60)/F30)*D30</f>
        <v>0</v>
      </c>
      <c r="J30" s="131">
        <f>((450000*5/F30)*G30)*(Architecture!$D$21/6)</f>
        <v>0</v>
      </c>
      <c r="K30" s="131">
        <f>IF(E30&lt;&gt;0,((450000*5/F30)*D30)*(Architecture!$D$21/6),0)</f>
        <v>0</v>
      </c>
      <c r="R30" s="132"/>
    </row>
    <row r="31" spans="1:18" ht="15">
      <c r="A31" s="390"/>
      <c r="B31" s="121"/>
      <c r="C31" s="126"/>
      <c r="D31" s="133">
        <v>0</v>
      </c>
      <c r="E31" s="127">
        <v>2</v>
      </c>
      <c r="F31" s="127">
        <v>5</v>
      </c>
      <c r="G31" s="128">
        <f t="shared" si="0"/>
        <v>0</v>
      </c>
      <c r="H31" s="129">
        <f>Architecture!$E$22*(86400/(F31*60))*G31</f>
        <v>0</v>
      </c>
      <c r="I31" s="130">
        <f>((Architecture!$E$24*24*60)/F31)*D31</f>
        <v>0</v>
      </c>
      <c r="J31" s="131">
        <f>((450000*5/F31)*G31)*(Architecture!$D$21/6)</f>
        <v>0</v>
      </c>
      <c r="K31" s="131">
        <f>IF(E31&lt;&gt;0,((450000*5/F31)*D31)*(Architecture!$D$21/6),0)</f>
        <v>0</v>
      </c>
    </row>
    <row r="32" spans="1:18" ht="15.75" thickBot="1">
      <c r="A32" s="390"/>
      <c r="B32" s="121"/>
      <c r="C32" s="134"/>
      <c r="D32" s="133">
        <v>0</v>
      </c>
      <c r="E32" s="133">
        <v>2</v>
      </c>
      <c r="F32" s="127">
        <v>5</v>
      </c>
      <c r="G32" s="128">
        <f t="shared" si="0"/>
        <v>0</v>
      </c>
    </row>
    <row r="33" spans="1:13" ht="19.5" customHeight="1" thickBot="1">
      <c r="A33" s="390"/>
      <c r="B33" s="121"/>
      <c r="C33" s="136" t="s">
        <v>134</v>
      </c>
      <c r="D33" s="127">
        <f>'Poller Sizing'!B3</f>
        <v>0</v>
      </c>
      <c r="E33" s="432">
        <v>0</v>
      </c>
      <c r="F33" s="432"/>
      <c r="G33" s="137">
        <f>SUM(D8:D32)</f>
        <v>10000</v>
      </c>
      <c r="H33" s="138"/>
      <c r="J33" s="139"/>
      <c r="K33" s="139"/>
    </row>
    <row r="34" spans="1:13" ht="19.5" customHeight="1" thickBot="1">
      <c r="A34" s="390"/>
      <c r="B34" s="121"/>
      <c r="C34" s="121"/>
      <c r="D34" s="140"/>
      <c r="E34" s="433" t="s">
        <v>132</v>
      </c>
      <c r="F34" s="433"/>
      <c r="G34" s="137">
        <f>SUM(G8:G32)</f>
        <v>20000</v>
      </c>
      <c r="H34" s="138"/>
    </row>
    <row r="35" spans="1:13" ht="19.5" customHeight="1" thickBot="1">
      <c r="A35" s="390"/>
      <c r="B35" s="121"/>
      <c r="C35" s="121"/>
      <c r="D35" s="140"/>
      <c r="E35" s="433" t="s">
        <v>131</v>
      </c>
      <c r="F35" s="433"/>
      <c r="G35" s="137">
        <f>SUMIF(E8:E32,"&lt;&gt;0",D8:D32)</f>
        <v>10000</v>
      </c>
      <c r="H35" s="138"/>
    </row>
    <row r="36" spans="1:13" ht="15" customHeight="1">
      <c r="A36" s="390"/>
      <c r="B36" s="121"/>
      <c r="C36" s="121"/>
      <c r="D36" s="121"/>
      <c r="E36" s="121"/>
      <c r="F36" s="121"/>
      <c r="G36" s="141"/>
    </row>
    <row r="37" spans="1:13" ht="23.25" customHeight="1">
      <c r="A37" s="390" t="s">
        <v>130</v>
      </c>
      <c r="B37" s="121"/>
      <c r="H37" s="142"/>
    </row>
    <row r="38" spans="1:13" ht="15.75" customHeight="1">
      <c r="A38" s="390"/>
      <c r="B38" s="121"/>
      <c r="H38" s="143"/>
    </row>
    <row r="39" spans="1:13" ht="15.75" customHeight="1">
      <c r="A39" s="390"/>
      <c r="B39" s="121"/>
      <c r="H39" s="143"/>
    </row>
    <row r="40" spans="1:13" ht="15.75" customHeight="1">
      <c r="A40" s="390"/>
      <c r="B40" s="121"/>
      <c r="H40" s="143"/>
    </row>
    <row r="41" spans="1:13" ht="15.75" customHeight="1">
      <c r="A41" s="390"/>
      <c r="B41" s="121"/>
      <c r="H41" s="143"/>
    </row>
    <row r="42" spans="1:13" ht="15" customHeight="1">
      <c r="A42" s="390"/>
      <c r="B42" s="121"/>
      <c r="C42" s="144"/>
      <c r="D42" s="121"/>
      <c r="E42" s="121"/>
      <c r="F42" s="145"/>
      <c r="G42" s="146"/>
      <c r="H42" s="143"/>
    </row>
    <row r="43" spans="1:13" ht="22.5" customHeight="1">
      <c r="A43" s="390"/>
      <c r="B43" s="121"/>
      <c r="C43" s="408" t="s">
        <v>129</v>
      </c>
      <c r="D43" s="409"/>
      <c r="E43" s="409"/>
      <c r="F43" s="409"/>
      <c r="G43" s="147" t="s">
        <v>128</v>
      </c>
      <c r="H43" s="143"/>
    </row>
    <row r="44" spans="1:13" ht="17.25" customHeight="1">
      <c r="A44" s="390"/>
      <c r="B44" s="121"/>
      <c r="C44" s="410" t="s">
        <v>127</v>
      </c>
      <c r="D44" s="410"/>
      <c r="E44" s="410"/>
      <c r="F44" s="410"/>
      <c r="G44" s="148">
        <f>G33*0.05</f>
        <v>500</v>
      </c>
      <c r="H44" s="143"/>
      <c r="M44" s="113" t="s">
        <v>126</v>
      </c>
    </row>
    <row r="45" spans="1:13" ht="17.25" customHeight="1">
      <c r="A45" s="390"/>
      <c r="B45" s="121"/>
      <c r="C45" s="410" t="s">
        <v>125</v>
      </c>
      <c r="D45" s="410"/>
      <c r="E45" s="410"/>
      <c r="F45" s="410"/>
      <c r="G45" s="148">
        <f>G33*0.02</f>
        <v>200</v>
      </c>
      <c r="H45" s="143"/>
      <c r="M45" s="113" t="s">
        <v>124</v>
      </c>
    </row>
    <row r="46" spans="1:13" ht="15" customHeight="1">
      <c r="A46" s="390"/>
      <c r="B46" s="121"/>
      <c r="C46" s="121"/>
      <c r="D46" s="121"/>
      <c r="E46" s="121"/>
      <c r="F46" s="145"/>
      <c r="G46" s="141"/>
    </row>
    <row r="47" spans="1:13" s="114" customFormat="1" ht="19.5" customHeight="1">
      <c r="A47" s="390"/>
      <c r="C47" s="411" t="s">
        <v>123</v>
      </c>
      <c r="D47" s="412"/>
      <c r="E47" s="412"/>
      <c r="F47" s="412"/>
      <c r="G47" s="149" t="s">
        <v>37</v>
      </c>
    </row>
    <row r="48" spans="1:13" s="121" customFormat="1" ht="15.75" customHeight="1">
      <c r="A48" s="390"/>
      <c r="C48" s="413" t="s">
        <v>40</v>
      </c>
      <c r="D48" s="414"/>
      <c r="E48" s="414"/>
      <c r="F48" s="415"/>
      <c r="G48" s="150">
        <v>2</v>
      </c>
      <c r="M48" s="121" t="s">
        <v>112</v>
      </c>
    </row>
    <row r="49" spans="1:13" s="121" customFormat="1" ht="15.75" customHeight="1">
      <c r="A49" s="390"/>
      <c r="C49" s="413" t="s">
        <v>41</v>
      </c>
      <c r="D49" s="414"/>
      <c r="E49" s="414"/>
      <c r="F49" s="415"/>
      <c r="G49" s="150">
        <v>2</v>
      </c>
      <c r="M49" s="121" t="s">
        <v>112</v>
      </c>
    </row>
    <row r="50" spans="1:13" s="121" customFormat="1" ht="15.75" customHeight="1">
      <c r="A50" s="390"/>
      <c r="C50" s="413" t="s">
        <v>42</v>
      </c>
      <c r="D50" s="414"/>
      <c r="E50" s="414"/>
      <c r="F50" s="415"/>
      <c r="G50" s="150">
        <v>2</v>
      </c>
      <c r="M50" s="121" t="s">
        <v>112</v>
      </c>
    </row>
    <row r="51" spans="1:13" s="121" customFormat="1" ht="15.75" customHeight="1">
      <c r="A51" s="390"/>
      <c r="C51" s="413" t="s">
        <v>43</v>
      </c>
      <c r="D51" s="414"/>
      <c r="E51" s="414"/>
      <c r="F51" s="415"/>
      <c r="G51" s="150">
        <v>3</v>
      </c>
      <c r="M51" s="121" t="s">
        <v>112</v>
      </c>
    </row>
    <row r="52" spans="1:13" s="121" customFormat="1" ht="15.75" customHeight="1">
      <c r="A52" s="390"/>
      <c r="C52" s="413" t="s">
        <v>44</v>
      </c>
      <c r="D52" s="414"/>
      <c r="E52" s="414"/>
      <c r="F52" s="415"/>
      <c r="G52" s="151">
        <f>IFERROR((G44*30)/G33,0)</f>
        <v>1.5</v>
      </c>
    </row>
    <row r="53" spans="1:13" s="121" customFormat="1" ht="15.75" customHeight="1">
      <c r="A53" s="390"/>
      <c r="C53" s="413" t="s">
        <v>45</v>
      </c>
      <c r="D53" s="414"/>
      <c r="E53" s="414"/>
      <c r="F53" s="415"/>
      <c r="G53" s="151">
        <f>IFERROR((G45*30)/D33,0)</f>
        <v>0</v>
      </c>
    </row>
    <row r="54" spans="1:13" s="121" customFormat="1" ht="15.75" customHeight="1">
      <c r="A54" s="390"/>
      <c r="C54" s="413" t="s">
        <v>46</v>
      </c>
      <c r="D54" s="414"/>
      <c r="E54" s="414"/>
      <c r="F54" s="415"/>
      <c r="G54" s="152">
        <f>IFERROR(AVERAGEIF(D8:D32,"&lt;&gt;0",E8:E32),0)</f>
        <v>2</v>
      </c>
    </row>
    <row r="55" spans="1:13" s="121" customFormat="1" ht="15.75" customHeight="1">
      <c r="A55" s="390"/>
      <c r="C55" s="413" t="s">
        <v>47</v>
      </c>
      <c r="D55" s="414"/>
      <c r="E55" s="414"/>
      <c r="F55" s="415"/>
      <c r="G55" s="152">
        <f>IFERROR(SUMPRODUCT(D8:D32,F8:F32)/G33,0)</f>
        <v>5</v>
      </c>
    </row>
    <row r="56" spans="1:13" s="121" customFormat="1" ht="15" customHeight="1">
      <c r="A56" s="390"/>
      <c r="C56" s="153"/>
      <c r="D56" s="153"/>
      <c r="E56" s="153"/>
      <c r="F56" s="153"/>
      <c r="G56" s="154"/>
    </row>
    <row r="57" spans="1:13" ht="30">
      <c r="A57" s="390"/>
      <c r="B57" s="121"/>
      <c r="C57" s="418" t="s">
        <v>122</v>
      </c>
      <c r="D57" s="419"/>
      <c r="E57" s="155" t="s">
        <v>121</v>
      </c>
      <c r="F57" s="155" t="s">
        <v>120</v>
      </c>
      <c r="G57" s="156" t="s">
        <v>50</v>
      </c>
      <c r="H57" s="157" t="s">
        <v>64</v>
      </c>
      <c r="I57" s="158" t="s">
        <v>63</v>
      </c>
      <c r="J57" s="158" t="s">
        <v>62</v>
      </c>
    </row>
    <row r="58" spans="1:13" ht="15.75" customHeight="1">
      <c r="A58" s="390"/>
      <c r="B58" s="121"/>
      <c r="C58" s="420" t="s">
        <v>58</v>
      </c>
      <c r="D58" s="421"/>
      <c r="E58" s="159" t="s">
        <v>115</v>
      </c>
      <c r="F58" s="160">
        <v>6</v>
      </c>
      <c r="G58" s="161">
        <f t="shared" ref="G58:G65" si="1">IFERROR((I58*H58+J58*H58)/1024/1024,0)</f>
        <v>0</v>
      </c>
      <c r="H58" s="162">
        <f>F58*31*D33*G48*G49*G51</f>
        <v>0</v>
      </c>
      <c r="I58" s="163">
        <v>72</v>
      </c>
      <c r="J58" s="163">
        <f>(4+4+1+4+6+6)*J78</f>
        <v>70</v>
      </c>
      <c r="M58" s="121" t="s">
        <v>112</v>
      </c>
    </row>
    <row r="59" spans="1:13" ht="15.75" customHeight="1">
      <c r="A59" s="390"/>
      <c r="B59" s="121"/>
      <c r="C59" s="420" t="s">
        <v>119</v>
      </c>
      <c r="D59" s="421"/>
      <c r="E59" s="159" t="s">
        <v>117</v>
      </c>
      <c r="F59" s="160">
        <v>24</v>
      </c>
      <c r="G59" s="161">
        <f t="shared" si="1"/>
        <v>9.5141601562499997E-2</v>
      </c>
      <c r="H59" s="162">
        <f>F59*G48*G49*G51</f>
        <v>288</v>
      </c>
      <c r="I59" s="163">
        <v>254</v>
      </c>
      <c r="J59" s="163">
        <f>(4+4+4+4+1+4+6+6)*J78</f>
        <v>92.399999999999991</v>
      </c>
      <c r="M59" s="121" t="s">
        <v>112</v>
      </c>
    </row>
    <row r="60" spans="1:13" ht="15.75" customHeight="1">
      <c r="A60" s="390"/>
      <c r="B60" s="121"/>
      <c r="C60" s="420" t="s">
        <v>59</v>
      </c>
      <c r="D60" s="421"/>
      <c r="E60" s="159" t="s">
        <v>115</v>
      </c>
      <c r="F60" s="160">
        <v>6</v>
      </c>
      <c r="G60" s="161">
        <f t="shared" si="1"/>
        <v>6300.6591796875</v>
      </c>
      <c r="H60" s="162">
        <f>F60*31*G33*G48*G49*G50*G51</f>
        <v>44640000</v>
      </c>
      <c r="I60" s="163">
        <v>78</v>
      </c>
      <c r="J60" s="163">
        <f>(4+4+1+4+6+6)*J78</f>
        <v>70</v>
      </c>
      <c r="M60" s="121" t="s">
        <v>112</v>
      </c>
    </row>
    <row r="61" spans="1:13" ht="15.75" customHeight="1">
      <c r="A61" s="390"/>
      <c r="B61" s="121"/>
      <c r="C61" s="416" t="s">
        <v>118</v>
      </c>
      <c r="D61" s="417"/>
      <c r="E61" s="159" t="s">
        <v>117</v>
      </c>
      <c r="F61" s="160">
        <v>24</v>
      </c>
      <c r="G61" s="161">
        <f t="shared" si="1"/>
        <v>0.11612548828124999</v>
      </c>
      <c r="H61" s="162">
        <f>F61*G48*G49*G50*G51</f>
        <v>576</v>
      </c>
      <c r="I61" s="163">
        <v>119</v>
      </c>
      <c r="J61" s="163">
        <f>(4+4+4+4+1+4+6+6)*J78</f>
        <v>92.399999999999991</v>
      </c>
      <c r="M61" s="121" t="s">
        <v>112</v>
      </c>
    </row>
    <row r="62" spans="1:13" ht="15.75" customHeight="1">
      <c r="A62" s="390"/>
      <c r="B62" s="121"/>
      <c r="C62" s="420" t="s">
        <v>57</v>
      </c>
      <c r="D62" s="421"/>
      <c r="E62" s="159" t="s">
        <v>113</v>
      </c>
      <c r="F62" s="160">
        <v>6</v>
      </c>
      <c r="G62" s="161">
        <f t="shared" si="1"/>
        <v>322.998046875</v>
      </c>
      <c r="H62" s="162">
        <f>G33*G48*G49*G50*G51*G52*F62</f>
        <v>2160000</v>
      </c>
      <c r="I62" s="163">
        <v>56</v>
      </c>
      <c r="J62" s="163">
        <f>(4+1+1+4+4+1+1+4+4+6+6)*J78</f>
        <v>100.8</v>
      </c>
      <c r="M62" s="121" t="s">
        <v>112</v>
      </c>
    </row>
    <row r="63" spans="1:13" ht="15.75" customHeight="1">
      <c r="A63" s="390"/>
      <c r="B63" s="121"/>
      <c r="C63" s="420" t="s">
        <v>56</v>
      </c>
      <c r="D63" s="421"/>
      <c r="E63" s="159" t="s">
        <v>113</v>
      </c>
      <c r="F63" s="160">
        <v>6</v>
      </c>
      <c r="G63" s="161">
        <f t="shared" si="1"/>
        <v>0</v>
      </c>
      <c r="H63" s="162">
        <f>D33*G48*G49*G51*G53*F63</f>
        <v>0</v>
      </c>
      <c r="I63" s="163">
        <v>76</v>
      </c>
      <c r="J63" s="163">
        <f>(4+1+1+4+4+1+1+4+4+6+6)*J78</f>
        <v>100.8</v>
      </c>
      <c r="M63" s="121" t="s">
        <v>112</v>
      </c>
    </row>
    <row r="64" spans="1:13" ht="15.75" customHeight="1">
      <c r="A64" s="390"/>
      <c r="B64" s="121"/>
      <c r="C64" s="416" t="s">
        <v>114</v>
      </c>
      <c r="D64" s="417"/>
      <c r="E64" s="159" t="s">
        <v>116</v>
      </c>
      <c r="F64" s="160">
        <v>3</v>
      </c>
      <c r="G64" s="161">
        <f t="shared" si="1"/>
        <v>44002.44140625</v>
      </c>
      <c r="H64" s="162">
        <f>G33*G48*G49*G50*G54*F64*31*24</f>
        <v>357120000</v>
      </c>
      <c r="I64" s="163">
        <v>62</v>
      </c>
      <c r="J64" s="163">
        <f>(4+4+4+6+6)*J78</f>
        <v>67.199999999999989</v>
      </c>
      <c r="M64" s="121" t="s">
        <v>112</v>
      </c>
    </row>
    <row r="65" spans="1:13" ht="15.75" customHeight="1">
      <c r="A65" s="390"/>
      <c r="B65" s="121"/>
      <c r="C65" s="416" t="s">
        <v>114</v>
      </c>
      <c r="D65" s="417"/>
      <c r="E65" s="159" t="s">
        <v>115</v>
      </c>
      <c r="F65" s="160">
        <v>6</v>
      </c>
      <c r="G65" s="161">
        <f t="shared" si="1"/>
        <v>12090.4541015625</v>
      </c>
      <c r="H65" s="162">
        <f>G33*G48*G49*G50*G51*G54*F65*31</f>
        <v>89280000</v>
      </c>
      <c r="I65" s="163">
        <v>72</v>
      </c>
      <c r="J65" s="163">
        <f>(1+4+4+4+6+6)*J78</f>
        <v>70</v>
      </c>
      <c r="M65" s="121" t="s">
        <v>112</v>
      </c>
    </row>
    <row r="66" spans="1:13" ht="15.75" customHeight="1" thickBot="1">
      <c r="A66" s="391"/>
      <c r="B66" s="164"/>
      <c r="C66" s="389" t="s">
        <v>114</v>
      </c>
      <c r="D66" s="389"/>
      <c r="E66" s="165" t="s">
        <v>113</v>
      </c>
      <c r="F66" s="166">
        <v>1</v>
      </c>
      <c r="G66" s="167">
        <f>IFERROR(((I66*H66)*2)/1024/1024,0)</f>
        <v>4768.06640625</v>
      </c>
      <c r="H66" s="162">
        <f>(60/G55)*24*F66*31*G33*G54</f>
        <v>178560000</v>
      </c>
      <c r="I66" s="163">
        <v>14</v>
      </c>
      <c r="J66" s="163" t="s">
        <v>61</v>
      </c>
      <c r="M66" s="121" t="s">
        <v>112</v>
      </c>
    </row>
    <row r="67" spans="1:13" s="121" customFormat="1" ht="15.75" customHeight="1" thickTop="1">
      <c r="C67" s="153"/>
      <c r="D67" s="153"/>
      <c r="E67" s="153"/>
      <c r="F67" s="153"/>
      <c r="G67" s="168"/>
    </row>
    <row r="68" spans="1:13" s="114" customFormat="1" ht="15.75" thickBot="1">
      <c r="C68" s="169"/>
      <c r="D68" s="121"/>
      <c r="G68" s="170"/>
    </row>
    <row r="69" spans="1:13" ht="18" customHeight="1" thickTop="1">
      <c r="A69" s="392" t="s">
        <v>111</v>
      </c>
      <c r="B69" s="118"/>
      <c r="C69" s="393" t="s">
        <v>110</v>
      </c>
      <c r="D69" s="394"/>
      <c r="E69" s="394" t="s">
        <v>109</v>
      </c>
      <c r="F69" s="394"/>
      <c r="G69" s="171" t="s">
        <v>108</v>
      </c>
      <c r="H69" s="142" t="s">
        <v>107</v>
      </c>
    </row>
    <row r="70" spans="1:13" ht="15.75" customHeight="1">
      <c r="A70" s="390"/>
      <c r="B70" s="121"/>
      <c r="C70" s="395" t="s">
        <v>106</v>
      </c>
      <c r="D70" s="172" t="s">
        <v>105</v>
      </c>
      <c r="E70" s="397" t="s">
        <v>104</v>
      </c>
      <c r="F70" s="398"/>
      <c r="G70" s="173">
        <f>(SUM(J8:J31))/1000/1000/1000</f>
        <v>9</v>
      </c>
      <c r="H70" s="174">
        <f>SUM(G70:G71)</f>
        <v>13.5</v>
      </c>
    </row>
    <row r="71" spans="1:13" ht="15.75" customHeight="1">
      <c r="A71" s="390"/>
      <c r="B71" s="121"/>
      <c r="C71" s="396"/>
      <c r="D71" s="172" t="s">
        <v>103</v>
      </c>
      <c r="E71" s="397" t="s">
        <v>102</v>
      </c>
      <c r="F71" s="398"/>
      <c r="G71" s="173">
        <f>SUM(K8:K31)/1000/1000/1000</f>
        <v>4.5</v>
      </c>
      <c r="H71" s="174"/>
    </row>
    <row r="72" spans="1:13" ht="15.75" customHeight="1">
      <c r="A72" s="390"/>
      <c r="B72" s="121"/>
      <c r="C72" s="395" t="s">
        <v>101</v>
      </c>
      <c r="D72" s="172" t="s">
        <v>100</v>
      </c>
      <c r="E72" s="397" t="s">
        <v>99</v>
      </c>
      <c r="F72" s="398"/>
      <c r="G72" s="173">
        <f>(SUM(H8:H31)*40)/1000/1000/1000</f>
        <v>42.048000000000002</v>
      </c>
      <c r="H72" s="174"/>
    </row>
    <row r="73" spans="1:13" ht="15.75" customHeight="1">
      <c r="A73" s="390"/>
      <c r="B73" s="121"/>
      <c r="C73" s="399"/>
      <c r="D73" s="172" t="s">
        <v>98</v>
      </c>
      <c r="E73" s="397" t="s">
        <v>97</v>
      </c>
      <c r="F73" s="398"/>
      <c r="G73" s="173">
        <f>((D33+G33+6*(G44+G45)+10)*162*Architecture!E23)/1000/1000/1000</f>
        <v>0.84023729999999996</v>
      </c>
      <c r="H73" s="174"/>
    </row>
    <row r="74" spans="1:13" ht="15.75" customHeight="1">
      <c r="A74" s="390"/>
      <c r="B74" s="121"/>
      <c r="C74" s="396"/>
      <c r="D74" s="172" t="s">
        <v>96</v>
      </c>
      <c r="E74" s="400" t="s">
        <v>95</v>
      </c>
      <c r="F74" s="397"/>
      <c r="G74" s="173">
        <f>G33*(Architecture!E24*160+D33*140)/1000/1000/1000</f>
        <v>0.58399999999999996</v>
      </c>
      <c r="H74" s="174"/>
    </row>
    <row r="75" spans="1:13" ht="15.75" customHeight="1">
      <c r="A75" s="390"/>
      <c r="B75" s="121"/>
      <c r="C75" s="175" t="s">
        <v>94</v>
      </c>
      <c r="D75" s="401" t="s">
        <v>93</v>
      </c>
      <c r="E75" s="402"/>
      <c r="F75" s="403"/>
      <c r="G75" s="173">
        <f>(G72)*1.5</f>
        <v>63.072000000000003</v>
      </c>
      <c r="H75" s="174"/>
    </row>
    <row r="76" spans="1:13" ht="15" customHeight="1" thickBot="1">
      <c r="A76" s="390"/>
      <c r="B76" s="121"/>
      <c r="C76" s="176"/>
      <c r="D76" s="121"/>
      <c r="E76" s="121"/>
      <c r="F76" s="121"/>
      <c r="G76" s="141"/>
    </row>
    <row r="77" spans="1:13" ht="20.25" customHeight="1" thickBot="1">
      <c r="A77" s="390"/>
      <c r="B77" s="121"/>
      <c r="C77" s="404" t="s">
        <v>92</v>
      </c>
      <c r="D77" s="405"/>
      <c r="E77" s="405"/>
      <c r="F77" s="405"/>
      <c r="G77" s="177">
        <f>SUM(G70:G75)</f>
        <v>120.04423730000001</v>
      </c>
      <c r="H77" s="178">
        <f>IF(G77-G71-G70&lt;5,5,G77-G71-G70)</f>
        <v>106.54423730000001</v>
      </c>
      <c r="J77" s="179" t="s">
        <v>65</v>
      </c>
    </row>
    <row r="78" spans="1:13" ht="15" customHeight="1" thickBot="1">
      <c r="A78" s="390"/>
      <c r="B78" s="121"/>
      <c r="C78" s="176"/>
      <c r="D78" s="121"/>
      <c r="E78" s="121"/>
      <c r="F78" s="121"/>
      <c r="G78" s="141"/>
      <c r="J78" s="180">
        <v>2.8</v>
      </c>
    </row>
    <row r="79" spans="1:13" ht="20.25" customHeight="1" thickBot="1">
      <c r="A79" s="391"/>
      <c r="B79" s="164"/>
      <c r="C79" s="406" t="s">
        <v>91</v>
      </c>
      <c r="D79" s="407"/>
      <c r="E79" s="407"/>
      <c r="F79" s="407"/>
      <c r="G79" s="181">
        <f>IFERROR(SUM(G58:G66)/1000,0)</f>
        <v>67.484830407714853</v>
      </c>
    </row>
    <row r="80" spans="1:13" ht="13.5" thickTop="1"/>
  </sheetData>
  <sheetProtection algorithmName="SHA-512" hashValue="DF1iALIbcG6jpF46xnoSqxRdntp2yDsFl4WgQk3vJZ97KNOhU6Wmmexva5Og/znQmvqYPkTnjWFHJqBSO4vz1g==" saltValue="0Y7tGHfco946F4hrozAbCw==" spinCount="100000" sheet="1"/>
  <mergeCells count="46">
    <mergeCell ref="A6:A36"/>
    <mergeCell ref="C6:G6"/>
    <mergeCell ref="E33:F33"/>
    <mergeCell ref="E34:F34"/>
    <mergeCell ref="E35:F35"/>
    <mergeCell ref="A1:D1"/>
    <mergeCell ref="E1:G1"/>
    <mergeCell ref="A3:E3"/>
    <mergeCell ref="F3:G3"/>
    <mergeCell ref="A4:G4"/>
    <mergeCell ref="C50:F50"/>
    <mergeCell ref="C51:F51"/>
    <mergeCell ref="C52:F52"/>
    <mergeCell ref="C65:D65"/>
    <mergeCell ref="C53:F53"/>
    <mergeCell ref="C54:F54"/>
    <mergeCell ref="C55:F55"/>
    <mergeCell ref="C57:D57"/>
    <mergeCell ref="C58:D58"/>
    <mergeCell ref="C59:D59"/>
    <mergeCell ref="C60:D60"/>
    <mergeCell ref="C61:D61"/>
    <mergeCell ref="C62:D62"/>
    <mergeCell ref="C63:D63"/>
    <mergeCell ref="C64:D64"/>
    <mergeCell ref="C44:F44"/>
    <mergeCell ref="C45:F45"/>
    <mergeCell ref="C47:F47"/>
    <mergeCell ref="C48:F48"/>
    <mergeCell ref="C49:F49"/>
    <mergeCell ref="C66:D66"/>
    <mergeCell ref="A37:A66"/>
    <mergeCell ref="A69:A79"/>
    <mergeCell ref="C69:D69"/>
    <mergeCell ref="E69:F69"/>
    <mergeCell ref="C70:C71"/>
    <mergeCell ref="E70:F70"/>
    <mergeCell ref="E71:F71"/>
    <mergeCell ref="C72:C74"/>
    <mergeCell ref="E72:F72"/>
    <mergeCell ref="E73:F73"/>
    <mergeCell ref="E74:F74"/>
    <mergeCell ref="D75:F75"/>
    <mergeCell ref="C77:F77"/>
    <mergeCell ref="C79:F79"/>
    <mergeCell ref="C43:F43"/>
  </mergeCells>
  <pageMargins left="0.7" right="0.7" top="0.75" bottom="0.75" header="0.3" footer="0.3"/>
  <pageSetup paperSize="9" scale="80" orientation="landscape" r:id="rId1"/>
  <rowBreaks count="2" manualBreakCount="2">
    <brk id="36" max="16383" man="1"/>
    <brk id="67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91E33-BA09-45DD-863C-96E9851BC63B}">
  <sheetPr codeName="Feuil8"/>
  <dimension ref="A1:R80"/>
  <sheetViews>
    <sheetView topLeftCell="A50" zoomScale="70" zoomScaleNormal="70" workbookViewId="0">
      <selection activeCell="I73" sqref="I73"/>
    </sheetView>
  </sheetViews>
  <sheetFormatPr baseColWidth="10" defaultColWidth="11.42578125" defaultRowHeight="12.75"/>
  <cols>
    <col min="1" max="1" width="8.7109375" style="113" customWidth="1"/>
    <col min="2" max="2" width="3.85546875" style="113" customWidth="1"/>
    <col min="3" max="3" width="40.7109375" style="113" bestFit="1" customWidth="1"/>
    <col min="4" max="4" width="23" style="113" bestFit="1" customWidth="1"/>
    <col min="5" max="5" width="28.7109375" style="113" bestFit="1" customWidth="1"/>
    <col min="6" max="6" width="23.42578125" style="113" bestFit="1" customWidth="1"/>
    <col min="7" max="7" width="28.85546875" style="113" customWidth="1"/>
    <col min="8" max="8" width="24" style="113" customWidth="1"/>
    <col min="9" max="9" width="26.28515625" style="113" customWidth="1"/>
    <col min="10" max="10" width="29" style="113" customWidth="1"/>
    <col min="11" max="11" width="22.85546875" style="113" customWidth="1"/>
    <col min="12" max="16384" width="11.42578125" style="113"/>
  </cols>
  <sheetData>
    <row r="1" spans="1:18" ht="15" customHeight="1">
      <c r="A1" s="422" t="s">
        <v>173</v>
      </c>
      <c r="B1" s="422"/>
      <c r="C1" s="422"/>
      <c r="D1" s="422"/>
      <c r="E1" s="423" t="s">
        <v>172</v>
      </c>
      <c r="F1" s="423"/>
      <c r="G1" s="423"/>
      <c r="H1" s="112"/>
      <c r="M1" s="114" t="s">
        <v>171</v>
      </c>
    </row>
    <row r="2" spans="1:18" ht="13.5" thickBot="1"/>
    <row r="3" spans="1:18" s="116" customFormat="1" ht="24.75" customHeight="1">
      <c r="A3" s="424" t="s">
        <v>170</v>
      </c>
      <c r="B3" s="425"/>
      <c r="C3" s="425"/>
      <c r="D3" s="425"/>
      <c r="E3" s="425"/>
      <c r="F3" s="425" t="s">
        <v>169</v>
      </c>
      <c r="G3" s="426"/>
      <c r="H3" s="115"/>
    </row>
    <row r="4" spans="1:18" s="116" customFormat="1" ht="29.25" customHeight="1" thickBot="1">
      <c r="A4" s="427" t="s">
        <v>168</v>
      </c>
      <c r="B4" s="428"/>
      <c r="C4" s="428"/>
      <c r="D4" s="428"/>
      <c r="E4" s="428"/>
      <c r="F4" s="428"/>
      <c r="G4" s="429"/>
      <c r="H4" s="117"/>
    </row>
    <row r="5" spans="1:18" ht="13.5" thickBot="1"/>
    <row r="6" spans="1:18" ht="22.5" customHeight="1" thickTop="1">
      <c r="A6" s="392" t="s">
        <v>130</v>
      </c>
      <c r="B6" s="118"/>
      <c r="C6" s="430" t="s">
        <v>167</v>
      </c>
      <c r="D6" s="430"/>
      <c r="E6" s="430"/>
      <c r="F6" s="430"/>
      <c r="G6" s="431"/>
      <c r="H6" s="119"/>
      <c r="I6" s="120"/>
      <c r="J6" s="120"/>
      <c r="K6" s="120"/>
    </row>
    <row r="7" spans="1:18" ht="38.25">
      <c r="A7" s="390"/>
      <c r="B7" s="121"/>
      <c r="C7" s="122" t="s">
        <v>166</v>
      </c>
      <c r="D7" s="122" t="s">
        <v>165</v>
      </c>
      <c r="E7" s="122" t="s">
        <v>164</v>
      </c>
      <c r="F7" s="122" t="s">
        <v>163</v>
      </c>
      <c r="G7" s="123" t="s">
        <v>162</v>
      </c>
      <c r="H7" s="124" t="s">
        <v>161</v>
      </c>
      <c r="I7" s="125" t="s">
        <v>160</v>
      </c>
      <c r="J7" s="125" t="s">
        <v>159</v>
      </c>
      <c r="K7" s="125" t="s">
        <v>158</v>
      </c>
    </row>
    <row r="8" spans="1:18" ht="15">
      <c r="A8" s="390"/>
      <c r="B8" s="121"/>
      <c r="C8" s="126" t="s">
        <v>157</v>
      </c>
      <c r="D8" s="190">
        <f>'Final sizing'!R3</f>
        <v>3333.3333333333335</v>
      </c>
      <c r="E8" s="127">
        <v>2</v>
      </c>
      <c r="F8" s="127">
        <v>5</v>
      </c>
      <c r="G8" s="128">
        <f>IF(Architecture!B13="X",IF(Architecture!E7="",D8*E8/(Architecture!C14+1),Architecture!E7/Architecture!C14),Architecture!E7/Architecture!C14)</f>
        <v>1666.6666666666667</v>
      </c>
      <c r="H8" s="129">
        <f>Architecture!$E$22*(86400/(F8*60))*G8</f>
        <v>175200000</v>
      </c>
      <c r="I8" s="130">
        <f>((Architecture!$E$24*24*60)/F8)*D8</f>
        <v>350400000</v>
      </c>
      <c r="J8" s="131">
        <f>((450000*5/F8)*G8)*(Architecture!$D$21/6)</f>
        <v>1500000000</v>
      </c>
      <c r="K8" s="131">
        <f>IF(E8&lt;&gt;0,((450000*5/F8)*D8)*(Architecture!$D$21/6),0)</f>
        <v>3000000000</v>
      </c>
      <c r="R8" s="132"/>
    </row>
    <row r="9" spans="1:18" ht="15">
      <c r="A9" s="390"/>
      <c r="B9" s="121"/>
      <c r="C9" s="126" t="s">
        <v>156</v>
      </c>
      <c r="D9" s="127">
        <v>0</v>
      </c>
      <c r="E9" s="127">
        <v>2</v>
      </c>
      <c r="F9" s="127">
        <v>5</v>
      </c>
      <c r="G9" s="128">
        <f t="shared" ref="G9:G32" si="0">D9*E9</f>
        <v>0</v>
      </c>
      <c r="H9" s="129">
        <f>Architecture!$E$22*(86400/(F9*60))*G9</f>
        <v>0</v>
      </c>
      <c r="I9" s="130">
        <f>((Architecture!$E$24*24*60)/F9)*D9</f>
        <v>0</v>
      </c>
      <c r="J9" s="131">
        <f>((450000*5/F9)*G9)*(Architecture!$D$21/6)</f>
        <v>0</v>
      </c>
      <c r="K9" s="131">
        <f>IF(E9&lt;&gt;0,((450000*5/F9)*D9)*(Architecture!$D$21/6),0)</f>
        <v>0</v>
      </c>
      <c r="R9" s="132"/>
    </row>
    <row r="10" spans="1:18" ht="15">
      <c r="A10" s="390"/>
      <c r="B10" s="121"/>
      <c r="C10" s="126" t="s">
        <v>155</v>
      </c>
      <c r="D10" s="133">
        <v>0</v>
      </c>
      <c r="E10" s="133">
        <v>2</v>
      </c>
      <c r="F10" s="127">
        <v>5</v>
      </c>
      <c r="G10" s="128">
        <f t="shared" si="0"/>
        <v>0</v>
      </c>
      <c r="H10" s="129">
        <f>Architecture!$E$22*(86400/(F10*60))*G10</f>
        <v>0</v>
      </c>
      <c r="I10" s="130">
        <f>((Architecture!$E$24*24*60)/F10)*D10</f>
        <v>0</v>
      </c>
      <c r="J10" s="131">
        <f>((450000*5/F10)*G10)*(Architecture!$D$21/6)</f>
        <v>0</v>
      </c>
      <c r="K10" s="131">
        <f>IF(E10&lt;&gt;0,((450000*5/F10)*D10)*(Architecture!$D$21/6),0)</f>
        <v>0</v>
      </c>
      <c r="R10" s="132"/>
    </row>
    <row r="11" spans="1:18" ht="15">
      <c r="A11" s="390"/>
      <c r="B11" s="121"/>
      <c r="C11" s="126" t="s">
        <v>154</v>
      </c>
      <c r="D11" s="133">
        <v>0</v>
      </c>
      <c r="E11" s="133">
        <v>1</v>
      </c>
      <c r="F11" s="127">
        <v>5</v>
      </c>
      <c r="G11" s="128">
        <f t="shared" si="0"/>
        <v>0</v>
      </c>
      <c r="H11" s="129">
        <f>Architecture!$E$22*(86400/(F11*60))*G11</f>
        <v>0</v>
      </c>
      <c r="I11" s="130">
        <f>((Architecture!$E$24*24*60)/F11)*D11</f>
        <v>0</v>
      </c>
      <c r="J11" s="131">
        <f>((450000*5/F11)*G11)*(Architecture!$D$21/6)</f>
        <v>0</v>
      </c>
      <c r="K11" s="131">
        <f>IF(E11&lt;&gt;0,((450000*5/F11)*D11)*(Architecture!$D$21/6),0)</f>
        <v>0</v>
      </c>
      <c r="R11" s="132"/>
    </row>
    <row r="12" spans="1:18" ht="15">
      <c r="A12" s="390"/>
      <c r="B12" s="121"/>
      <c r="C12" s="126" t="s">
        <v>153</v>
      </c>
      <c r="D12" s="127">
        <v>0</v>
      </c>
      <c r="E12" s="127">
        <v>1</v>
      </c>
      <c r="F12" s="127">
        <v>5</v>
      </c>
      <c r="G12" s="128">
        <f t="shared" si="0"/>
        <v>0</v>
      </c>
      <c r="H12" s="129">
        <f>Architecture!$E$22*(86400/(F12*60))*G12</f>
        <v>0</v>
      </c>
      <c r="I12" s="130">
        <f>((Architecture!$E$24*24*60)/F12)*D12</f>
        <v>0</v>
      </c>
      <c r="J12" s="131">
        <f>((450000*5/F12)*G12)*(Architecture!$D$21/6)</f>
        <v>0</v>
      </c>
      <c r="K12" s="131">
        <f>IF(E12&lt;&gt;0,((450000*5/F12)*D12)*(Architecture!$D$21/6),0)</f>
        <v>0</v>
      </c>
      <c r="R12" s="132"/>
    </row>
    <row r="13" spans="1:18" ht="15">
      <c r="A13" s="390"/>
      <c r="B13" s="121"/>
      <c r="C13" s="126" t="s">
        <v>152</v>
      </c>
      <c r="D13" s="133">
        <v>0</v>
      </c>
      <c r="E13" s="133">
        <v>2</v>
      </c>
      <c r="F13" s="133">
        <v>5</v>
      </c>
      <c r="G13" s="128">
        <f t="shared" si="0"/>
        <v>0</v>
      </c>
      <c r="H13" s="129">
        <f>Architecture!$E$22*(86400/(F13*60))*G13</f>
        <v>0</v>
      </c>
      <c r="I13" s="130">
        <f>((Architecture!$E$24*24*60)/F13)*D13</f>
        <v>0</v>
      </c>
      <c r="J13" s="131">
        <f>((450000*5/F13)*G13)*(Architecture!$D$21/6)</f>
        <v>0</v>
      </c>
      <c r="K13" s="131">
        <f>IF(E13&lt;&gt;0,((450000*5/F13)*D13)*(Architecture!$D$21/6),0)</f>
        <v>0</v>
      </c>
      <c r="R13" s="132"/>
    </row>
    <row r="14" spans="1:18" ht="15">
      <c r="A14" s="390"/>
      <c r="B14" s="121"/>
      <c r="C14" s="126" t="s">
        <v>151</v>
      </c>
      <c r="D14" s="127">
        <v>0</v>
      </c>
      <c r="E14" s="127">
        <v>0</v>
      </c>
      <c r="F14" s="127">
        <v>5</v>
      </c>
      <c r="G14" s="128">
        <f t="shared" si="0"/>
        <v>0</v>
      </c>
      <c r="H14" s="129">
        <f>Architecture!$E$22*(86400/(F14*60))*G14</f>
        <v>0</v>
      </c>
      <c r="I14" s="130">
        <f>((Architecture!$E$24*24*60)/F14)*D14</f>
        <v>0</v>
      </c>
      <c r="J14" s="131">
        <f>((450000*5/F14)*G14)*(Architecture!$D$21/6)</f>
        <v>0</v>
      </c>
      <c r="K14" s="131">
        <f>IF(E14&lt;&gt;0,((450000*5/F14)*D14)*(Architecture!$D$21/6),0)</f>
        <v>0</v>
      </c>
      <c r="R14" s="132"/>
    </row>
    <row r="15" spans="1:18" ht="15">
      <c r="A15" s="390"/>
      <c r="B15" s="121"/>
      <c r="C15" s="126" t="s">
        <v>150</v>
      </c>
      <c r="D15" s="127">
        <v>0</v>
      </c>
      <c r="E15" s="127">
        <v>2</v>
      </c>
      <c r="F15" s="127">
        <v>5</v>
      </c>
      <c r="G15" s="128">
        <f t="shared" si="0"/>
        <v>0</v>
      </c>
      <c r="H15" s="129">
        <f>Architecture!$E$22*(86400/(F15*60))*G15</f>
        <v>0</v>
      </c>
      <c r="I15" s="130">
        <f>((Architecture!$E$24*24*60)/F15)*D15</f>
        <v>0</v>
      </c>
      <c r="J15" s="131">
        <f>((450000*5/F15)*G15)*(Architecture!$D$21/6)</f>
        <v>0</v>
      </c>
      <c r="K15" s="131">
        <f>IF(E15&lt;&gt;0,((450000*5/F15)*D15)*(Architecture!$D$21/6),0)</f>
        <v>0</v>
      </c>
      <c r="R15" s="132"/>
    </row>
    <row r="16" spans="1:18" ht="15">
      <c r="A16" s="390"/>
      <c r="B16" s="121"/>
      <c r="C16" s="126" t="s">
        <v>149</v>
      </c>
      <c r="D16" s="133">
        <v>0</v>
      </c>
      <c r="E16" s="133">
        <v>4</v>
      </c>
      <c r="F16" s="133">
        <v>5</v>
      </c>
      <c r="G16" s="128">
        <f t="shared" si="0"/>
        <v>0</v>
      </c>
      <c r="H16" s="129">
        <f>Architecture!$E$22*(86400/(F16*60))*G16</f>
        <v>0</v>
      </c>
      <c r="I16" s="130">
        <f>((Architecture!$E$24*24*60)/F16)*D16</f>
        <v>0</v>
      </c>
      <c r="J16" s="131">
        <f>((450000*5/F16)*G16)*(Architecture!$D$21/6)</f>
        <v>0</v>
      </c>
      <c r="K16" s="131">
        <f>IF(E16&lt;&gt;0,((450000*5/F16)*D16)*(Architecture!$D$21/6),0)</f>
        <v>0</v>
      </c>
      <c r="R16" s="132"/>
    </row>
    <row r="17" spans="1:18" ht="15">
      <c r="A17" s="390"/>
      <c r="B17" s="121"/>
      <c r="C17" s="126" t="s">
        <v>148</v>
      </c>
      <c r="D17" s="127">
        <v>0</v>
      </c>
      <c r="E17" s="127">
        <v>0</v>
      </c>
      <c r="F17" s="127">
        <v>60</v>
      </c>
      <c r="G17" s="128">
        <f t="shared" si="0"/>
        <v>0</v>
      </c>
      <c r="H17" s="129">
        <f>Architecture!$E$22*(86400/(F17*60))*G17</f>
        <v>0</v>
      </c>
      <c r="I17" s="130">
        <f>((Architecture!$E$24*24*60)/F17)*D17</f>
        <v>0</v>
      </c>
      <c r="J17" s="131">
        <f>((450000*5/F17)*G17)*(Architecture!$D$21/6)</f>
        <v>0</v>
      </c>
      <c r="K17" s="131">
        <f>IF(E17&lt;&gt;0,((450000*5/F17)*D17)*(Architecture!$D$21/6),0)</f>
        <v>0</v>
      </c>
      <c r="R17" s="132"/>
    </row>
    <row r="18" spans="1:18" ht="15">
      <c r="A18" s="390"/>
      <c r="B18" s="121"/>
      <c r="C18" s="126" t="s">
        <v>147</v>
      </c>
      <c r="D18" s="133">
        <v>0</v>
      </c>
      <c r="E18" s="133">
        <v>2</v>
      </c>
      <c r="F18" s="133">
        <v>60</v>
      </c>
      <c r="G18" s="128">
        <f t="shared" si="0"/>
        <v>0</v>
      </c>
      <c r="H18" s="129">
        <f>Architecture!$E$22*(86400/(F18*60))*G18</f>
        <v>0</v>
      </c>
      <c r="I18" s="130">
        <f>((Architecture!$E$24*24*60)/F18)*D18</f>
        <v>0</v>
      </c>
      <c r="J18" s="131">
        <f>((450000*5/F18)*G18)*(Architecture!$D$21/6)</f>
        <v>0</v>
      </c>
      <c r="K18" s="131">
        <f>IF(E18&lt;&gt;0,((450000*5/F18)*D18)*(Architecture!$D$21/6),0)</f>
        <v>0</v>
      </c>
      <c r="R18" s="132"/>
    </row>
    <row r="19" spans="1:18" ht="15">
      <c r="A19" s="390"/>
      <c r="B19" s="121"/>
      <c r="C19" s="126" t="s">
        <v>146</v>
      </c>
      <c r="D19" s="133">
        <v>0</v>
      </c>
      <c r="E19" s="133">
        <v>3</v>
      </c>
      <c r="F19" s="133">
        <v>5</v>
      </c>
      <c r="G19" s="128">
        <f t="shared" si="0"/>
        <v>0</v>
      </c>
      <c r="H19" s="129">
        <f>Architecture!$E$22*(86400/(F19*60))*G19</f>
        <v>0</v>
      </c>
      <c r="I19" s="130">
        <f>((Architecture!$E$24*24*60)/F19)*D19</f>
        <v>0</v>
      </c>
      <c r="J19" s="131">
        <f>((450000*5/F19)*G19)*(Architecture!$D$21/6)</f>
        <v>0</v>
      </c>
      <c r="K19" s="131">
        <f>IF(E19&lt;&gt;0,((450000*5/F19)*D19)*(Architecture!$D$21/6),0)</f>
        <v>0</v>
      </c>
      <c r="R19" s="132"/>
    </row>
    <row r="20" spans="1:18" ht="15">
      <c r="A20" s="390"/>
      <c r="B20" s="121"/>
      <c r="C20" s="126" t="s">
        <v>145</v>
      </c>
      <c r="D20" s="127">
        <v>0</v>
      </c>
      <c r="E20" s="127">
        <v>2</v>
      </c>
      <c r="F20" s="127">
        <v>5</v>
      </c>
      <c r="G20" s="128">
        <f t="shared" si="0"/>
        <v>0</v>
      </c>
      <c r="H20" s="129">
        <f>Architecture!$E$22*(86400/(F20*60))*G20</f>
        <v>0</v>
      </c>
      <c r="I20" s="130">
        <f>((Architecture!$E$24*24*60)/F20)*D20</f>
        <v>0</v>
      </c>
      <c r="J20" s="131">
        <f>((450000*5/F20)*G20)*(Architecture!$D$21/6)</f>
        <v>0</v>
      </c>
      <c r="K20" s="131">
        <f>IF(E20&lt;&gt;0,((450000*5/F20)*D20)*(Architecture!$D$21/6),0)</f>
        <v>0</v>
      </c>
      <c r="R20" s="132"/>
    </row>
    <row r="21" spans="1:18" ht="15">
      <c r="A21" s="390"/>
      <c r="B21" s="121"/>
      <c r="C21" s="126" t="s">
        <v>144</v>
      </c>
      <c r="D21" s="133">
        <v>0</v>
      </c>
      <c r="E21" s="127">
        <v>0</v>
      </c>
      <c r="F21" s="127">
        <v>5</v>
      </c>
      <c r="G21" s="128">
        <f t="shared" si="0"/>
        <v>0</v>
      </c>
      <c r="H21" s="129">
        <f>Architecture!$E$22*(86400/(F21*60))*G21</f>
        <v>0</v>
      </c>
      <c r="I21" s="130">
        <f>((Architecture!$E$24*24*60)/F21)*D21</f>
        <v>0</v>
      </c>
      <c r="J21" s="131">
        <f>((450000*5/F21)*G21)*(Architecture!$D$21/6)</f>
        <v>0</v>
      </c>
      <c r="K21" s="131">
        <f>IF(E21&lt;&gt;0,((450000*5/F21)*D21)*(Architecture!$D$21/6),0)</f>
        <v>0</v>
      </c>
      <c r="R21" s="132"/>
    </row>
    <row r="22" spans="1:18" ht="15">
      <c r="A22" s="390"/>
      <c r="B22" s="121"/>
      <c r="C22" s="134" t="s">
        <v>143</v>
      </c>
      <c r="D22" s="133">
        <v>0</v>
      </c>
      <c r="E22" s="127">
        <v>0</v>
      </c>
      <c r="F22" s="127">
        <v>5</v>
      </c>
      <c r="G22" s="128">
        <f t="shared" si="0"/>
        <v>0</v>
      </c>
      <c r="H22" s="129">
        <f>Architecture!$E$22*(86400/(F22*60))*G22</f>
        <v>0</v>
      </c>
      <c r="I22" s="130">
        <f>((Architecture!$E$24*24*60)/F22)*D22</f>
        <v>0</v>
      </c>
      <c r="J22" s="131">
        <f>((450000*5/F22)*G22)*(Architecture!$D$21/6)</f>
        <v>0</v>
      </c>
      <c r="K22" s="131">
        <f>IF(E22&lt;&gt;0,((450000*5/F22)*D22)*(Architecture!$D$21/6),0)</f>
        <v>0</v>
      </c>
      <c r="R22" s="135"/>
    </row>
    <row r="23" spans="1:18" ht="15">
      <c r="A23" s="390"/>
      <c r="B23" s="121"/>
      <c r="C23" s="126" t="s">
        <v>142</v>
      </c>
      <c r="D23" s="127">
        <v>0</v>
      </c>
      <c r="E23" s="127">
        <v>0</v>
      </c>
      <c r="F23" s="127">
        <v>5</v>
      </c>
      <c r="G23" s="128">
        <f t="shared" si="0"/>
        <v>0</v>
      </c>
      <c r="H23" s="129">
        <f>Architecture!$E$22*(86400/(F23*60))*G23</f>
        <v>0</v>
      </c>
      <c r="I23" s="130">
        <f>((Architecture!$E$24*24*60)/F23)*D23</f>
        <v>0</v>
      </c>
      <c r="J23" s="131">
        <f>((450000*5/F23)*G23)*(Architecture!$D$21/6)</f>
        <v>0</v>
      </c>
      <c r="K23" s="131">
        <f>IF(E23&lt;&gt;0,((450000*5/F23)*D23)*(Architecture!$D$21/6),0)</f>
        <v>0</v>
      </c>
      <c r="R23" s="132"/>
    </row>
    <row r="24" spans="1:18" ht="15">
      <c r="A24" s="390"/>
      <c r="B24" s="121"/>
      <c r="C24" s="126" t="s">
        <v>141</v>
      </c>
      <c r="D24" s="133">
        <v>0</v>
      </c>
      <c r="E24" s="127">
        <v>2</v>
      </c>
      <c r="F24" s="127">
        <v>5</v>
      </c>
      <c r="G24" s="128">
        <f t="shared" si="0"/>
        <v>0</v>
      </c>
      <c r="H24" s="129">
        <f>Architecture!$E$22*(86400/(F24*60))*G24</f>
        <v>0</v>
      </c>
      <c r="I24" s="130">
        <f>((Architecture!$E$24*24*60)/F24)*D24</f>
        <v>0</v>
      </c>
      <c r="J24" s="131">
        <f>((450000*5/F24)*G24)*(Architecture!$D$21/6)</f>
        <v>0</v>
      </c>
      <c r="K24" s="131">
        <f>IF(E24&lt;&gt;0,((450000*5/F24)*D24)*(Architecture!$D$21/6),0)</f>
        <v>0</v>
      </c>
      <c r="R24" s="132"/>
    </row>
    <row r="25" spans="1:18" ht="15">
      <c r="A25" s="390"/>
      <c r="B25" s="121"/>
      <c r="C25" s="126" t="s">
        <v>140</v>
      </c>
      <c r="D25" s="133">
        <v>0</v>
      </c>
      <c r="E25" s="133">
        <v>2</v>
      </c>
      <c r="F25" s="133">
        <v>5</v>
      </c>
      <c r="G25" s="128">
        <f t="shared" si="0"/>
        <v>0</v>
      </c>
      <c r="H25" s="129">
        <f>Architecture!$E$22*(86400/(F25*60))*G25</f>
        <v>0</v>
      </c>
      <c r="I25" s="130">
        <f>((Architecture!$E$24*24*60)/F25)*D25</f>
        <v>0</v>
      </c>
      <c r="J25" s="131">
        <f>((450000*5/F25)*G25)*(Architecture!$D$21/6)</f>
        <v>0</v>
      </c>
      <c r="K25" s="131">
        <f>IF(E25&lt;&gt;0,((450000*5/F25)*D25)*(Architecture!$D$21/6),0)</f>
        <v>0</v>
      </c>
      <c r="R25" s="132"/>
    </row>
    <row r="26" spans="1:18" ht="15">
      <c r="A26" s="390"/>
      <c r="B26" s="121"/>
      <c r="C26" s="126" t="s">
        <v>139</v>
      </c>
      <c r="D26" s="133">
        <v>0</v>
      </c>
      <c r="E26" s="127">
        <v>0</v>
      </c>
      <c r="F26" s="127">
        <v>300</v>
      </c>
      <c r="G26" s="128">
        <f t="shared" si="0"/>
        <v>0</v>
      </c>
      <c r="H26" s="129">
        <f>Architecture!$E$22*(86400/(F26*60))*G26</f>
        <v>0</v>
      </c>
      <c r="I26" s="130">
        <f>((Architecture!$E$24*24*60)/F26)*D26</f>
        <v>0</v>
      </c>
      <c r="J26" s="131">
        <f>((450000*5/F26)*G26)*(Architecture!$D$21/6)</f>
        <v>0</v>
      </c>
      <c r="K26" s="131">
        <f>IF(E26&lt;&gt;0,((450000*5/F26)*D26)*(Architecture!$D$21/6),0)</f>
        <v>0</v>
      </c>
      <c r="R26" s="132"/>
    </row>
    <row r="27" spans="1:18" ht="15">
      <c r="A27" s="390"/>
      <c r="B27" s="121"/>
      <c r="C27" s="126" t="s">
        <v>138</v>
      </c>
      <c r="D27" s="127">
        <v>0</v>
      </c>
      <c r="E27" s="133">
        <v>3</v>
      </c>
      <c r="F27" s="133">
        <v>300</v>
      </c>
      <c r="G27" s="128">
        <f t="shared" si="0"/>
        <v>0</v>
      </c>
      <c r="H27" s="129">
        <f>Architecture!$E$22*(86400/(F27*60))*G27</f>
        <v>0</v>
      </c>
      <c r="I27" s="130">
        <f>((Architecture!$E$24*24*60)/F27)*D27</f>
        <v>0</v>
      </c>
      <c r="J27" s="131">
        <f>((450000*5/F27)*G27)*(Architecture!$D$21/6)</f>
        <v>0</v>
      </c>
      <c r="K27" s="131">
        <f>IF(E27&lt;&gt;0,((450000*5/F27)*D27)*(Architecture!$D$21/6),0)</f>
        <v>0</v>
      </c>
      <c r="R27" s="132"/>
    </row>
    <row r="28" spans="1:18" ht="15">
      <c r="A28" s="390"/>
      <c r="B28" s="121"/>
      <c r="C28" s="126" t="s">
        <v>137</v>
      </c>
      <c r="D28" s="133">
        <v>0</v>
      </c>
      <c r="E28" s="133">
        <v>0</v>
      </c>
      <c r="F28" s="133">
        <v>5</v>
      </c>
      <c r="G28" s="128">
        <f t="shared" si="0"/>
        <v>0</v>
      </c>
      <c r="H28" s="129">
        <f>Architecture!$E$22*(86400/(F28*60))*G28</f>
        <v>0</v>
      </c>
      <c r="I28" s="130">
        <f>((Architecture!$E$24*24*60)/F28)*D28</f>
        <v>0</v>
      </c>
      <c r="J28" s="131">
        <f>((450000*5/F28)*G28)*(Architecture!$D$21/6)</f>
        <v>0</v>
      </c>
      <c r="K28" s="131">
        <f>IF(E28&lt;&gt;0,((450000*5/F28)*D28)*(Architecture!$D$21/6),0)</f>
        <v>0</v>
      </c>
      <c r="R28" s="132"/>
    </row>
    <row r="29" spans="1:18" ht="15">
      <c r="A29" s="390"/>
      <c r="B29" s="121"/>
      <c r="C29" s="126" t="s">
        <v>136</v>
      </c>
      <c r="D29" s="127">
        <v>0</v>
      </c>
      <c r="E29" s="133">
        <v>2</v>
      </c>
      <c r="F29" s="133">
        <v>5</v>
      </c>
      <c r="G29" s="128">
        <f t="shared" si="0"/>
        <v>0</v>
      </c>
      <c r="H29" s="129">
        <f>Architecture!$E$22*(86400/(F29*60))*G29</f>
        <v>0</v>
      </c>
      <c r="I29" s="130">
        <f>((Architecture!$E$24*24*60)/F29)*D29</f>
        <v>0</v>
      </c>
      <c r="J29" s="131">
        <f>((450000*5/F29)*G29)*(Architecture!$D$21/6)</f>
        <v>0</v>
      </c>
      <c r="K29" s="131">
        <f>IF(E29&lt;&gt;0,((450000*5/F29)*D29)*(Architecture!$D$21/6),0)</f>
        <v>0</v>
      </c>
      <c r="R29" s="132"/>
    </row>
    <row r="30" spans="1:18" ht="15">
      <c r="A30" s="390"/>
      <c r="B30" s="121"/>
      <c r="C30" s="126" t="s">
        <v>135</v>
      </c>
      <c r="D30" s="127">
        <v>0</v>
      </c>
      <c r="E30" s="127">
        <v>0</v>
      </c>
      <c r="F30" s="127">
        <v>5</v>
      </c>
      <c r="G30" s="128">
        <f t="shared" si="0"/>
        <v>0</v>
      </c>
      <c r="H30" s="129">
        <f>Architecture!$E$22*(86400/(F30*60))*G30</f>
        <v>0</v>
      </c>
      <c r="I30" s="130">
        <f>((Architecture!$E$24*24*60)/F30)*D30</f>
        <v>0</v>
      </c>
      <c r="J30" s="131">
        <f>((450000*5/F30)*G30)*(Architecture!$D$21/6)</f>
        <v>0</v>
      </c>
      <c r="K30" s="131">
        <f>IF(E30&lt;&gt;0,((450000*5/F30)*D30)*(Architecture!$D$21/6),0)</f>
        <v>0</v>
      </c>
      <c r="R30" s="132"/>
    </row>
    <row r="31" spans="1:18" ht="15">
      <c r="A31" s="390"/>
      <c r="B31" s="121"/>
      <c r="C31" s="126"/>
      <c r="D31" s="133">
        <v>0</v>
      </c>
      <c r="E31" s="127">
        <v>2</v>
      </c>
      <c r="F31" s="127">
        <v>5</v>
      </c>
      <c r="G31" s="128">
        <f t="shared" si="0"/>
        <v>0</v>
      </c>
      <c r="H31" s="129">
        <f>Architecture!$E$22*(86400/(F31*60))*G31</f>
        <v>0</v>
      </c>
      <c r="I31" s="130">
        <f>((Architecture!$E$24*24*60)/F31)*D31</f>
        <v>0</v>
      </c>
      <c r="J31" s="131">
        <f>((450000*5/F31)*G31)*(Architecture!$D$21/6)</f>
        <v>0</v>
      </c>
      <c r="K31" s="131">
        <f>IF(E31&lt;&gt;0,((450000*5/F31)*D31)*(Architecture!$D$21/6),0)</f>
        <v>0</v>
      </c>
    </row>
    <row r="32" spans="1:18" ht="15.75" thickBot="1">
      <c r="A32" s="390"/>
      <c r="B32" s="121"/>
      <c r="C32" s="134"/>
      <c r="D32" s="133">
        <v>0</v>
      </c>
      <c r="E32" s="133">
        <v>2</v>
      </c>
      <c r="F32" s="127">
        <v>5</v>
      </c>
      <c r="G32" s="128">
        <f t="shared" si="0"/>
        <v>0</v>
      </c>
    </row>
    <row r="33" spans="1:13" ht="19.5" customHeight="1" thickBot="1">
      <c r="A33" s="390"/>
      <c r="B33" s="121"/>
      <c r="C33" s="136" t="s">
        <v>134</v>
      </c>
      <c r="D33" s="127">
        <f>Architecture!A7</f>
        <v>1000</v>
      </c>
      <c r="E33" s="432" t="s">
        <v>133</v>
      </c>
      <c r="F33" s="432"/>
      <c r="G33" s="137">
        <f>SUM(D8:D32)</f>
        <v>3333.3333333333335</v>
      </c>
      <c r="H33" s="138"/>
      <c r="J33" s="139"/>
      <c r="K33" s="139"/>
    </row>
    <row r="34" spans="1:13" ht="19.5" customHeight="1" thickBot="1">
      <c r="A34" s="390"/>
      <c r="B34" s="121"/>
      <c r="C34" s="121"/>
      <c r="D34" s="140"/>
      <c r="E34" s="433" t="s">
        <v>132</v>
      </c>
      <c r="F34" s="433"/>
      <c r="G34" s="137">
        <f>SUM(G8:G32)</f>
        <v>1666.6666666666667</v>
      </c>
      <c r="H34" s="138"/>
    </row>
    <row r="35" spans="1:13" ht="19.5" customHeight="1" thickBot="1">
      <c r="A35" s="390"/>
      <c r="B35" s="121"/>
      <c r="C35" s="121"/>
      <c r="D35" s="140"/>
      <c r="E35" s="433" t="s">
        <v>131</v>
      </c>
      <c r="F35" s="433"/>
      <c r="G35" s="137">
        <f>SUMIF(E8:E32,"&lt;&gt;0",D8:D32)</f>
        <v>3333.3333333333335</v>
      </c>
      <c r="H35" s="138"/>
    </row>
    <row r="36" spans="1:13" ht="15" customHeight="1">
      <c r="A36" s="390"/>
      <c r="B36" s="121"/>
      <c r="C36" s="121"/>
      <c r="D36" s="121"/>
      <c r="E36" s="121"/>
      <c r="F36" s="121"/>
      <c r="G36" s="141"/>
    </row>
    <row r="37" spans="1:13" ht="23.25" customHeight="1">
      <c r="A37" s="390" t="s">
        <v>130</v>
      </c>
      <c r="B37" s="121"/>
      <c r="H37" s="142"/>
    </row>
    <row r="38" spans="1:13" ht="15.75" customHeight="1">
      <c r="A38" s="390"/>
      <c r="B38" s="121"/>
      <c r="H38" s="143"/>
    </row>
    <row r="39" spans="1:13" ht="15.75" customHeight="1">
      <c r="A39" s="390"/>
      <c r="B39" s="121"/>
      <c r="H39" s="143"/>
    </row>
    <row r="40" spans="1:13" ht="15.75" customHeight="1">
      <c r="A40" s="390"/>
      <c r="B40" s="121"/>
      <c r="H40" s="143"/>
    </row>
    <row r="41" spans="1:13" ht="15.75" customHeight="1">
      <c r="A41" s="390"/>
      <c r="B41" s="121"/>
      <c r="H41" s="143"/>
    </row>
    <row r="42" spans="1:13" ht="15" customHeight="1">
      <c r="A42" s="390"/>
      <c r="B42" s="121"/>
      <c r="C42" s="144"/>
      <c r="D42" s="121"/>
      <c r="E42" s="121"/>
      <c r="F42" s="145"/>
      <c r="G42" s="146"/>
      <c r="H42" s="143"/>
    </row>
    <row r="43" spans="1:13" ht="22.5" customHeight="1">
      <c r="A43" s="390"/>
      <c r="B43" s="121"/>
      <c r="C43" s="408" t="s">
        <v>129</v>
      </c>
      <c r="D43" s="409"/>
      <c r="E43" s="409"/>
      <c r="F43" s="409"/>
      <c r="G43" s="147" t="s">
        <v>128</v>
      </c>
      <c r="H43" s="143"/>
    </row>
    <row r="44" spans="1:13" ht="17.25" customHeight="1">
      <c r="A44" s="390"/>
      <c r="B44" s="121"/>
      <c r="C44" s="410" t="s">
        <v>127</v>
      </c>
      <c r="D44" s="410"/>
      <c r="E44" s="410"/>
      <c r="F44" s="410"/>
      <c r="G44" s="148">
        <f>G33*0.05</f>
        <v>166.66666666666669</v>
      </c>
      <c r="H44" s="143"/>
      <c r="M44" s="113" t="s">
        <v>126</v>
      </c>
    </row>
    <row r="45" spans="1:13" ht="17.25" customHeight="1">
      <c r="A45" s="390"/>
      <c r="B45" s="121"/>
      <c r="C45" s="410" t="s">
        <v>125</v>
      </c>
      <c r="D45" s="410"/>
      <c r="E45" s="410"/>
      <c r="F45" s="410"/>
      <c r="G45" s="148">
        <f>G33*0.02</f>
        <v>66.666666666666671</v>
      </c>
      <c r="H45" s="143"/>
      <c r="M45" s="113" t="s">
        <v>124</v>
      </c>
    </row>
    <row r="46" spans="1:13" ht="15" customHeight="1">
      <c r="A46" s="390"/>
      <c r="B46" s="121"/>
      <c r="C46" s="121"/>
      <c r="D46" s="121"/>
      <c r="E46" s="121"/>
      <c r="F46" s="145"/>
      <c r="G46" s="141"/>
    </row>
    <row r="47" spans="1:13" s="114" customFormat="1" ht="19.5" customHeight="1">
      <c r="A47" s="390"/>
      <c r="C47" s="411" t="s">
        <v>123</v>
      </c>
      <c r="D47" s="412"/>
      <c r="E47" s="412"/>
      <c r="F47" s="412"/>
      <c r="G47" s="149" t="s">
        <v>37</v>
      </c>
    </row>
    <row r="48" spans="1:13" s="121" customFormat="1" ht="15.75" customHeight="1">
      <c r="A48" s="390"/>
      <c r="C48" s="413" t="s">
        <v>40</v>
      </c>
      <c r="D48" s="414"/>
      <c r="E48" s="414"/>
      <c r="F48" s="415"/>
      <c r="G48" s="150">
        <v>2</v>
      </c>
      <c r="M48" s="121" t="s">
        <v>112</v>
      </c>
    </row>
    <row r="49" spans="1:13" s="121" customFormat="1" ht="15.75" customHeight="1">
      <c r="A49" s="390"/>
      <c r="C49" s="413" t="s">
        <v>41</v>
      </c>
      <c r="D49" s="414"/>
      <c r="E49" s="414"/>
      <c r="F49" s="415"/>
      <c r="G49" s="150">
        <v>2</v>
      </c>
      <c r="M49" s="121" t="s">
        <v>112</v>
      </c>
    </row>
    <row r="50" spans="1:13" s="121" customFormat="1" ht="15.75" customHeight="1">
      <c r="A50" s="390"/>
      <c r="C50" s="413" t="s">
        <v>42</v>
      </c>
      <c r="D50" s="414"/>
      <c r="E50" s="414"/>
      <c r="F50" s="415"/>
      <c r="G50" s="150">
        <v>2</v>
      </c>
      <c r="M50" s="121" t="s">
        <v>112</v>
      </c>
    </row>
    <row r="51" spans="1:13" s="121" customFormat="1" ht="15.75" customHeight="1">
      <c r="A51" s="390"/>
      <c r="C51" s="413" t="s">
        <v>43</v>
      </c>
      <c r="D51" s="414"/>
      <c r="E51" s="414"/>
      <c r="F51" s="415"/>
      <c r="G51" s="150">
        <v>3</v>
      </c>
      <c r="M51" s="121" t="s">
        <v>112</v>
      </c>
    </row>
    <row r="52" spans="1:13" s="121" customFormat="1" ht="15.75" customHeight="1">
      <c r="A52" s="390"/>
      <c r="C52" s="413" t="s">
        <v>44</v>
      </c>
      <c r="D52" s="414"/>
      <c r="E52" s="414"/>
      <c r="F52" s="415"/>
      <c r="G52" s="151">
        <f>IFERROR((G44*30)/G33,0)</f>
        <v>1.5000000000000002</v>
      </c>
    </row>
    <row r="53" spans="1:13" s="121" customFormat="1" ht="15.75" customHeight="1">
      <c r="A53" s="390"/>
      <c r="C53" s="413" t="s">
        <v>45</v>
      </c>
      <c r="D53" s="414"/>
      <c r="E53" s="414"/>
      <c r="F53" s="415"/>
      <c r="G53" s="151">
        <f>IFERROR((G45*30)/D33,0)</f>
        <v>2.0000000000000004</v>
      </c>
    </row>
    <row r="54" spans="1:13" s="121" customFormat="1" ht="15.75" customHeight="1">
      <c r="A54" s="390"/>
      <c r="C54" s="413" t="s">
        <v>46</v>
      </c>
      <c r="D54" s="414"/>
      <c r="E54" s="414"/>
      <c r="F54" s="415"/>
      <c r="G54" s="152">
        <f>IFERROR(AVERAGEIF(D8:D32,"&lt;&gt;0",E8:E32),0)</f>
        <v>2</v>
      </c>
    </row>
    <row r="55" spans="1:13" s="121" customFormat="1" ht="15.75" customHeight="1">
      <c r="A55" s="390"/>
      <c r="C55" s="413" t="s">
        <v>47</v>
      </c>
      <c r="D55" s="414"/>
      <c r="E55" s="414"/>
      <c r="F55" s="415"/>
      <c r="G55" s="152">
        <f>IFERROR(SUMPRODUCT(D8:D32,F8:F32)/G33,0)</f>
        <v>5</v>
      </c>
    </row>
    <row r="56" spans="1:13" s="121" customFormat="1" ht="15" customHeight="1">
      <c r="A56" s="390"/>
      <c r="C56" s="153"/>
      <c r="D56" s="153"/>
      <c r="E56" s="153"/>
      <c r="F56" s="153"/>
      <c r="G56" s="154"/>
    </row>
    <row r="57" spans="1:13" ht="30">
      <c r="A57" s="390"/>
      <c r="B57" s="121"/>
      <c r="C57" s="418" t="s">
        <v>122</v>
      </c>
      <c r="D57" s="419"/>
      <c r="E57" s="155" t="s">
        <v>121</v>
      </c>
      <c r="F57" s="155" t="s">
        <v>120</v>
      </c>
      <c r="G57" s="156" t="s">
        <v>50</v>
      </c>
      <c r="H57" s="157" t="s">
        <v>64</v>
      </c>
      <c r="I57" s="158" t="s">
        <v>63</v>
      </c>
      <c r="J57" s="158" t="s">
        <v>62</v>
      </c>
    </row>
    <row r="58" spans="1:13" ht="15.75" customHeight="1">
      <c r="A58" s="390"/>
      <c r="B58" s="121"/>
      <c r="C58" s="420" t="s">
        <v>58</v>
      </c>
      <c r="D58" s="421"/>
      <c r="E58" s="159" t="s">
        <v>115</v>
      </c>
      <c r="F58" s="160">
        <v>6</v>
      </c>
      <c r="G58" s="161">
        <f t="shared" ref="G58:G65" si="1">IFERROR((I58*H58+J58*H58)/1024/1024,0)</f>
        <v>302.2613525390625</v>
      </c>
      <c r="H58" s="162">
        <f>F58*31*D33*G48*G49*G51</f>
        <v>2232000</v>
      </c>
      <c r="I58" s="163">
        <v>72</v>
      </c>
      <c r="J58" s="163">
        <f>(4+4+1+4+6+6)*J78</f>
        <v>70</v>
      </c>
      <c r="M58" s="121" t="s">
        <v>112</v>
      </c>
    </row>
    <row r="59" spans="1:13" ht="15.75" customHeight="1">
      <c r="A59" s="390"/>
      <c r="B59" s="121"/>
      <c r="C59" s="420" t="s">
        <v>119</v>
      </c>
      <c r="D59" s="421"/>
      <c r="E59" s="159" t="s">
        <v>117</v>
      </c>
      <c r="F59" s="160">
        <v>24</v>
      </c>
      <c r="G59" s="161">
        <f t="shared" si="1"/>
        <v>9.5141601562499997E-2</v>
      </c>
      <c r="H59" s="162">
        <f>F59*G48*G49*G51</f>
        <v>288</v>
      </c>
      <c r="I59" s="163">
        <v>254</v>
      </c>
      <c r="J59" s="163">
        <f>(4+4+4+4+1+4+6+6)*J78</f>
        <v>92.399999999999991</v>
      </c>
      <c r="M59" s="121" t="s">
        <v>112</v>
      </c>
    </row>
    <row r="60" spans="1:13" ht="15.75" customHeight="1">
      <c r="A60" s="390"/>
      <c r="B60" s="121"/>
      <c r="C60" s="420" t="s">
        <v>59</v>
      </c>
      <c r="D60" s="421"/>
      <c r="E60" s="159" t="s">
        <v>115</v>
      </c>
      <c r="F60" s="160">
        <v>6</v>
      </c>
      <c r="G60" s="161">
        <f t="shared" si="1"/>
        <v>2100.2197265625</v>
      </c>
      <c r="H60" s="162">
        <f>F60*31*G33*G48*G49*G50*G51</f>
        <v>14880000</v>
      </c>
      <c r="I60" s="163">
        <v>78</v>
      </c>
      <c r="J60" s="163">
        <f>(4+4+1+4+6+6)*J78</f>
        <v>70</v>
      </c>
      <c r="M60" s="121" t="s">
        <v>112</v>
      </c>
    </row>
    <row r="61" spans="1:13" ht="15.75" customHeight="1">
      <c r="A61" s="390"/>
      <c r="B61" s="121"/>
      <c r="C61" s="416" t="s">
        <v>118</v>
      </c>
      <c r="D61" s="417"/>
      <c r="E61" s="159" t="s">
        <v>117</v>
      </c>
      <c r="F61" s="160">
        <v>24</v>
      </c>
      <c r="G61" s="161">
        <f t="shared" si="1"/>
        <v>0.11612548828124999</v>
      </c>
      <c r="H61" s="162">
        <f>F61*G48*G49*G50*G51</f>
        <v>576</v>
      </c>
      <c r="I61" s="163">
        <v>119</v>
      </c>
      <c r="J61" s="163">
        <f>(4+4+4+4+1+4+6+6)*J78</f>
        <v>92.399999999999991</v>
      </c>
      <c r="M61" s="121" t="s">
        <v>112</v>
      </c>
    </row>
    <row r="62" spans="1:13" ht="15.75" customHeight="1">
      <c r="A62" s="390"/>
      <c r="B62" s="121"/>
      <c r="C62" s="420" t="s">
        <v>57</v>
      </c>
      <c r="D62" s="421"/>
      <c r="E62" s="159" t="s">
        <v>113</v>
      </c>
      <c r="F62" s="160">
        <v>6</v>
      </c>
      <c r="G62" s="161">
        <f t="shared" si="1"/>
        <v>107.66601562500003</v>
      </c>
      <c r="H62" s="162">
        <f>G33*G48*G49*G50*G51*G52*F62</f>
        <v>720000.00000000012</v>
      </c>
      <c r="I62" s="163">
        <v>56</v>
      </c>
      <c r="J62" s="163">
        <f>(4+1+1+4+4+1+1+4+4+6+6)*J78</f>
        <v>100.8</v>
      </c>
      <c r="M62" s="121" t="s">
        <v>112</v>
      </c>
    </row>
    <row r="63" spans="1:13" ht="15.75" customHeight="1">
      <c r="A63" s="390"/>
      <c r="B63" s="121"/>
      <c r="C63" s="420" t="s">
        <v>56</v>
      </c>
      <c r="D63" s="421"/>
      <c r="E63" s="159" t="s">
        <v>113</v>
      </c>
      <c r="F63" s="160">
        <v>6</v>
      </c>
      <c r="G63" s="161">
        <f t="shared" si="1"/>
        <v>24.279785156250004</v>
      </c>
      <c r="H63" s="162">
        <f>D33*G48*G49*G51*G53*F63</f>
        <v>144000.00000000003</v>
      </c>
      <c r="I63" s="163">
        <v>76</v>
      </c>
      <c r="J63" s="163">
        <f>(4+1+1+4+4+1+1+4+4+6+6)*J78</f>
        <v>100.8</v>
      </c>
      <c r="M63" s="121" t="s">
        <v>112</v>
      </c>
    </row>
    <row r="64" spans="1:13" ht="15.75" customHeight="1">
      <c r="A64" s="390"/>
      <c r="B64" s="121"/>
      <c r="C64" s="416" t="s">
        <v>114</v>
      </c>
      <c r="D64" s="417"/>
      <c r="E64" s="159" t="s">
        <v>116</v>
      </c>
      <c r="F64" s="160">
        <v>3</v>
      </c>
      <c r="G64" s="161">
        <f t="shared" si="1"/>
        <v>14667.48046875</v>
      </c>
      <c r="H64" s="162">
        <f>G33*G48*G49*G50*G54*F64*31*24</f>
        <v>119040000</v>
      </c>
      <c r="I64" s="163">
        <v>62</v>
      </c>
      <c r="J64" s="163">
        <f>(4+4+4+6+6)*J78</f>
        <v>67.199999999999989</v>
      </c>
      <c r="M64" s="121" t="s">
        <v>112</v>
      </c>
    </row>
    <row r="65" spans="1:13" ht="15.75" customHeight="1">
      <c r="A65" s="390"/>
      <c r="B65" s="121"/>
      <c r="C65" s="416" t="s">
        <v>114</v>
      </c>
      <c r="D65" s="417"/>
      <c r="E65" s="159" t="s">
        <v>115</v>
      </c>
      <c r="F65" s="160">
        <v>6</v>
      </c>
      <c r="G65" s="161">
        <f t="shared" si="1"/>
        <v>4030.1513671875</v>
      </c>
      <c r="H65" s="162">
        <f>G33*G48*G49*G50*G51*G54*F65*31</f>
        <v>29760000</v>
      </c>
      <c r="I65" s="163">
        <v>72</v>
      </c>
      <c r="J65" s="163">
        <f>(1+4+4+4+6+6)*J78</f>
        <v>70</v>
      </c>
      <c r="M65" s="121" t="s">
        <v>112</v>
      </c>
    </row>
    <row r="66" spans="1:13" ht="15.75" customHeight="1" thickBot="1">
      <c r="A66" s="391"/>
      <c r="B66" s="164"/>
      <c r="C66" s="389" t="s">
        <v>114</v>
      </c>
      <c r="D66" s="389"/>
      <c r="E66" s="165" t="s">
        <v>113</v>
      </c>
      <c r="F66" s="166">
        <v>1</v>
      </c>
      <c r="G66" s="167">
        <f>IFERROR(((I66*H66)*2)/1024/1024,0)</f>
        <v>1589.35546875</v>
      </c>
      <c r="H66" s="162">
        <f>(60/G55)*24*F66*31*G33*G54</f>
        <v>59520000</v>
      </c>
      <c r="I66" s="163">
        <v>14</v>
      </c>
      <c r="J66" s="163" t="s">
        <v>61</v>
      </c>
      <c r="M66" s="121" t="s">
        <v>112</v>
      </c>
    </row>
    <row r="67" spans="1:13" s="121" customFormat="1" ht="15.75" customHeight="1" thickTop="1">
      <c r="C67" s="153"/>
      <c r="D67" s="153"/>
      <c r="E67" s="153"/>
      <c r="F67" s="153"/>
      <c r="G67" s="168"/>
    </row>
    <row r="68" spans="1:13" s="114" customFormat="1" ht="15.75" thickBot="1">
      <c r="C68" s="169"/>
      <c r="D68" s="121"/>
      <c r="G68" s="170"/>
    </row>
    <row r="69" spans="1:13" ht="18" customHeight="1" thickTop="1">
      <c r="A69" s="392" t="s">
        <v>111</v>
      </c>
      <c r="B69" s="118"/>
      <c r="C69" s="393" t="s">
        <v>110</v>
      </c>
      <c r="D69" s="394"/>
      <c r="E69" s="394" t="s">
        <v>109</v>
      </c>
      <c r="F69" s="394"/>
      <c r="G69" s="171" t="s">
        <v>108</v>
      </c>
      <c r="H69" s="142" t="s">
        <v>107</v>
      </c>
    </row>
    <row r="70" spans="1:13" ht="15.75" customHeight="1">
      <c r="A70" s="390"/>
      <c r="B70" s="121"/>
      <c r="C70" s="395" t="s">
        <v>106</v>
      </c>
      <c r="D70" s="172" t="s">
        <v>105</v>
      </c>
      <c r="E70" s="397" t="s">
        <v>104</v>
      </c>
      <c r="F70" s="398"/>
      <c r="G70" s="173">
        <f>(SUM(J8:J31))/1000/1000/1000</f>
        <v>1.5</v>
      </c>
      <c r="H70" s="174">
        <f>SUM(G70:G71)</f>
        <v>4.5</v>
      </c>
    </row>
    <row r="71" spans="1:13" ht="15.75" customHeight="1">
      <c r="A71" s="390"/>
      <c r="B71" s="121"/>
      <c r="C71" s="396"/>
      <c r="D71" s="172" t="s">
        <v>103</v>
      </c>
      <c r="E71" s="397" t="s">
        <v>102</v>
      </c>
      <c r="F71" s="398"/>
      <c r="G71" s="173">
        <f>SUM(K8:K31)/1000/1000/1000</f>
        <v>3</v>
      </c>
      <c r="H71" s="174"/>
    </row>
    <row r="72" spans="1:13" ht="15.75" customHeight="1">
      <c r="A72" s="390"/>
      <c r="B72" s="121"/>
      <c r="C72" s="395" t="s">
        <v>101</v>
      </c>
      <c r="D72" s="172" t="s">
        <v>100</v>
      </c>
      <c r="E72" s="397" t="s">
        <v>99</v>
      </c>
      <c r="F72" s="398"/>
      <c r="G72" s="173">
        <f>(SUM(H8:H31)*40)/1000/1000/1000</f>
        <v>7.008</v>
      </c>
      <c r="H72" s="174"/>
    </row>
    <row r="73" spans="1:13" ht="15.75" customHeight="1">
      <c r="A73" s="390"/>
      <c r="B73" s="121"/>
      <c r="C73" s="399"/>
      <c r="D73" s="172" t="s">
        <v>98</v>
      </c>
      <c r="E73" s="397" t="s">
        <v>97</v>
      </c>
      <c r="F73" s="398"/>
      <c r="G73" s="173">
        <f>((D33+G33+6*(G44+G45)+10)*162*Architecture!E23)/1000/1000/1000</f>
        <v>0.33960330000000005</v>
      </c>
      <c r="H73" s="174"/>
    </row>
    <row r="74" spans="1:13" ht="15.75" customHeight="1">
      <c r="A74" s="390"/>
      <c r="B74" s="121"/>
      <c r="C74" s="396"/>
      <c r="D74" s="172" t="s">
        <v>96</v>
      </c>
      <c r="E74" s="400" t="s">
        <v>95</v>
      </c>
      <c r="F74" s="397"/>
      <c r="G74" s="173">
        <f>G33*(Architecture!E24*160+D33*140)/1000/1000/1000</f>
        <v>0.66133333333333333</v>
      </c>
      <c r="H74" s="174"/>
    </row>
    <row r="75" spans="1:13" ht="15.75" customHeight="1">
      <c r="A75" s="390"/>
      <c r="B75" s="121"/>
      <c r="C75" s="175" t="s">
        <v>94</v>
      </c>
      <c r="D75" s="401" t="s">
        <v>93</v>
      </c>
      <c r="E75" s="402"/>
      <c r="F75" s="403"/>
      <c r="G75" s="173">
        <f>(G72)*1.5</f>
        <v>10.512</v>
      </c>
      <c r="H75" s="174"/>
    </row>
    <row r="76" spans="1:13" ht="15" customHeight="1" thickBot="1">
      <c r="A76" s="390"/>
      <c r="B76" s="121"/>
      <c r="C76" s="176"/>
      <c r="D76" s="121"/>
      <c r="E76" s="121"/>
      <c r="F76" s="121"/>
      <c r="G76" s="141"/>
    </row>
    <row r="77" spans="1:13" ht="20.25" customHeight="1" thickBot="1">
      <c r="A77" s="390"/>
      <c r="B77" s="121"/>
      <c r="C77" s="404" t="s">
        <v>92</v>
      </c>
      <c r="D77" s="405"/>
      <c r="E77" s="405"/>
      <c r="F77" s="405"/>
      <c r="G77" s="177">
        <f>SUM(G70:G75)</f>
        <v>23.020936633333335</v>
      </c>
      <c r="H77" s="178">
        <f>IF(G77-G71-G70&lt;5,5,G77-G71-G70)</f>
        <v>18.520936633333335</v>
      </c>
      <c r="J77" s="179" t="s">
        <v>65</v>
      </c>
    </row>
    <row r="78" spans="1:13" ht="15" customHeight="1" thickBot="1">
      <c r="A78" s="390"/>
      <c r="B78" s="121"/>
      <c r="C78" s="176"/>
      <c r="D78" s="121"/>
      <c r="E78" s="121"/>
      <c r="F78" s="121"/>
      <c r="G78" s="141"/>
      <c r="J78" s="180">
        <v>2.8</v>
      </c>
    </row>
    <row r="79" spans="1:13" ht="20.25" customHeight="1" thickBot="1">
      <c r="A79" s="391"/>
      <c r="B79" s="164"/>
      <c r="C79" s="406" t="s">
        <v>91</v>
      </c>
      <c r="D79" s="407"/>
      <c r="E79" s="407"/>
      <c r="F79" s="407"/>
      <c r="G79" s="181">
        <f>IFERROR(SUM(G58:G66)/1000,0)</f>
        <v>22.821625451660154</v>
      </c>
    </row>
    <row r="80" spans="1:13" ht="13.5" thickTop="1"/>
  </sheetData>
  <sheetProtection algorithmName="SHA-512" hashValue="wU8b/4hld4+ABwPbuYxdZgWD7Cnsg/WOuROrPU6V7tLcmfLgCYk3vmgoN4ISSJCESsAOf4ovscyRAI2hY+6y4g==" saltValue="qAW5QX9biE7AbC0GgNIpLQ==" spinCount="100000" sheet="1" selectLockedCells="1"/>
  <mergeCells count="46">
    <mergeCell ref="C66:D66"/>
    <mergeCell ref="A37:A66"/>
    <mergeCell ref="A69:A79"/>
    <mergeCell ref="C69:D69"/>
    <mergeCell ref="E69:F69"/>
    <mergeCell ref="C70:C71"/>
    <mergeCell ref="E70:F70"/>
    <mergeCell ref="E71:F71"/>
    <mergeCell ref="C72:C74"/>
    <mergeCell ref="E72:F72"/>
    <mergeCell ref="E73:F73"/>
    <mergeCell ref="E74:F74"/>
    <mergeCell ref="D75:F75"/>
    <mergeCell ref="C77:F77"/>
    <mergeCell ref="C79:F79"/>
    <mergeCell ref="C43:F43"/>
    <mergeCell ref="C44:F44"/>
    <mergeCell ref="C45:F45"/>
    <mergeCell ref="C47:F47"/>
    <mergeCell ref="C48:F48"/>
    <mergeCell ref="C49:F49"/>
    <mergeCell ref="C50:F50"/>
    <mergeCell ref="C51:F51"/>
    <mergeCell ref="C52:F52"/>
    <mergeCell ref="C65:D65"/>
    <mergeCell ref="C53:F53"/>
    <mergeCell ref="C54:F54"/>
    <mergeCell ref="C55:F55"/>
    <mergeCell ref="C57:D57"/>
    <mergeCell ref="C58:D58"/>
    <mergeCell ref="C59:D59"/>
    <mergeCell ref="C60:D60"/>
    <mergeCell ref="C61:D61"/>
    <mergeCell ref="C62:D62"/>
    <mergeCell ref="C63:D63"/>
    <mergeCell ref="C64:D64"/>
    <mergeCell ref="A1:D1"/>
    <mergeCell ref="E1:G1"/>
    <mergeCell ref="A3:E3"/>
    <mergeCell ref="F3:G3"/>
    <mergeCell ref="A4:G4"/>
    <mergeCell ref="A6:A36"/>
    <mergeCell ref="C6:G6"/>
    <mergeCell ref="E33:F33"/>
    <mergeCell ref="E34:F34"/>
    <mergeCell ref="E35:F35"/>
  </mergeCells>
  <pageMargins left="0.7" right="0.7" top="0.75" bottom="0.75" header="0.3" footer="0.3"/>
  <pageSetup paperSize="9" scale="80" orientation="landscape" r:id="rId1"/>
  <rowBreaks count="2" manualBreakCount="2">
    <brk id="36" max="16383" man="1"/>
    <brk id="67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C8D3E-C17F-4739-87D0-C524445D3E49}">
  <sheetPr codeName="Feuil9"/>
  <dimension ref="A1:R80"/>
  <sheetViews>
    <sheetView topLeftCell="A54" zoomScale="70" zoomScaleNormal="70" workbookViewId="0">
      <selection activeCell="H78" sqref="H78"/>
    </sheetView>
  </sheetViews>
  <sheetFormatPr baseColWidth="10" defaultColWidth="11.42578125" defaultRowHeight="12.75"/>
  <cols>
    <col min="1" max="1" width="8.7109375" style="113" customWidth="1"/>
    <col min="2" max="2" width="3.85546875" style="113" customWidth="1"/>
    <col min="3" max="3" width="40.7109375" style="113" bestFit="1" customWidth="1"/>
    <col min="4" max="4" width="23" style="113" bestFit="1" customWidth="1"/>
    <col min="5" max="5" width="28.7109375" style="113" bestFit="1" customWidth="1"/>
    <col min="6" max="6" width="23.42578125" style="113" bestFit="1" customWidth="1"/>
    <col min="7" max="7" width="28.85546875" style="113" customWidth="1"/>
    <col min="8" max="8" width="24" style="113" customWidth="1"/>
    <col min="9" max="9" width="26.28515625" style="113" customWidth="1"/>
    <col min="10" max="10" width="29" style="113" customWidth="1"/>
    <col min="11" max="11" width="22.85546875" style="113" customWidth="1"/>
    <col min="12" max="14" width="11.42578125" style="113"/>
    <col min="15" max="15" width="17.85546875" style="113" customWidth="1"/>
    <col min="16" max="16384" width="11.42578125" style="113"/>
  </cols>
  <sheetData>
    <row r="1" spans="1:18" ht="15" customHeight="1">
      <c r="A1" s="422" t="s">
        <v>173</v>
      </c>
      <c r="B1" s="422"/>
      <c r="C1" s="422"/>
      <c r="D1" s="422"/>
      <c r="E1" s="423" t="s">
        <v>172</v>
      </c>
      <c r="F1" s="423"/>
      <c r="G1" s="423"/>
      <c r="H1" s="112"/>
      <c r="M1" s="114" t="s">
        <v>171</v>
      </c>
    </row>
    <row r="2" spans="1:18" ht="13.5" thickBot="1"/>
    <row r="3" spans="1:18" s="116" customFormat="1" ht="24.75" customHeight="1">
      <c r="A3" s="424" t="s">
        <v>170</v>
      </c>
      <c r="B3" s="425"/>
      <c r="C3" s="425"/>
      <c r="D3" s="425"/>
      <c r="E3" s="425"/>
      <c r="F3" s="425" t="s">
        <v>169</v>
      </c>
      <c r="G3" s="426"/>
      <c r="H3" s="115"/>
    </row>
    <row r="4" spans="1:18" s="116" customFormat="1" ht="29.25" customHeight="1" thickBot="1">
      <c r="A4" s="427" t="s">
        <v>168</v>
      </c>
      <c r="B4" s="428"/>
      <c r="C4" s="428"/>
      <c r="D4" s="428"/>
      <c r="E4" s="428"/>
      <c r="F4" s="428"/>
      <c r="G4" s="429"/>
      <c r="H4" s="117"/>
    </row>
    <row r="5" spans="1:18" ht="13.5" thickBot="1"/>
    <row r="6" spans="1:18" ht="22.5" customHeight="1" thickTop="1">
      <c r="A6" s="392" t="s">
        <v>130</v>
      </c>
      <c r="B6" s="118"/>
      <c r="C6" s="430" t="s">
        <v>167</v>
      </c>
      <c r="D6" s="430"/>
      <c r="E6" s="430"/>
      <c r="F6" s="430"/>
      <c r="G6" s="431"/>
      <c r="H6" s="119"/>
      <c r="I6" s="120"/>
      <c r="J6" s="120"/>
      <c r="K6" s="120"/>
    </row>
    <row r="7" spans="1:18" ht="38.25">
      <c r="A7" s="390"/>
      <c r="B7" s="121"/>
      <c r="C7" s="122" t="s">
        <v>166</v>
      </c>
      <c r="D7" s="122" t="s">
        <v>165</v>
      </c>
      <c r="E7" s="122" t="s">
        <v>164</v>
      </c>
      <c r="F7" s="122" t="s">
        <v>163</v>
      </c>
      <c r="G7" s="123" t="s">
        <v>162</v>
      </c>
      <c r="H7" s="124" t="s">
        <v>161</v>
      </c>
      <c r="I7" s="125" t="s">
        <v>160</v>
      </c>
      <c r="J7" s="125" t="s">
        <v>159</v>
      </c>
      <c r="K7" s="125" t="s">
        <v>158</v>
      </c>
      <c r="O7" s="113" t="s">
        <v>182</v>
      </c>
    </row>
    <row r="8" spans="1:18" ht="15">
      <c r="A8" s="390"/>
      <c r="B8" s="121"/>
      <c r="C8" s="126" t="s">
        <v>157</v>
      </c>
      <c r="D8" s="127">
        <f>'Final sizing'!O3</f>
        <v>10000</v>
      </c>
      <c r="E8" s="127">
        <v>2</v>
      </c>
      <c r="F8" s="127">
        <v>5</v>
      </c>
      <c r="G8" s="128">
        <f>IF(Architecture!E7="",D8*E8,Architecture!E7)</f>
        <v>20000</v>
      </c>
      <c r="H8" s="129">
        <f>Architecture!$E$22*(86400/(F8*60))*G8</f>
        <v>2102400000</v>
      </c>
      <c r="I8" s="130">
        <f>((Architecture!$E$24*24*60)/F8)*D8</f>
        <v>1051200000</v>
      </c>
      <c r="J8" s="131">
        <f>((O8*5/F8)*G8)*(Architecture!$D$21/6)</f>
        <v>18000000000</v>
      </c>
      <c r="K8" s="131">
        <f>IF(E8&lt;&gt;0,((O8*5/F8)*D8)*(Architecture!$D$21/6),0)</f>
        <v>9000000000</v>
      </c>
      <c r="O8" s="113">
        <v>450000</v>
      </c>
      <c r="R8" s="132"/>
    </row>
    <row r="9" spans="1:18" ht="15">
      <c r="A9" s="390"/>
      <c r="B9" s="121"/>
      <c r="C9" s="126" t="s">
        <v>156</v>
      </c>
      <c r="D9" s="127">
        <v>0</v>
      </c>
      <c r="E9" s="127">
        <v>2</v>
      </c>
      <c r="F9" s="127">
        <v>5</v>
      </c>
      <c r="G9" s="128">
        <f t="shared" ref="G9:G32" si="0">D9*E9</f>
        <v>0</v>
      </c>
      <c r="H9" s="129">
        <f>Architecture!$E$22*(86400/(F9*60))*G9</f>
        <v>0</v>
      </c>
      <c r="I9" s="130">
        <f>((Architecture!$E$24*24*60)/F9)*D9</f>
        <v>0</v>
      </c>
      <c r="J9" s="131">
        <f>((450000*5/F9)*G9)*(Architecture!$D$21/6)</f>
        <v>0</v>
      </c>
      <c r="K9" s="131">
        <f>IF(E9&lt;&gt;0,((450000*5/F9)*D9)*(Architecture!$D$21/6),0)</f>
        <v>0</v>
      </c>
      <c r="R9" s="132"/>
    </row>
    <row r="10" spans="1:18" ht="15">
      <c r="A10" s="390"/>
      <c r="B10" s="121"/>
      <c r="C10" s="126" t="s">
        <v>155</v>
      </c>
      <c r="D10" s="133">
        <v>0</v>
      </c>
      <c r="E10" s="133">
        <v>2</v>
      </c>
      <c r="F10" s="127">
        <v>5</v>
      </c>
      <c r="G10" s="128">
        <f t="shared" si="0"/>
        <v>0</v>
      </c>
      <c r="H10" s="129">
        <f>Architecture!$E$22*(86400/(F10*60))*G10</f>
        <v>0</v>
      </c>
      <c r="I10" s="130">
        <f>((Architecture!$E$24*24*60)/F10)*D10</f>
        <v>0</v>
      </c>
      <c r="J10" s="131">
        <f>((450000*5/F10)*G10)*(Architecture!$D$21/6)</f>
        <v>0</v>
      </c>
      <c r="K10" s="131">
        <f>IF(E10&lt;&gt;0,((450000*5/F10)*D10)*(Architecture!$D$21/6),0)</f>
        <v>0</v>
      </c>
      <c r="R10" s="132"/>
    </row>
    <row r="11" spans="1:18" ht="15">
      <c r="A11" s="390"/>
      <c r="B11" s="121"/>
      <c r="C11" s="126" t="s">
        <v>154</v>
      </c>
      <c r="D11" s="133">
        <v>0</v>
      </c>
      <c r="E11" s="133">
        <v>1</v>
      </c>
      <c r="F11" s="127">
        <v>5</v>
      </c>
      <c r="G11" s="128">
        <f t="shared" si="0"/>
        <v>0</v>
      </c>
      <c r="H11" s="129">
        <f>Architecture!$E$22*(86400/(F11*60))*G11</f>
        <v>0</v>
      </c>
      <c r="I11" s="130">
        <f>((Architecture!$E$24*24*60)/F11)*D11</f>
        <v>0</v>
      </c>
      <c r="J11" s="131">
        <f>((450000*5/F11)*G11)*(Architecture!$D$21/6)</f>
        <v>0</v>
      </c>
      <c r="K11" s="131">
        <f>IF(E11&lt;&gt;0,((450000*5/F11)*D11)*(Architecture!$D$21/6),0)</f>
        <v>0</v>
      </c>
      <c r="R11" s="132"/>
    </row>
    <row r="12" spans="1:18" ht="15">
      <c r="A12" s="390"/>
      <c r="B12" s="121"/>
      <c r="C12" s="126" t="s">
        <v>153</v>
      </c>
      <c r="D12" s="127">
        <v>0</v>
      </c>
      <c r="E12" s="127">
        <v>1</v>
      </c>
      <c r="F12" s="127">
        <v>5</v>
      </c>
      <c r="G12" s="128">
        <f t="shared" si="0"/>
        <v>0</v>
      </c>
      <c r="H12" s="129">
        <f>Architecture!$E$22*(86400/(F12*60))*G12</f>
        <v>0</v>
      </c>
      <c r="I12" s="130">
        <f>((Architecture!$E$24*24*60)/F12)*D12</f>
        <v>0</v>
      </c>
      <c r="J12" s="131">
        <f>((450000*5/F12)*G12)*(Architecture!$D$21/6)</f>
        <v>0</v>
      </c>
      <c r="K12" s="131">
        <f>IF(E12&lt;&gt;0,((450000*5/F12)*D12)*(Architecture!$D$21/6),0)</f>
        <v>0</v>
      </c>
      <c r="R12" s="132"/>
    </row>
    <row r="13" spans="1:18" ht="15">
      <c r="A13" s="390"/>
      <c r="B13" s="121"/>
      <c r="C13" s="126" t="s">
        <v>152</v>
      </c>
      <c r="D13" s="133">
        <v>0</v>
      </c>
      <c r="E13" s="133">
        <v>2</v>
      </c>
      <c r="F13" s="133">
        <v>5</v>
      </c>
      <c r="G13" s="128">
        <f t="shared" si="0"/>
        <v>0</v>
      </c>
      <c r="H13" s="129">
        <f>Architecture!$E$22*(86400/(F13*60))*G13</f>
        <v>0</v>
      </c>
      <c r="I13" s="130">
        <f>((Architecture!$E$24*24*60)/F13)*D13</f>
        <v>0</v>
      </c>
      <c r="J13" s="131">
        <f>((450000*5/F13)*G13)*(Architecture!$D$21/6)</f>
        <v>0</v>
      </c>
      <c r="K13" s="131">
        <f>IF(E13&lt;&gt;0,((450000*5/F13)*D13)*(Architecture!$D$21/6),0)</f>
        <v>0</v>
      </c>
      <c r="R13" s="132"/>
    </row>
    <row r="14" spans="1:18" ht="15">
      <c r="A14" s="390"/>
      <c r="B14" s="121"/>
      <c r="C14" s="126" t="s">
        <v>151</v>
      </c>
      <c r="D14" s="127">
        <v>0</v>
      </c>
      <c r="E14" s="127">
        <v>0</v>
      </c>
      <c r="F14" s="127">
        <v>5</v>
      </c>
      <c r="G14" s="128">
        <f t="shared" si="0"/>
        <v>0</v>
      </c>
      <c r="H14" s="129">
        <f>Architecture!$E$22*(86400/(F14*60))*G14</f>
        <v>0</v>
      </c>
      <c r="I14" s="130">
        <f>((Architecture!$E$24*24*60)/F14)*D14</f>
        <v>0</v>
      </c>
      <c r="J14" s="131">
        <f>((450000*5/F14)*G14)*(Architecture!$D$21/6)</f>
        <v>0</v>
      </c>
      <c r="K14" s="131">
        <f>IF(E14&lt;&gt;0,((450000*5/F14)*D14)*(Architecture!$D$21/6),0)</f>
        <v>0</v>
      </c>
      <c r="R14" s="132"/>
    </row>
    <row r="15" spans="1:18" ht="15">
      <c r="A15" s="390"/>
      <c r="B15" s="121"/>
      <c r="C15" s="126" t="s">
        <v>150</v>
      </c>
      <c r="D15" s="127">
        <v>0</v>
      </c>
      <c r="E15" s="127">
        <v>2</v>
      </c>
      <c r="F15" s="127">
        <v>5</v>
      </c>
      <c r="G15" s="128">
        <f t="shared" si="0"/>
        <v>0</v>
      </c>
      <c r="H15" s="129">
        <f>Architecture!$E$22*(86400/(F15*60))*G15</f>
        <v>0</v>
      </c>
      <c r="I15" s="130">
        <f>((Architecture!$E$24*24*60)/F15)*D15</f>
        <v>0</v>
      </c>
      <c r="J15" s="131">
        <f>((450000*5/F15)*G15)*(Architecture!$D$21/6)</f>
        <v>0</v>
      </c>
      <c r="K15" s="131">
        <f>IF(E15&lt;&gt;0,((450000*5/F15)*D15)*(Architecture!$D$21/6),0)</f>
        <v>0</v>
      </c>
      <c r="R15" s="132"/>
    </row>
    <row r="16" spans="1:18" ht="15">
      <c r="A16" s="390"/>
      <c r="B16" s="121"/>
      <c r="C16" s="126" t="s">
        <v>149</v>
      </c>
      <c r="D16" s="133">
        <v>0</v>
      </c>
      <c r="E16" s="133">
        <v>4</v>
      </c>
      <c r="F16" s="133">
        <v>5</v>
      </c>
      <c r="G16" s="128">
        <f t="shared" si="0"/>
        <v>0</v>
      </c>
      <c r="H16" s="129">
        <f>Architecture!$E$22*(86400/(F16*60))*G16</f>
        <v>0</v>
      </c>
      <c r="I16" s="130">
        <f>((Architecture!$E$24*24*60)/F16)*D16</f>
        <v>0</v>
      </c>
      <c r="J16" s="131">
        <f>((450000*5/F16)*G16)*(Architecture!$D$21/6)</f>
        <v>0</v>
      </c>
      <c r="K16" s="131">
        <f>IF(E16&lt;&gt;0,((450000*5/F16)*D16)*(Architecture!$D$21/6),0)</f>
        <v>0</v>
      </c>
      <c r="R16" s="132"/>
    </row>
    <row r="17" spans="1:18" ht="15">
      <c r="A17" s="390"/>
      <c r="B17" s="121"/>
      <c r="C17" s="126" t="s">
        <v>148</v>
      </c>
      <c r="D17" s="127">
        <v>0</v>
      </c>
      <c r="E17" s="127">
        <v>0</v>
      </c>
      <c r="F17" s="127">
        <v>60</v>
      </c>
      <c r="G17" s="128">
        <f t="shared" si="0"/>
        <v>0</v>
      </c>
      <c r="H17" s="129">
        <f>Architecture!$E$22*(86400/(F17*60))*G17</f>
        <v>0</v>
      </c>
      <c r="I17" s="130">
        <f>((Architecture!$E$24*24*60)/F17)*D17</f>
        <v>0</v>
      </c>
      <c r="J17" s="131">
        <f>((450000*5/F17)*G17)*(Architecture!$D$21/6)</f>
        <v>0</v>
      </c>
      <c r="K17" s="131">
        <f>IF(E17&lt;&gt;0,((450000*5/F17)*D17)*(Architecture!$D$21/6),0)</f>
        <v>0</v>
      </c>
      <c r="R17" s="132"/>
    </row>
    <row r="18" spans="1:18" ht="15">
      <c r="A18" s="390"/>
      <c r="B18" s="121"/>
      <c r="C18" s="126" t="s">
        <v>147</v>
      </c>
      <c r="D18" s="133">
        <v>0</v>
      </c>
      <c r="E18" s="133">
        <v>2</v>
      </c>
      <c r="F18" s="133">
        <v>60</v>
      </c>
      <c r="G18" s="128">
        <f t="shared" si="0"/>
        <v>0</v>
      </c>
      <c r="H18" s="129">
        <f>Architecture!$E$22*(86400/(F18*60))*G18</f>
        <v>0</v>
      </c>
      <c r="I18" s="130">
        <f>((Architecture!$E$24*24*60)/F18)*D18</f>
        <v>0</v>
      </c>
      <c r="J18" s="131">
        <f>((450000*5/F18)*G18)*(Architecture!$D$21/6)</f>
        <v>0</v>
      </c>
      <c r="K18" s="131">
        <f>IF(E18&lt;&gt;0,((450000*5/F18)*D18)*(Architecture!$D$21/6),0)</f>
        <v>0</v>
      </c>
      <c r="R18" s="132"/>
    </row>
    <row r="19" spans="1:18" ht="15">
      <c r="A19" s="390"/>
      <c r="B19" s="121"/>
      <c r="C19" s="126" t="s">
        <v>146</v>
      </c>
      <c r="D19" s="133">
        <v>0</v>
      </c>
      <c r="E19" s="133">
        <v>3</v>
      </c>
      <c r="F19" s="133">
        <v>5</v>
      </c>
      <c r="G19" s="128">
        <f t="shared" si="0"/>
        <v>0</v>
      </c>
      <c r="H19" s="129">
        <f>Architecture!$E$22*(86400/(F19*60))*G19</f>
        <v>0</v>
      </c>
      <c r="I19" s="130">
        <f>((Architecture!$E$24*24*60)/F19)*D19</f>
        <v>0</v>
      </c>
      <c r="J19" s="131">
        <f>((450000*5/F19)*G19)*(Architecture!$D$21/6)</f>
        <v>0</v>
      </c>
      <c r="K19" s="131">
        <f>IF(E19&lt;&gt;0,((450000*5/F19)*D19)*(Architecture!$D$21/6),0)</f>
        <v>0</v>
      </c>
      <c r="R19" s="132"/>
    </row>
    <row r="20" spans="1:18" ht="15">
      <c r="A20" s="390"/>
      <c r="B20" s="121"/>
      <c r="C20" s="126" t="s">
        <v>145</v>
      </c>
      <c r="D20" s="127">
        <v>0</v>
      </c>
      <c r="E20" s="127">
        <v>2</v>
      </c>
      <c r="F20" s="127">
        <v>5</v>
      </c>
      <c r="G20" s="128">
        <f t="shared" si="0"/>
        <v>0</v>
      </c>
      <c r="H20" s="129">
        <f>Architecture!$E$22*(86400/(F20*60))*G20</f>
        <v>0</v>
      </c>
      <c r="I20" s="130">
        <f>((Architecture!$E$24*24*60)/F20)*D20</f>
        <v>0</v>
      </c>
      <c r="J20" s="131">
        <f>((450000*5/F20)*G20)*(Architecture!$D$21/6)</f>
        <v>0</v>
      </c>
      <c r="K20" s="131">
        <f>IF(E20&lt;&gt;0,((450000*5/F20)*D20)*(Architecture!$D$21/6),0)</f>
        <v>0</v>
      </c>
      <c r="R20" s="132"/>
    </row>
    <row r="21" spans="1:18" ht="15">
      <c r="A21" s="390"/>
      <c r="B21" s="121"/>
      <c r="C21" s="126" t="s">
        <v>144</v>
      </c>
      <c r="D21" s="133">
        <v>0</v>
      </c>
      <c r="E21" s="127">
        <v>0</v>
      </c>
      <c r="F21" s="127">
        <v>5</v>
      </c>
      <c r="G21" s="128">
        <f t="shared" si="0"/>
        <v>0</v>
      </c>
      <c r="H21" s="129">
        <f>Architecture!$E$22*(86400/(F21*60))*G21</f>
        <v>0</v>
      </c>
      <c r="I21" s="130">
        <f>((Architecture!$E$24*24*60)/F21)*D21</f>
        <v>0</v>
      </c>
      <c r="J21" s="131">
        <f>((450000*5/F21)*G21)*(Architecture!$D$21/6)</f>
        <v>0</v>
      </c>
      <c r="K21" s="131">
        <f>IF(E21&lt;&gt;0,((450000*5/F21)*D21)*(Architecture!$D$21/6),0)</f>
        <v>0</v>
      </c>
      <c r="R21" s="132"/>
    </row>
    <row r="22" spans="1:18" ht="15">
      <c r="A22" s="390"/>
      <c r="B22" s="121"/>
      <c r="C22" s="134" t="s">
        <v>143</v>
      </c>
      <c r="D22" s="133">
        <v>0</v>
      </c>
      <c r="E22" s="127">
        <v>0</v>
      </c>
      <c r="F22" s="127">
        <v>5</v>
      </c>
      <c r="G22" s="128">
        <f t="shared" si="0"/>
        <v>0</v>
      </c>
      <c r="H22" s="129">
        <f>Architecture!$E$22*(86400/(F22*60))*G22</f>
        <v>0</v>
      </c>
      <c r="I22" s="130">
        <f>((Architecture!$E$24*24*60)/F22)*D22</f>
        <v>0</v>
      </c>
      <c r="J22" s="131">
        <f>((450000*5/F22)*G22)*(Architecture!$D$21/6)</f>
        <v>0</v>
      </c>
      <c r="K22" s="131">
        <f>IF(E22&lt;&gt;0,((450000*5/F22)*D22)*(Architecture!$D$21/6),0)</f>
        <v>0</v>
      </c>
      <c r="R22" s="135"/>
    </row>
    <row r="23" spans="1:18" ht="15">
      <c r="A23" s="390"/>
      <c r="B23" s="121"/>
      <c r="C23" s="126" t="s">
        <v>142</v>
      </c>
      <c r="D23" s="127">
        <v>0</v>
      </c>
      <c r="E23" s="127">
        <v>0</v>
      </c>
      <c r="F23" s="127">
        <v>5</v>
      </c>
      <c r="G23" s="128">
        <f t="shared" si="0"/>
        <v>0</v>
      </c>
      <c r="H23" s="129">
        <f>Architecture!$E$22*(86400/(F23*60))*G23</f>
        <v>0</v>
      </c>
      <c r="I23" s="130">
        <f>((Architecture!$E$24*24*60)/F23)*D23</f>
        <v>0</v>
      </c>
      <c r="J23" s="131">
        <f>((450000*5/F23)*G23)*(Architecture!$D$21/6)</f>
        <v>0</v>
      </c>
      <c r="K23" s="131">
        <f>IF(E23&lt;&gt;0,((450000*5/F23)*D23)*(Architecture!$D$21/6),0)</f>
        <v>0</v>
      </c>
      <c r="R23" s="132"/>
    </row>
    <row r="24" spans="1:18" ht="15">
      <c r="A24" s="390"/>
      <c r="B24" s="121"/>
      <c r="C24" s="126" t="s">
        <v>141</v>
      </c>
      <c r="D24" s="133">
        <v>0</v>
      </c>
      <c r="E24" s="127">
        <v>2</v>
      </c>
      <c r="F24" s="127">
        <v>5</v>
      </c>
      <c r="G24" s="128">
        <f t="shared" si="0"/>
        <v>0</v>
      </c>
      <c r="H24" s="129">
        <f>Architecture!$E$22*(86400/(F24*60))*G24</f>
        <v>0</v>
      </c>
      <c r="I24" s="130">
        <f>((Architecture!$E$24*24*60)/F24)*D24</f>
        <v>0</v>
      </c>
      <c r="J24" s="131">
        <f>((450000*5/F24)*G24)*(Architecture!$D$21/6)</f>
        <v>0</v>
      </c>
      <c r="K24" s="131">
        <f>IF(E24&lt;&gt;0,((450000*5/F24)*D24)*(Architecture!$D$21/6),0)</f>
        <v>0</v>
      </c>
      <c r="R24" s="132"/>
    </row>
    <row r="25" spans="1:18" ht="15">
      <c r="A25" s="390"/>
      <c r="B25" s="121"/>
      <c r="C25" s="126" t="s">
        <v>140</v>
      </c>
      <c r="D25" s="133">
        <v>0</v>
      </c>
      <c r="E25" s="133">
        <v>2</v>
      </c>
      <c r="F25" s="133">
        <v>5</v>
      </c>
      <c r="G25" s="128">
        <f t="shared" si="0"/>
        <v>0</v>
      </c>
      <c r="H25" s="129">
        <f>Architecture!$E$22*(86400/(F25*60))*G25</f>
        <v>0</v>
      </c>
      <c r="I25" s="130">
        <f>((Architecture!$E$24*24*60)/F25)*D25</f>
        <v>0</v>
      </c>
      <c r="J25" s="131">
        <f>((450000*5/F25)*G25)*(Architecture!$D$21/6)</f>
        <v>0</v>
      </c>
      <c r="K25" s="131">
        <f>IF(E25&lt;&gt;0,((450000*5/F25)*D25)*(Architecture!$D$21/6),0)</f>
        <v>0</v>
      </c>
      <c r="R25" s="132"/>
    </row>
    <row r="26" spans="1:18" ht="15">
      <c r="A26" s="390"/>
      <c r="B26" s="121"/>
      <c r="C26" s="126" t="s">
        <v>139</v>
      </c>
      <c r="D26" s="133">
        <v>0</v>
      </c>
      <c r="E26" s="127">
        <v>0</v>
      </c>
      <c r="F26" s="127">
        <v>300</v>
      </c>
      <c r="G26" s="128">
        <f t="shared" si="0"/>
        <v>0</v>
      </c>
      <c r="H26" s="129">
        <f>Architecture!$E$22*(86400/(F26*60))*G26</f>
        <v>0</v>
      </c>
      <c r="I26" s="130">
        <f>((Architecture!$E$24*24*60)/F26)*D26</f>
        <v>0</v>
      </c>
      <c r="J26" s="131">
        <f>((450000*5/F26)*G26)*(Architecture!$D$21/6)</f>
        <v>0</v>
      </c>
      <c r="K26" s="131">
        <f>IF(E26&lt;&gt;0,((450000*5/F26)*D26)*(Architecture!$D$21/6),0)</f>
        <v>0</v>
      </c>
      <c r="R26" s="132"/>
    </row>
    <row r="27" spans="1:18" ht="15">
      <c r="A27" s="390"/>
      <c r="B27" s="121"/>
      <c r="C27" s="126" t="s">
        <v>138</v>
      </c>
      <c r="D27" s="127">
        <v>0</v>
      </c>
      <c r="E27" s="133">
        <v>3</v>
      </c>
      <c r="F27" s="133">
        <v>300</v>
      </c>
      <c r="G27" s="128">
        <f t="shared" si="0"/>
        <v>0</v>
      </c>
      <c r="H27" s="129">
        <f>Architecture!$E$22*(86400/(F27*60))*G27</f>
        <v>0</v>
      </c>
      <c r="I27" s="130">
        <f>((Architecture!$E$24*24*60)/F27)*D27</f>
        <v>0</v>
      </c>
      <c r="J27" s="131">
        <f>((450000*5/F27)*G27)*(Architecture!$D$21/6)</f>
        <v>0</v>
      </c>
      <c r="K27" s="131">
        <f>IF(E27&lt;&gt;0,((450000*5/F27)*D27)*(Architecture!$D$21/6),0)</f>
        <v>0</v>
      </c>
      <c r="R27" s="132"/>
    </row>
    <row r="28" spans="1:18" ht="15">
      <c r="A28" s="390"/>
      <c r="B28" s="121"/>
      <c r="C28" s="126" t="s">
        <v>137</v>
      </c>
      <c r="D28" s="133">
        <v>0</v>
      </c>
      <c r="E28" s="133">
        <v>0</v>
      </c>
      <c r="F28" s="133">
        <v>5</v>
      </c>
      <c r="G28" s="128">
        <f t="shared" si="0"/>
        <v>0</v>
      </c>
      <c r="H28" s="129">
        <f>Architecture!$E$22*(86400/(F28*60))*G28</f>
        <v>0</v>
      </c>
      <c r="I28" s="130">
        <f>((Architecture!$E$24*24*60)/F28)*D28</f>
        <v>0</v>
      </c>
      <c r="J28" s="131">
        <f>((450000*5/F28)*G28)*(Architecture!$D$21/6)</f>
        <v>0</v>
      </c>
      <c r="K28" s="131">
        <f>IF(E28&lt;&gt;0,((450000*5/F28)*D28)*(Architecture!$D$21/6),0)</f>
        <v>0</v>
      </c>
      <c r="R28" s="132"/>
    </row>
    <row r="29" spans="1:18" ht="15">
      <c r="A29" s="390"/>
      <c r="B29" s="121"/>
      <c r="C29" s="126" t="s">
        <v>136</v>
      </c>
      <c r="D29" s="127">
        <v>0</v>
      </c>
      <c r="E29" s="133">
        <v>2</v>
      </c>
      <c r="F29" s="133">
        <v>5</v>
      </c>
      <c r="G29" s="128">
        <f t="shared" si="0"/>
        <v>0</v>
      </c>
      <c r="H29" s="129">
        <f>Architecture!$E$22*(86400/(F29*60))*G29</f>
        <v>0</v>
      </c>
      <c r="I29" s="130">
        <f>((Architecture!$E$24*24*60)/F29)*D29</f>
        <v>0</v>
      </c>
      <c r="J29" s="131">
        <f>((450000*5/F29)*G29)*(Architecture!$D$21/6)</f>
        <v>0</v>
      </c>
      <c r="K29" s="131">
        <f>IF(E29&lt;&gt;0,((450000*5/F29)*D29)*(Architecture!$D$21/6),0)</f>
        <v>0</v>
      </c>
      <c r="R29" s="132"/>
    </row>
    <row r="30" spans="1:18" ht="15">
      <c r="A30" s="390"/>
      <c r="B30" s="121"/>
      <c r="C30" s="126" t="s">
        <v>135</v>
      </c>
      <c r="D30" s="127">
        <v>0</v>
      </c>
      <c r="E30" s="127">
        <v>0</v>
      </c>
      <c r="F30" s="127">
        <v>5</v>
      </c>
      <c r="G30" s="128">
        <f t="shared" si="0"/>
        <v>0</v>
      </c>
      <c r="H30" s="129">
        <f>Architecture!$E$22*(86400/(F30*60))*G30</f>
        <v>0</v>
      </c>
      <c r="I30" s="130">
        <f>((Architecture!$E$24*24*60)/F30)*D30</f>
        <v>0</v>
      </c>
      <c r="J30" s="131">
        <f>((450000*5/F30)*G30)*(Architecture!$D$21/6)</f>
        <v>0</v>
      </c>
      <c r="K30" s="131">
        <f>IF(E30&lt;&gt;0,((450000*5/F30)*D30)*(Architecture!$D$21/6),0)</f>
        <v>0</v>
      </c>
      <c r="R30" s="132"/>
    </row>
    <row r="31" spans="1:18" ht="15">
      <c r="A31" s="390"/>
      <c r="B31" s="121"/>
      <c r="C31" s="126"/>
      <c r="D31" s="133">
        <v>0</v>
      </c>
      <c r="E31" s="127">
        <v>2</v>
      </c>
      <c r="F31" s="127">
        <v>5</v>
      </c>
      <c r="G31" s="128">
        <f t="shared" si="0"/>
        <v>0</v>
      </c>
      <c r="H31" s="129">
        <f>Architecture!$E$22*(86400/(F31*60))*G31</f>
        <v>0</v>
      </c>
      <c r="I31" s="130">
        <f>((Architecture!$E$24*24*60)/F31)*D31</f>
        <v>0</v>
      </c>
      <c r="J31" s="131">
        <f>((450000*5/F31)*G31)*(Architecture!$D$21/6)</f>
        <v>0</v>
      </c>
      <c r="K31" s="131">
        <f>IF(E31&lt;&gt;0,((450000*5/F31)*D31)*(Architecture!$D$21/6),0)</f>
        <v>0</v>
      </c>
    </row>
    <row r="32" spans="1:18" ht="15.75" thickBot="1">
      <c r="A32" s="390"/>
      <c r="B32" s="121"/>
      <c r="C32" s="134"/>
      <c r="D32" s="133">
        <v>0</v>
      </c>
      <c r="E32" s="133">
        <v>2</v>
      </c>
      <c r="F32" s="127">
        <v>5</v>
      </c>
      <c r="G32" s="128">
        <f t="shared" si="0"/>
        <v>0</v>
      </c>
    </row>
    <row r="33" spans="1:13" ht="19.5" customHeight="1" thickBot="1">
      <c r="A33" s="390"/>
      <c r="B33" s="121"/>
      <c r="C33" s="136" t="s">
        <v>134</v>
      </c>
      <c r="D33" s="127">
        <f>Architecture!A7</f>
        <v>1000</v>
      </c>
      <c r="E33" s="432" t="s">
        <v>133</v>
      </c>
      <c r="F33" s="432"/>
      <c r="G33" s="137">
        <f>SUM(D8:D32)</f>
        <v>10000</v>
      </c>
      <c r="H33" s="138"/>
      <c r="J33" s="139"/>
      <c r="K33" s="139">
        <f>5*0.5</f>
        <v>2.5</v>
      </c>
    </row>
    <row r="34" spans="1:13" ht="19.5" customHeight="1" thickBot="1">
      <c r="A34" s="390"/>
      <c r="B34" s="121"/>
      <c r="C34" s="121"/>
      <c r="D34" s="140"/>
      <c r="E34" s="433" t="s">
        <v>132</v>
      </c>
      <c r="F34" s="433"/>
      <c r="G34" s="137">
        <f>SUM(G8:G32)</f>
        <v>20000</v>
      </c>
      <c r="H34" s="138"/>
      <c r="K34" s="113">
        <f>10*2.5</f>
        <v>25</v>
      </c>
    </row>
    <row r="35" spans="1:13" ht="19.5" customHeight="1" thickBot="1">
      <c r="A35" s="390"/>
      <c r="B35" s="121"/>
      <c r="C35" s="121"/>
      <c r="D35" s="140"/>
      <c r="E35" s="433" t="s">
        <v>131</v>
      </c>
      <c r="F35" s="433"/>
      <c r="G35" s="137">
        <f>SUMIF(E8:E32,"&lt;&gt;0",D8:D32)</f>
        <v>10000</v>
      </c>
      <c r="H35" s="138"/>
    </row>
    <row r="36" spans="1:13" ht="15" customHeight="1">
      <c r="A36" s="390"/>
      <c r="B36" s="121"/>
      <c r="C36" s="121"/>
      <c r="D36" s="121"/>
      <c r="E36" s="121"/>
      <c r="F36" s="121"/>
      <c r="G36" s="141"/>
    </row>
    <row r="37" spans="1:13" ht="23.25" customHeight="1">
      <c r="A37" s="390" t="s">
        <v>130</v>
      </c>
      <c r="B37" s="121"/>
      <c r="H37" s="142"/>
    </row>
    <row r="38" spans="1:13" ht="15.75" customHeight="1">
      <c r="A38" s="390"/>
      <c r="B38" s="121"/>
      <c r="H38" s="143"/>
    </row>
    <row r="39" spans="1:13" ht="15.75" customHeight="1">
      <c r="A39" s="390"/>
      <c r="B39" s="121"/>
      <c r="H39" s="143"/>
    </row>
    <row r="40" spans="1:13" ht="15.75" customHeight="1">
      <c r="A40" s="390"/>
      <c r="B40" s="121"/>
      <c r="H40" s="143"/>
    </row>
    <row r="41" spans="1:13" ht="15.75" customHeight="1">
      <c r="A41" s="390"/>
      <c r="B41" s="121"/>
      <c r="H41" s="143"/>
    </row>
    <row r="42" spans="1:13" ht="15" customHeight="1">
      <c r="A42" s="390"/>
      <c r="B42" s="121"/>
      <c r="C42" s="144"/>
      <c r="D42" s="121"/>
      <c r="E42" s="121"/>
      <c r="F42" s="145"/>
      <c r="G42" s="146"/>
      <c r="H42" s="143"/>
    </row>
    <row r="43" spans="1:13" ht="22.5" customHeight="1">
      <c r="A43" s="390"/>
      <c r="B43" s="121"/>
      <c r="C43" s="408" t="s">
        <v>129</v>
      </c>
      <c r="D43" s="409"/>
      <c r="E43" s="409"/>
      <c r="F43" s="409"/>
      <c r="G43" s="147" t="s">
        <v>128</v>
      </c>
      <c r="H43" s="143"/>
    </row>
    <row r="44" spans="1:13" ht="17.25" customHeight="1">
      <c r="A44" s="390"/>
      <c r="B44" s="121"/>
      <c r="C44" s="410" t="s">
        <v>127</v>
      </c>
      <c r="D44" s="410"/>
      <c r="E44" s="410"/>
      <c r="F44" s="410"/>
      <c r="G44" s="148">
        <f>G33*0.05</f>
        <v>500</v>
      </c>
      <c r="H44" s="143"/>
      <c r="M44" s="113" t="s">
        <v>126</v>
      </c>
    </row>
    <row r="45" spans="1:13" ht="17.25" customHeight="1">
      <c r="A45" s="390"/>
      <c r="B45" s="121"/>
      <c r="C45" s="410" t="s">
        <v>125</v>
      </c>
      <c r="D45" s="410"/>
      <c r="E45" s="410"/>
      <c r="F45" s="410"/>
      <c r="G45" s="148">
        <f>G33*0.02</f>
        <v>200</v>
      </c>
      <c r="H45" s="143"/>
      <c r="M45" s="113" t="s">
        <v>124</v>
      </c>
    </row>
    <row r="46" spans="1:13" ht="15" customHeight="1">
      <c r="A46" s="390"/>
      <c r="B46" s="121"/>
      <c r="C46" s="121"/>
      <c r="D46" s="121"/>
      <c r="E46" s="121"/>
      <c r="F46" s="145"/>
      <c r="G46" s="141"/>
    </row>
    <row r="47" spans="1:13" s="114" customFormat="1" ht="19.5" customHeight="1">
      <c r="A47" s="390"/>
      <c r="C47" s="411" t="s">
        <v>123</v>
      </c>
      <c r="D47" s="412"/>
      <c r="E47" s="412"/>
      <c r="F47" s="412"/>
      <c r="G47" s="149" t="s">
        <v>37</v>
      </c>
    </row>
    <row r="48" spans="1:13" s="121" customFormat="1" ht="15.75" customHeight="1">
      <c r="A48" s="390"/>
      <c r="C48" s="413" t="s">
        <v>40</v>
      </c>
      <c r="D48" s="414"/>
      <c r="E48" s="414"/>
      <c r="F48" s="415"/>
      <c r="G48" s="150">
        <v>2</v>
      </c>
      <c r="M48" s="121" t="s">
        <v>112</v>
      </c>
    </row>
    <row r="49" spans="1:13" s="121" customFormat="1" ht="15.75" customHeight="1">
      <c r="A49" s="390"/>
      <c r="C49" s="413" t="s">
        <v>41</v>
      </c>
      <c r="D49" s="414"/>
      <c r="E49" s="414"/>
      <c r="F49" s="415"/>
      <c r="G49" s="150">
        <v>2</v>
      </c>
      <c r="M49" s="121" t="s">
        <v>112</v>
      </c>
    </row>
    <row r="50" spans="1:13" s="121" customFormat="1" ht="15.75" customHeight="1">
      <c r="A50" s="390"/>
      <c r="C50" s="413" t="s">
        <v>42</v>
      </c>
      <c r="D50" s="414"/>
      <c r="E50" s="414"/>
      <c r="F50" s="415"/>
      <c r="G50" s="150">
        <v>2</v>
      </c>
      <c r="M50" s="121" t="s">
        <v>112</v>
      </c>
    </row>
    <row r="51" spans="1:13" s="121" customFormat="1" ht="15.75" customHeight="1">
      <c r="A51" s="390"/>
      <c r="C51" s="413" t="s">
        <v>43</v>
      </c>
      <c r="D51" s="414"/>
      <c r="E51" s="414"/>
      <c r="F51" s="415"/>
      <c r="G51" s="150">
        <v>3</v>
      </c>
      <c r="M51" s="121" t="s">
        <v>112</v>
      </c>
    </row>
    <row r="52" spans="1:13" s="121" customFormat="1" ht="15.75" customHeight="1">
      <c r="A52" s="390"/>
      <c r="C52" s="413" t="s">
        <v>44</v>
      </c>
      <c r="D52" s="414"/>
      <c r="E52" s="414"/>
      <c r="F52" s="415"/>
      <c r="G52" s="151">
        <f>IFERROR((G44*30)/G33,0)</f>
        <v>1.5</v>
      </c>
    </row>
    <row r="53" spans="1:13" s="121" customFormat="1" ht="15.75" customHeight="1">
      <c r="A53" s="390"/>
      <c r="C53" s="413" t="s">
        <v>45</v>
      </c>
      <c r="D53" s="414"/>
      <c r="E53" s="414"/>
      <c r="F53" s="415"/>
      <c r="G53" s="151">
        <f>IFERROR((G45*30)/D33,0)</f>
        <v>6</v>
      </c>
    </row>
    <row r="54" spans="1:13" s="121" customFormat="1" ht="15.75" customHeight="1">
      <c r="A54" s="390"/>
      <c r="C54" s="413" t="s">
        <v>46</v>
      </c>
      <c r="D54" s="414"/>
      <c r="E54" s="414"/>
      <c r="F54" s="415"/>
      <c r="G54" s="152">
        <f>IFERROR(AVERAGEIF(D8:D32,"&lt;&gt;0",E8:E32),0)</f>
        <v>2</v>
      </c>
    </row>
    <row r="55" spans="1:13" s="121" customFormat="1" ht="15.75" customHeight="1">
      <c r="A55" s="390"/>
      <c r="C55" s="413" t="s">
        <v>47</v>
      </c>
      <c r="D55" s="414"/>
      <c r="E55" s="414"/>
      <c r="F55" s="415"/>
      <c r="G55" s="152">
        <f>IFERROR(SUMPRODUCT(D8:D32,F8:F32)/G33,0)</f>
        <v>5</v>
      </c>
    </row>
    <row r="56" spans="1:13" s="121" customFormat="1" ht="15" customHeight="1">
      <c r="A56" s="390"/>
      <c r="C56" s="153"/>
      <c r="D56" s="153"/>
      <c r="E56" s="153"/>
      <c r="F56" s="153"/>
      <c r="G56" s="154"/>
    </row>
    <row r="57" spans="1:13" ht="30">
      <c r="A57" s="390"/>
      <c r="B57" s="121"/>
      <c r="C57" s="418" t="s">
        <v>122</v>
      </c>
      <c r="D57" s="419"/>
      <c r="E57" s="155" t="s">
        <v>121</v>
      </c>
      <c r="F57" s="155" t="s">
        <v>120</v>
      </c>
      <c r="G57" s="156" t="s">
        <v>50</v>
      </c>
      <c r="H57" s="157" t="s">
        <v>64</v>
      </c>
      <c r="I57" s="158" t="s">
        <v>63</v>
      </c>
      <c r="J57" s="158" t="s">
        <v>62</v>
      </c>
    </row>
    <row r="58" spans="1:13" ht="15.75" customHeight="1">
      <c r="A58" s="390"/>
      <c r="B58" s="121"/>
      <c r="C58" s="420" t="s">
        <v>58</v>
      </c>
      <c r="D58" s="421"/>
      <c r="E58" s="159" t="s">
        <v>115</v>
      </c>
      <c r="F58" s="160">
        <v>6</v>
      </c>
      <c r="G58" s="161">
        <f t="shared" ref="G58:G65" si="1">IFERROR((I58*H58+J58*H58)/1024/1024,0)</f>
        <v>302.2613525390625</v>
      </c>
      <c r="H58" s="162">
        <f>F58*31*D33*G48*G49*G51</f>
        <v>2232000</v>
      </c>
      <c r="I58" s="163">
        <v>72</v>
      </c>
      <c r="J58" s="163">
        <f>(4+4+1+4+6+6)*J78</f>
        <v>70</v>
      </c>
      <c r="M58" s="121" t="s">
        <v>112</v>
      </c>
    </row>
    <row r="59" spans="1:13" ht="15.75" customHeight="1">
      <c r="A59" s="390"/>
      <c r="B59" s="121"/>
      <c r="C59" s="420" t="s">
        <v>119</v>
      </c>
      <c r="D59" s="421"/>
      <c r="E59" s="159" t="s">
        <v>117</v>
      </c>
      <c r="F59" s="160">
        <v>24</v>
      </c>
      <c r="G59" s="161">
        <f t="shared" si="1"/>
        <v>9.5141601562499997E-2</v>
      </c>
      <c r="H59" s="162">
        <f>F59*G48*G49*G51</f>
        <v>288</v>
      </c>
      <c r="I59" s="163">
        <v>254</v>
      </c>
      <c r="J59" s="163">
        <f>(4+4+4+4+1+4+6+6)*J78</f>
        <v>92.399999999999991</v>
      </c>
      <c r="M59" s="121" t="s">
        <v>112</v>
      </c>
    </row>
    <row r="60" spans="1:13" ht="15.75" customHeight="1">
      <c r="A60" s="390"/>
      <c r="B60" s="121"/>
      <c r="C60" s="420" t="s">
        <v>59</v>
      </c>
      <c r="D60" s="421"/>
      <c r="E60" s="159" t="s">
        <v>115</v>
      </c>
      <c r="F60" s="160">
        <v>6</v>
      </c>
      <c r="G60" s="161">
        <f t="shared" si="1"/>
        <v>6300.6591796875</v>
      </c>
      <c r="H60" s="162">
        <f>F60*31*G33*G48*G49*G50*G51</f>
        <v>44640000</v>
      </c>
      <c r="I60" s="163">
        <v>78</v>
      </c>
      <c r="J60" s="163">
        <f>(4+4+1+4+6+6)*J78</f>
        <v>70</v>
      </c>
      <c r="M60" s="121" t="s">
        <v>112</v>
      </c>
    </row>
    <row r="61" spans="1:13" ht="15.75" customHeight="1">
      <c r="A61" s="390"/>
      <c r="B61" s="121"/>
      <c r="C61" s="416" t="s">
        <v>118</v>
      </c>
      <c r="D61" s="417"/>
      <c r="E61" s="159" t="s">
        <v>117</v>
      </c>
      <c r="F61" s="160">
        <v>24</v>
      </c>
      <c r="G61" s="161">
        <f t="shared" si="1"/>
        <v>0.11612548828124999</v>
      </c>
      <c r="H61" s="162">
        <f>F61*G48*G49*G50*G51</f>
        <v>576</v>
      </c>
      <c r="I61" s="163">
        <v>119</v>
      </c>
      <c r="J61" s="163">
        <f>(4+4+4+4+1+4+6+6)*J78</f>
        <v>92.399999999999991</v>
      </c>
      <c r="M61" s="121" t="s">
        <v>112</v>
      </c>
    </row>
    <row r="62" spans="1:13" ht="15.75" customHeight="1">
      <c r="A62" s="390"/>
      <c r="B62" s="121"/>
      <c r="C62" s="420" t="s">
        <v>57</v>
      </c>
      <c r="D62" s="421"/>
      <c r="E62" s="159" t="s">
        <v>113</v>
      </c>
      <c r="F62" s="160">
        <v>6</v>
      </c>
      <c r="G62" s="161">
        <f t="shared" si="1"/>
        <v>322.998046875</v>
      </c>
      <c r="H62" s="162">
        <f>G33*G48*G49*G50*G51*G52*F62</f>
        <v>2160000</v>
      </c>
      <c r="I62" s="163">
        <v>56</v>
      </c>
      <c r="J62" s="163">
        <f>(4+1+1+4+4+1+1+4+4+6+6)*J78</f>
        <v>100.8</v>
      </c>
      <c r="M62" s="121" t="s">
        <v>112</v>
      </c>
    </row>
    <row r="63" spans="1:13" ht="15.75" customHeight="1">
      <c r="A63" s="390"/>
      <c r="B63" s="121"/>
      <c r="C63" s="420" t="s">
        <v>56</v>
      </c>
      <c r="D63" s="421"/>
      <c r="E63" s="159" t="s">
        <v>113</v>
      </c>
      <c r="F63" s="160">
        <v>6</v>
      </c>
      <c r="G63" s="161">
        <f t="shared" si="1"/>
        <v>72.83935546875</v>
      </c>
      <c r="H63" s="162">
        <f>D33*G48*G49*G51*G53*F63</f>
        <v>432000</v>
      </c>
      <c r="I63" s="163">
        <v>76</v>
      </c>
      <c r="J63" s="163">
        <f>(4+1+1+4+4+1+1+4+4+6+6)*J78</f>
        <v>100.8</v>
      </c>
      <c r="M63" s="121" t="s">
        <v>112</v>
      </c>
    </row>
    <row r="64" spans="1:13" ht="15.75" customHeight="1">
      <c r="A64" s="390"/>
      <c r="B64" s="121"/>
      <c r="C64" s="416" t="s">
        <v>114</v>
      </c>
      <c r="D64" s="417"/>
      <c r="E64" s="159" t="s">
        <v>116</v>
      </c>
      <c r="F64" s="160">
        <v>3</v>
      </c>
      <c r="G64" s="161">
        <f t="shared" si="1"/>
        <v>44002.44140625</v>
      </c>
      <c r="H64" s="162">
        <f>G33*G48*G49*G50*G54*F64*31*24</f>
        <v>357120000</v>
      </c>
      <c r="I64" s="163">
        <v>62</v>
      </c>
      <c r="J64" s="163">
        <f>(4+4+4+6+6)*J78</f>
        <v>67.199999999999989</v>
      </c>
      <c r="M64" s="121" t="s">
        <v>112</v>
      </c>
    </row>
    <row r="65" spans="1:13" ht="15.75" customHeight="1">
      <c r="A65" s="390"/>
      <c r="B65" s="121"/>
      <c r="C65" s="416" t="s">
        <v>114</v>
      </c>
      <c r="D65" s="417"/>
      <c r="E65" s="159" t="s">
        <v>115</v>
      </c>
      <c r="F65" s="160">
        <v>6</v>
      </c>
      <c r="G65" s="161">
        <f t="shared" si="1"/>
        <v>12090.4541015625</v>
      </c>
      <c r="H65" s="162">
        <f>G33*G48*G49*G50*G51*G54*F65*31</f>
        <v>89280000</v>
      </c>
      <c r="I65" s="163">
        <v>72</v>
      </c>
      <c r="J65" s="163">
        <f>(1+4+4+4+6+6)*J78</f>
        <v>70</v>
      </c>
      <c r="M65" s="121" t="s">
        <v>112</v>
      </c>
    </row>
    <row r="66" spans="1:13" ht="15.75" customHeight="1" thickBot="1">
      <c r="A66" s="391"/>
      <c r="B66" s="164"/>
      <c r="C66" s="389" t="s">
        <v>114</v>
      </c>
      <c r="D66" s="389"/>
      <c r="E66" s="165" t="s">
        <v>113</v>
      </c>
      <c r="F66" s="166">
        <v>1</v>
      </c>
      <c r="G66" s="167">
        <f>IFERROR(((I66*H66)*2)/1024/1024,0)</f>
        <v>4768.06640625</v>
      </c>
      <c r="H66" s="162">
        <f>(60/G55)*24*F66*31*G33*G54</f>
        <v>178560000</v>
      </c>
      <c r="I66" s="163">
        <v>14</v>
      </c>
      <c r="J66" s="163" t="s">
        <v>61</v>
      </c>
      <c r="M66" s="121" t="s">
        <v>112</v>
      </c>
    </row>
    <row r="67" spans="1:13" s="121" customFormat="1" ht="15.75" customHeight="1" thickTop="1">
      <c r="C67" s="153"/>
      <c r="D67" s="153"/>
      <c r="E67" s="153"/>
      <c r="F67" s="153"/>
      <c r="G67" s="168"/>
    </row>
    <row r="68" spans="1:13" s="114" customFormat="1" ht="15.75" thickBot="1">
      <c r="C68" s="169"/>
      <c r="D68" s="121"/>
      <c r="G68" s="170"/>
    </row>
    <row r="69" spans="1:13" ht="18" customHeight="1" thickTop="1">
      <c r="A69" s="392" t="s">
        <v>111</v>
      </c>
      <c r="B69" s="118"/>
      <c r="C69" s="393" t="s">
        <v>110</v>
      </c>
      <c r="D69" s="394"/>
      <c r="E69" s="394" t="s">
        <v>109</v>
      </c>
      <c r="F69" s="394"/>
      <c r="G69" s="171" t="s">
        <v>108</v>
      </c>
      <c r="H69" s="142" t="s">
        <v>107</v>
      </c>
    </row>
    <row r="70" spans="1:13" ht="15.75" customHeight="1">
      <c r="A70" s="390"/>
      <c r="B70" s="121"/>
      <c r="C70" s="395" t="s">
        <v>106</v>
      </c>
      <c r="D70" s="172" t="s">
        <v>105</v>
      </c>
      <c r="E70" s="397" t="s">
        <v>104</v>
      </c>
      <c r="F70" s="398"/>
      <c r="G70" s="173">
        <f>(SUM(J8:J31))/1000/1000/1000</f>
        <v>18</v>
      </c>
      <c r="H70" s="174">
        <f>SUM(G70:G71)</f>
        <v>27</v>
      </c>
    </row>
    <row r="71" spans="1:13" ht="15.75" customHeight="1">
      <c r="A71" s="390"/>
      <c r="B71" s="121"/>
      <c r="C71" s="396"/>
      <c r="D71" s="172" t="s">
        <v>103</v>
      </c>
      <c r="E71" s="397" t="s">
        <v>102</v>
      </c>
      <c r="F71" s="398"/>
      <c r="G71" s="173">
        <f>SUM(K8:K31)/1000/1000/1000</f>
        <v>9</v>
      </c>
      <c r="H71" s="174"/>
    </row>
    <row r="72" spans="1:13" ht="15.75" customHeight="1">
      <c r="A72" s="390"/>
      <c r="B72" s="121"/>
      <c r="C72" s="395" t="s">
        <v>101</v>
      </c>
      <c r="D72" s="172" t="s">
        <v>100</v>
      </c>
      <c r="E72" s="397" t="s">
        <v>99</v>
      </c>
      <c r="F72" s="398"/>
      <c r="G72" s="173">
        <f>(SUM(H8:H31)*40)/1000/1000/1000</f>
        <v>84.096000000000004</v>
      </c>
      <c r="H72" s="174"/>
    </row>
    <row r="73" spans="1:13" ht="15.75" customHeight="1">
      <c r="A73" s="390"/>
      <c r="B73" s="121"/>
      <c r="C73" s="399"/>
      <c r="D73" s="172" t="s">
        <v>98</v>
      </c>
      <c r="E73" s="397" t="s">
        <v>97</v>
      </c>
      <c r="F73" s="398"/>
      <c r="G73" s="173">
        <f>((D33+G33+6*(G44+G45)+10)*162*Architecture!E23)/1000/1000/1000</f>
        <v>0.89936729999999998</v>
      </c>
      <c r="H73" s="174"/>
    </row>
    <row r="74" spans="1:13" ht="15.75" customHeight="1">
      <c r="A74" s="390"/>
      <c r="B74" s="121"/>
      <c r="C74" s="396"/>
      <c r="D74" s="172" t="s">
        <v>96</v>
      </c>
      <c r="E74" s="400" t="s">
        <v>95</v>
      </c>
      <c r="F74" s="397"/>
      <c r="G74" s="173">
        <f>G33*(Architecture!E24*160+D33*140)/1000/1000/1000</f>
        <v>1.984</v>
      </c>
      <c r="H74" s="174"/>
    </row>
    <row r="75" spans="1:13" ht="15.75" customHeight="1">
      <c r="A75" s="390"/>
      <c r="B75" s="121"/>
      <c r="C75" s="175" t="s">
        <v>94</v>
      </c>
      <c r="D75" s="401" t="s">
        <v>93</v>
      </c>
      <c r="E75" s="402"/>
      <c r="F75" s="403"/>
      <c r="G75" s="173">
        <f>(G72)*1.5</f>
        <v>126.14400000000001</v>
      </c>
      <c r="H75" s="174"/>
    </row>
    <row r="76" spans="1:13" ht="15" customHeight="1" thickBot="1">
      <c r="A76" s="390"/>
      <c r="B76" s="121"/>
      <c r="C76" s="176"/>
      <c r="D76" s="121"/>
      <c r="E76" s="121"/>
      <c r="F76" s="121"/>
      <c r="G76" s="141"/>
    </row>
    <row r="77" spans="1:13" ht="20.25" customHeight="1" thickBot="1">
      <c r="A77" s="390"/>
      <c r="B77" s="121"/>
      <c r="C77" s="404" t="s">
        <v>92</v>
      </c>
      <c r="D77" s="405"/>
      <c r="E77" s="405"/>
      <c r="F77" s="405"/>
      <c r="G77" s="177">
        <f>SUM(G70:G75)</f>
        <v>240.12336729999998</v>
      </c>
      <c r="H77" s="178">
        <f>IF(G77-G71-G70&lt;5,5,G77-G71-G70)</f>
        <v>213.12336729999998</v>
      </c>
      <c r="J77" s="179" t="s">
        <v>65</v>
      </c>
    </row>
    <row r="78" spans="1:13" ht="15" customHeight="1" thickBot="1">
      <c r="A78" s="390"/>
      <c r="B78" s="121"/>
      <c r="C78" s="176"/>
      <c r="D78" s="121"/>
      <c r="E78" s="121"/>
      <c r="F78" s="121"/>
      <c r="G78" s="141"/>
      <c r="J78" s="180">
        <v>2.8</v>
      </c>
    </row>
    <row r="79" spans="1:13" ht="20.25" customHeight="1" thickBot="1">
      <c r="A79" s="391"/>
      <c r="B79" s="164"/>
      <c r="C79" s="406" t="s">
        <v>91</v>
      </c>
      <c r="D79" s="407"/>
      <c r="E79" s="407"/>
      <c r="F79" s="407"/>
      <c r="G79" s="181">
        <f>IFERROR(SUM(G58:G66)/1000,0)</f>
        <v>67.859931115722659</v>
      </c>
    </row>
    <row r="80" spans="1:13" ht="13.5" thickTop="1"/>
  </sheetData>
  <sheetProtection algorithmName="SHA-512" hashValue="C7ZaZPSNA7/Rsqkq8eUQpe5A191g/1f1fRlnOmQiQ9h07hPXi3fIKNTAPLsrokJjaWRCoksvR2POVj0D5ipqVA==" saltValue="8f6rAC0brj6C/m8EqDH1Fg==" spinCount="100000" sheet="1" selectLockedCells="1"/>
  <mergeCells count="46">
    <mergeCell ref="C77:F77"/>
    <mergeCell ref="C79:F79"/>
    <mergeCell ref="A69:A79"/>
    <mergeCell ref="A37:A66"/>
    <mergeCell ref="A6:A36"/>
    <mergeCell ref="C69:D69"/>
    <mergeCell ref="E74:F74"/>
    <mergeCell ref="E70:F70"/>
    <mergeCell ref="E71:F71"/>
    <mergeCell ref="E72:F72"/>
    <mergeCell ref="D75:F75"/>
    <mergeCell ref="C53:F53"/>
    <mergeCell ref="C47:F47"/>
    <mergeCell ref="C45:F45"/>
    <mergeCell ref="C43:F43"/>
    <mergeCell ref="E34:F34"/>
    <mergeCell ref="A1:D1"/>
    <mergeCell ref="E1:G1"/>
    <mergeCell ref="F3:G3"/>
    <mergeCell ref="C6:G6"/>
    <mergeCell ref="E33:F33"/>
    <mergeCell ref="A3:E3"/>
    <mergeCell ref="A4:G4"/>
    <mergeCell ref="E35:F35"/>
    <mergeCell ref="C59:D59"/>
    <mergeCell ref="C60:D60"/>
    <mergeCell ref="C48:F48"/>
    <mergeCell ref="C49:F49"/>
    <mergeCell ref="C50:F50"/>
    <mergeCell ref="C51:F51"/>
    <mergeCell ref="C52:F52"/>
    <mergeCell ref="C44:F44"/>
    <mergeCell ref="C54:F54"/>
    <mergeCell ref="C55:F55"/>
    <mergeCell ref="C70:C71"/>
    <mergeCell ref="C72:C74"/>
    <mergeCell ref="E73:F73"/>
    <mergeCell ref="E69:F69"/>
    <mergeCell ref="C57:D57"/>
    <mergeCell ref="C65:D65"/>
    <mergeCell ref="C61:D61"/>
    <mergeCell ref="C62:D62"/>
    <mergeCell ref="C66:D66"/>
    <mergeCell ref="C58:D58"/>
    <mergeCell ref="C64:D64"/>
    <mergeCell ref="C63:D63"/>
  </mergeCells>
  <pageMargins left="0.7" right="0.7" top="0.75" bottom="0.75" header="0.3" footer="0.3"/>
  <pageSetup paperSize="9" scale="80" orientation="landscape" r:id="rId1"/>
  <rowBreaks count="2" manualBreakCount="2">
    <brk id="36" max="16383" man="1"/>
    <brk id="6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76CE4-6486-43AA-9658-9783230F899C}">
  <sheetPr codeName="Feuil10"/>
  <dimension ref="A1:G24"/>
  <sheetViews>
    <sheetView topLeftCell="A6" workbookViewId="0">
      <selection activeCell="D31" sqref="D31"/>
    </sheetView>
  </sheetViews>
  <sheetFormatPr baseColWidth="10" defaultRowHeight="15"/>
  <cols>
    <col min="1" max="1" width="33.42578125" bestFit="1" customWidth="1"/>
    <col min="2" max="2" width="46.85546875" customWidth="1"/>
    <col min="3" max="3" width="24" customWidth="1"/>
    <col min="4" max="4" width="19.140625" customWidth="1"/>
  </cols>
  <sheetData>
    <row r="1" spans="1:7" ht="14.45" customHeight="1">
      <c r="A1" s="331" t="s">
        <v>274</v>
      </c>
      <c r="B1" s="332"/>
      <c r="C1" s="332"/>
      <c r="D1" s="332"/>
      <c r="E1" s="333"/>
    </row>
    <row r="2" spans="1:7" ht="42.6" customHeight="1" thickBot="1">
      <c r="A2" s="329"/>
      <c r="B2" s="330"/>
      <c r="C2" s="330"/>
      <c r="D2" s="330"/>
      <c r="E2" s="334"/>
    </row>
    <row r="3" spans="1:7" ht="15.75" thickBot="1">
      <c r="A3" s="19" t="s">
        <v>262</v>
      </c>
      <c r="B3" s="206"/>
      <c r="C3" s="12"/>
      <c r="D3" s="12"/>
      <c r="E3" s="88"/>
    </row>
    <row r="4" spans="1:7" ht="15.75" thickBot="1">
      <c r="A4" s="19" t="s">
        <v>263</v>
      </c>
      <c r="B4" s="187">
        <v>6000</v>
      </c>
      <c r="C4" s="12"/>
      <c r="D4" s="12"/>
      <c r="E4" s="88"/>
    </row>
    <row r="5" spans="1:7" ht="15.75" thickBot="1">
      <c r="A5" s="19" t="s">
        <v>264</v>
      </c>
      <c r="B5" s="207"/>
      <c r="C5" s="12"/>
      <c r="D5" s="12"/>
      <c r="E5" s="88"/>
    </row>
    <row r="6" spans="1:7" ht="15" customHeight="1">
      <c r="A6" s="89"/>
      <c r="B6" s="12"/>
      <c r="C6" s="12"/>
      <c r="D6" s="12"/>
      <c r="E6" s="88"/>
    </row>
    <row r="7" spans="1:7" ht="27.6" hidden="1" customHeight="1" thickBot="1">
      <c r="A7" s="89"/>
      <c r="B7" s="12" t="s">
        <v>180</v>
      </c>
      <c r="C7" s="222" t="s">
        <v>179</v>
      </c>
      <c r="D7" s="222" t="s">
        <v>177</v>
      </c>
      <c r="E7" s="16" t="s">
        <v>178</v>
      </c>
    </row>
    <row r="8" spans="1:7" ht="7.9" hidden="1" customHeight="1">
      <c r="A8" s="89"/>
      <c r="B8" s="12" t="s">
        <v>176</v>
      </c>
      <c r="C8" s="223" t="s">
        <v>0</v>
      </c>
      <c r="D8" s="224">
        <f>IF(C8="X",IF(B4&gt;0,IF(B4&lt;=2000,"0",IF(B4&gt;2000,ROUNDUP(B4/7500,0))),IF(Architecture!B3&lt;=2000,"0",IF(B4&gt;2000,ROUNDUP(B4/7500,0)))),0)</f>
        <v>1</v>
      </c>
      <c r="E8" s="187">
        <v>1</v>
      </c>
    </row>
    <row r="9" spans="1:7" ht="15.75" thickBot="1">
      <c r="A9" s="89"/>
      <c r="B9" s="12"/>
      <c r="C9" s="12"/>
      <c r="D9" s="12"/>
      <c r="E9" s="88"/>
    </row>
    <row r="10" spans="1:7" ht="15.75" thickBot="1">
      <c r="A10" s="89"/>
      <c r="B10" s="12"/>
      <c r="C10" s="387" t="str">
        <f>IF(E8&gt;0,E8&amp;" Poller",D8&amp;" Poller")</f>
        <v>1 Poller</v>
      </c>
      <c r="D10" s="12"/>
      <c r="E10" s="88"/>
    </row>
    <row r="11" spans="1:7" ht="16.5" thickBot="1">
      <c r="A11" s="89"/>
      <c r="B11" s="246" t="s">
        <v>250</v>
      </c>
      <c r="C11" s="388"/>
      <c r="D11" s="12"/>
      <c r="E11" s="88"/>
    </row>
    <row r="12" spans="1:7" ht="41.45" customHeight="1">
      <c r="A12" s="89"/>
      <c r="B12" s="268" t="s">
        <v>6</v>
      </c>
      <c r="C12" s="270" t="str">
        <f>IF(C8="",0,IF(B4&lt;='Final sizing'!K3,"2vCPU",IF(AND(B4&gt;='Final sizing'!K3,B4&lt;='Final sizing'!K4),"4vCPU","Consulter Centreon")))</f>
        <v>2vCPU</v>
      </c>
      <c r="D12" s="12"/>
      <c r="E12" s="289"/>
    </row>
    <row r="13" spans="1:7" ht="15.75" thickBot="1">
      <c r="A13" s="89"/>
      <c r="B13" s="268" t="s">
        <v>253</v>
      </c>
      <c r="C13" s="270" t="str">
        <f>IF(C8="",0,IF(B4&lt;='Final sizing'!K3,"2",IF(AND(B4&gt;='Final sizing'!K3,B4&lt;=B4),"4","Consulter Centreon")))</f>
        <v>2</v>
      </c>
      <c r="D13" s="12"/>
      <c r="E13" s="289"/>
    </row>
    <row r="14" spans="1:7" ht="16.5" thickBot="1">
      <c r="A14" s="89"/>
      <c r="B14" s="246" t="s">
        <v>251</v>
      </c>
      <c r="C14" s="248" t="s">
        <v>252</v>
      </c>
      <c r="D14" s="12"/>
      <c r="E14" s="88"/>
    </row>
    <row r="15" spans="1:7" ht="15.75" thickBot="1">
      <c r="A15" s="89"/>
      <c r="B15" s="269" t="s">
        <v>175</v>
      </c>
      <c r="C15" s="270">
        <f>IF(C8="",0,1)</f>
        <v>1</v>
      </c>
      <c r="D15" s="12"/>
      <c r="E15" s="289"/>
    </row>
    <row r="16" spans="1:7" ht="32.450000000000003" customHeight="1">
      <c r="A16" s="345" t="s">
        <v>280</v>
      </c>
      <c r="B16" s="269" t="s">
        <v>272</v>
      </c>
      <c r="C16" s="270">
        <f>IF(C8="",0,20)</f>
        <v>20</v>
      </c>
      <c r="D16" s="12"/>
      <c r="E16" s="289"/>
    </row>
    <row r="17" spans="1:5" ht="15.6" customHeight="1">
      <c r="A17" s="343"/>
      <c r="B17" s="268" t="s">
        <v>4</v>
      </c>
      <c r="C17" s="270" t="str">
        <f>C13</f>
        <v>2</v>
      </c>
      <c r="D17" s="12"/>
      <c r="E17" s="289"/>
    </row>
    <row r="18" spans="1:5" ht="34.5" thickBot="1">
      <c r="A18" s="344"/>
      <c r="B18" s="269" t="s">
        <v>273</v>
      </c>
      <c r="C18" s="270">
        <f>IF(C8="",0,10)</f>
        <v>10</v>
      </c>
      <c r="D18" s="12"/>
      <c r="E18" s="290"/>
    </row>
    <row r="19" spans="1:5" ht="34.5" thickBot="1">
      <c r="A19" s="286" t="s">
        <v>281</v>
      </c>
      <c r="B19" s="269" t="s">
        <v>278</v>
      </c>
      <c r="C19" s="270">
        <v>5</v>
      </c>
      <c r="D19" s="12"/>
      <c r="E19" s="289"/>
    </row>
    <row r="20" spans="1:5" ht="16.5" thickBot="1">
      <c r="A20" s="291"/>
      <c r="B20" s="246" t="s">
        <v>249</v>
      </c>
      <c r="C20" s="277">
        <f>SUM(C15:C18,C19)</f>
        <v>36</v>
      </c>
      <c r="D20" s="95"/>
      <c r="E20" s="96"/>
    </row>
    <row r="21" spans="1:5" ht="14.45" customHeight="1"/>
    <row r="22" spans="1:5" ht="14.45" customHeight="1"/>
    <row r="23" spans="1:5" ht="14.45" customHeight="1"/>
    <row r="24" spans="1:5" ht="15" customHeight="1"/>
  </sheetData>
  <sheetProtection algorithmName="SHA-512" hashValue="vBTDXSCWXFCxcUVfhC+4i+AHLFWM58LQKWPmgrWExq+p60+qYGNYZ0Mlvn3vCCPio+wG0QrLXbiDgd/YQYc0IQ==" saltValue="kgxhImfOX3CVnvr5+H7GAA==" spinCount="100000" sheet="1" objects="1" scenarios="1"/>
  <mergeCells count="3">
    <mergeCell ref="C10:C11"/>
    <mergeCell ref="A1:E2"/>
    <mergeCell ref="A16:A18"/>
  </mergeCells>
  <conditionalFormatting sqref="D8 C15:C19">
    <cfRule type="cellIs" dxfId="8" priority="13" operator="equal">
      <formula>0</formula>
    </cfRule>
  </conditionalFormatting>
  <conditionalFormatting sqref="C12:C13 C19">
    <cfRule type="containsText" dxfId="7" priority="11" operator="containsText" text="X">
      <formula>NOT(ISERROR(SEARCH("X",C12)))</formula>
    </cfRule>
  </conditionalFormatting>
  <conditionalFormatting sqref="C15 C19">
    <cfRule type="cellIs" dxfId="6" priority="10" operator="equal">
      <formula>"X"</formula>
    </cfRule>
  </conditionalFormatting>
  <conditionalFormatting sqref="C16:C18">
    <cfRule type="cellIs" dxfId="5" priority="9" operator="equal">
      <formula>"X"</formula>
    </cfRule>
  </conditionalFormatting>
  <conditionalFormatting sqref="C12:C13">
    <cfRule type="cellIs" dxfId="4" priority="6" operator="equal">
      <formula>0</formula>
    </cfRule>
  </conditionalFormatting>
  <conditionalFormatting sqref="C15:C18">
    <cfRule type="containsText" dxfId="3" priority="5" operator="containsText" text="X">
      <formula>NOT(ISERROR(SEARCH("X",C15)))</formula>
    </cfRule>
  </conditionalFormatting>
  <conditionalFormatting sqref="C19">
    <cfRule type="containsText" dxfId="2" priority="3" operator="containsText" text="X">
      <formula>NOT(ISERROR(SEARCH("X",C19)))</formula>
    </cfRule>
  </conditionalFormatting>
  <conditionalFormatting sqref="A16">
    <cfRule type="containsText" dxfId="1" priority="2" operator="containsText" text="X">
      <formula>NOT(ISERROR(SEARCH("X",A16)))</formula>
    </cfRule>
  </conditionalFormatting>
  <conditionalFormatting sqref="A19">
    <cfRule type="containsText" dxfId="0" priority="1" operator="containsText" text="X">
      <formula>NOT(ISERROR(SEARCH("X",A19)))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Summary</vt:lpstr>
      <vt:lpstr>Architecture</vt:lpstr>
      <vt:lpstr>MBI Sizing</vt:lpstr>
      <vt:lpstr>Final sizing</vt:lpstr>
      <vt:lpstr>Remote Server Sizing</vt:lpstr>
      <vt:lpstr>RS so Main server and BI serve</vt:lpstr>
      <vt:lpstr>RS Main server and BI server </vt:lpstr>
      <vt:lpstr>Main server and BI server</vt:lpstr>
      <vt:lpstr>Poller Sizing</vt:lpstr>
      <vt:lpstr>AVV 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Simon Bomm</cp:lastModifiedBy>
  <dcterms:created xsi:type="dcterms:W3CDTF">2015-06-05T18:19:34Z</dcterms:created>
  <dcterms:modified xsi:type="dcterms:W3CDTF">2020-05-05T07:23:56Z</dcterms:modified>
</cp:coreProperties>
</file>