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esktop/"/>
    </mc:Choice>
  </mc:AlternateContent>
  <xr:revisionPtr revIDLastSave="0" documentId="13_ncr:1_{6787C66C-3AD3-5748-90D3-1E9A62391663}" xr6:coauthVersionLast="47" xr6:coauthVersionMax="47" xr10:uidLastSave="{00000000-0000-0000-0000-000000000000}"/>
  <bookViews>
    <workbookView xWindow="51200" yWindow="500" windowWidth="51200" windowHeight="28300" xr2:uid="{A469845D-959C-4A7C-80E1-18863DB1EFCC}"/>
  </bookViews>
  <sheets>
    <sheet name="Cover" sheetId="1" r:id="rId1"/>
    <sheet name="LBO - Blank" sheetId="4" r:id="rId2"/>
    <sheet name="LBO - Complete" sheetId="2" r:id="rId3"/>
    <sheet name="Shares" sheetId="3" r:id="rId4"/>
  </sheets>
  <definedNames>
    <definedName name="CASE" localSheetId="1">'LBO - Blank'!$E$7</definedName>
    <definedName name="CASE">'LBO - Complete'!$E$7</definedName>
    <definedName name="CIRC" localSheetId="1">'LBO - Blank'!$E$6</definedName>
    <definedName name="CIRC">'LBO - Complete'!$E$6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9" i="4" l="1"/>
  <c r="B176" i="4"/>
  <c r="B173" i="4"/>
  <c r="G169" i="4"/>
  <c r="H169" i="4" s="1"/>
  <c r="I169" i="4" s="1"/>
  <c r="J169" i="4" s="1"/>
  <c r="K169" i="4" s="1"/>
  <c r="F169" i="4"/>
  <c r="E169" i="4"/>
  <c r="B158" i="4"/>
  <c r="E142" i="4"/>
  <c r="F142" i="4" s="1"/>
  <c r="E131" i="4"/>
  <c r="F131" i="4" s="1"/>
  <c r="G131" i="4" s="1"/>
  <c r="H131" i="4" s="1"/>
  <c r="I131" i="4" s="1"/>
  <c r="J131" i="4" s="1"/>
  <c r="K131" i="4" s="1"/>
  <c r="F105" i="4"/>
  <c r="G105" i="4" s="1"/>
  <c r="H105" i="4" s="1"/>
  <c r="I105" i="4" s="1"/>
  <c r="J105" i="4" s="1"/>
  <c r="K105" i="4" s="1"/>
  <c r="E105" i="4"/>
  <c r="E54" i="4"/>
  <c r="F54" i="4" s="1"/>
  <c r="G54" i="4" s="1"/>
  <c r="H54" i="4" s="1"/>
  <c r="I54" i="4" s="1"/>
  <c r="J54" i="4" s="1"/>
  <c r="K54" i="4" s="1"/>
  <c r="E47" i="4"/>
  <c r="F47" i="4" s="1"/>
  <c r="G47" i="4" s="1"/>
  <c r="H47" i="4" s="1"/>
  <c r="I47" i="4" s="1"/>
  <c r="J47" i="4" s="1"/>
  <c r="K47" i="4" s="1"/>
  <c r="B39" i="4"/>
  <c r="B38" i="4"/>
  <c r="B153" i="4" s="1"/>
  <c r="B37" i="4"/>
  <c r="B148" i="4" s="1"/>
  <c r="I31" i="4"/>
  <c r="E31" i="4"/>
  <c r="K31" i="4"/>
  <c r="F91" i="2"/>
  <c r="E91" i="2"/>
  <c r="D91" i="2"/>
  <c r="K180" i="2"/>
  <c r="J180" i="2"/>
  <c r="I180" i="2"/>
  <c r="H180" i="2"/>
  <c r="G180" i="2"/>
  <c r="K177" i="2"/>
  <c r="J177" i="2"/>
  <c r="I177" i="2"/>
  <c r="H177" i="2"/>
  <c r="G177" i="2"/>
  <c r="K174" i="2"/>
  <c r="J174" i="2"/>
  <c r="I174" i="2"/>
  <c r="H174" i="2"/>
  <c r="G174" i="2"/>
  <c r="F146" i="2"/>
  <c r="F170" i="2"/>
  <c r="F171" i="2" s="1"/>
  <c r="G171" i="2" s="1"/>
  <c r="H171" i="2" s="1"/>
  <c r="I171" i="2" s="1"/>
  <c r="J171" i="2" s="1"/>
  <c r="K171" i="2" s="1"/>
  <c r="B179" i="2"/>
  <c r="B176" i="2"/>
  <c r="B173" i="2"/>
  <c r="E169" i="2"/>
  <c r="F169" i="2" s="1"/>
  <c r="G169" i="2" s="1"/>
  <c r="H169" i="2" s="1"/>
  <c r="I169" i="2" s="1"/>
  <c r="J169" i="2" s="1"/>
  <c r="K169" i="2" s="1"/>
  <c r="F166" i="2"/>
  <c r="F161" i="2"/>
  <c r="G159" i="2" s="1"/>
  <c r="F156" i="2"/>
  <c r="G154" i="2" s="1"/>
  <c r="F151" i="2"/>
  <c r="G149" i="2" s="1"/>
  <c r="G164" i="2" s="1"/>
  <c r="B158" i="2"/>
  <c r="B153" i="2"/>
  <c r="B148" i="2"/>
  <c r="E142" i="2"/>
  <c r="F142" i="2" s="1"/>
  <c r="G142" i="2" s="1"/>
  <c r="H142" i="2" s="1"/>
  <c r="I142" i="2" s="1"/>
  <c r="J142" i="2" s="1"/>
  <c r="K142" i="2" s="1"/>
  <c r="E131" i="2"/>
  <c r="F131" i="2" s="1"/>
  <c r="G131" i="2" s="1"/>
  <c r="H131" i="2" s="1"/>
  <c r="I131" i="2" s="1"/>
  <c r="J131" i="2" s="1"/>
  <c r="K131" i="2" s="1"/>
  <c r="F129" i="2"/>
  <c r="E129" i="2"/>
  <c r="D129" i="2"/>
  <c r="G129" i="2" s="1"/>
  <c r="K119" i="2"/>
  <c r="K120" i="2" s="1"/>
  <c r="J119" i="2"/>
  <c r="J120" i="2" s="1"/>
  <c r="H123" i="2"/>
  <c r="H122" i="2" s="1"/>
  <c r="G123" i="2"/>
  <c r="G122" i="2" s="1"/>
  <c r="K126" i="2"/>
  <c r="F120" i="2"/>
  <c r="E120" i="2"/>
  <c r="D120" i="2"/>
  <c r="K125" i="2"/>
  <c r="J125" i="2"/>
  <c r="J126" i="2" s="1"/>
  <c r="I125" i="2"/>
  <c r="I119" i="2" s="1"/>
  <c r="I120" i="2" s="1"/>
  <c r="H125" i="2"/>
  <c r="H119" i="2" s="1"/>
  <c r="H120" i="2" s="1"/>
  <c r="G125" i="2"/>
  <c r="G119" i="2" s="1"/>
  <c r="G120" i="2" s="1"/>
  <c r="F116" i="2"/>
  <c r="F117" i="2" s="1"/>
  <c r="E116" i="2"/>
  <c r="E117" i="2" s="1"/>
  <c r="D116" i="2"/>
  <c r="D117" i="2" s="1"/>
  <c r="G117" i="2" s="1"/>
  <c r="E105" i="2"/>
  <c r="F105" i="2" s="1"/>
  <c r="G105" i="2" s="1"/>
  <c r="H105" i="2" s="1"/>
  <c r="I105" i="2" s="1"/>
  <c r="J105" i="2" s="1"/>
  <c r="K105" i="2" s="1"/>
  <c r="K103" i="2"/>
  <c r="J103" i="2"/>
  <c r="I103" i="2"/>
  <c r="H103" i="2"/>
  <c r="G103" i="2"/>
  <c r="E92" i="2"/>
  <c r="K66" i="2"/>
  <c r="K65" i="2" s="1"/>
  <c r="J66" i="2"/>
  <c r="J65" i="2" s="1"/>
  <c r="I66" i="2"/>
  <c r="I65" i="2" s="1"/>
  <c r="H66" i="2"/>
  <c r="H65" i="2" s="1"/>
  <c r="G66" i="2"/>
  <c r="G65" i="2" s="1"/>
  <c r="K63" i="2"/>
  <c r="K62" i="2" s="1"/>
  <c r="J63" i="2"/>
  <c r="J62" i="2" s="1"/>
  <c r="J59" i="2" s="1"/>
  <c r="J60" i="2" s="1"/>
  <c r="I63" i="2"/>
  <c r="I62" i="2" s="1"/>
  <c r="I59" i="2" s="1"/>
  <c r="I60" i="2" s="1"/>
  <c r="H63" i="2"/>
  <c r="H62" i="2" s="1"/>
  <c r="H59" i="2" s="1"/>
  <c r="H60" i="2" s="1"/>
  <c r="G63" i="2"/>
  <c r="G62" i="2" s="1"/>
  <c r="F66" i="2"/>
  <c r="E66" i="2"/>
  <c r="D66" i="2"/>
  <c r="F7" i="2"/>
  <c r="F51" i="2"/>
  <c r="G51" i="2" s="1"/>
  <c r="H51" i="2" s="1"/>
  <c r="I51" i="2" s="1"/>
  <c r="J51" i="2" s="1"/>
  <c r="K51" i="2" s="1"/>
  <c r="E51" i="2"/>
  <c r="D51" i="2"/>
  <c r="K75" i="2"/>
  <c r="J75" i="2"/>
  <c r="I75" i="2"/>
  <c r="H75" i="2"/>
  <c r="G75" i="2"/>
  <c r="K49" i="2"/>
  <c r="K57" i="2" s="1"/>
  <c r="J49" i="2"/>
  <c r="J57" i="2" s="1"/>
  <c r="I49" i="2"/>
  <c r="I57" i="2" s="1"/>
  <c r="H49" i="2"/>
  <c r="H57" i="2" s="1"/>
  <c r="G49" i="2"/>
  <c r="G57" i="2" s="1"/>
  <c r="F60" i="2"/>
  <c r="E60" i="2"/>
  <c r="D60" i="2"/>
  <c r="E57" i="2"/>
  <c r="D57" i="2"/>
  <c r="E80" i="2"/>
  <c r="E81" i="2" s="1"/>
  <c r="E47" i="2"/>
  <c r="F47" i="2" s="1"/>
  <c r="G47" i="2" s="1"/>
  <c r="H47" i="2" s="1"/>
  <c r="I47" i="2" s="1"/>
  <c r="J47" i="2" s="1"/>
  <c r="K47" i="2" s="1"/>
  <c r="F49" i="2"/>
  <c r="F57" i="2" s="1"/>
  <c r="E49" i="2"/>
  <c r="F62" i="2"/>
  <c r="F68" i="2" s="1"/>
  <c r="F80" i="2" s="1"/>
  <c r="E62" i="2"/>
  <c r="E68" i="2" s="1"/>
  <c r="E69" i="2" s="1"/>
  <c r="D62" i="2"/>
  <c r="D68" i="2" s="1"/>
  <c r="D90" i="2" s="1"/>
  <c r="E54" i="2"/>
  <c r="F54" i="2" s="1"/>
  <c r="G54" i="2" s="1"/>
  <c r="H54" i="2" s="1"/>
  <c r="I54" i="2" s="1"/>
  <c r="J54" i="2" s="1"/>
  <c r="K54" i="2" s="1"/>
  <c r="D39" i="2"/>
  <c r="D38" i="2"/>
  <c r="D37" i="2"/>
  <c r="B39" i="2"/>
  <c r="B38" i="2"/>
  <c r="B37" i="2"/>
  <c r="K19" i="2"/>
  <c r="E6" i="3"/>
  <c r="E29" i="3" s="1"/>
  <c r="B22" i="3"/>
  <c r="B23" i="3" s="1"/>
  <c r="B24" i="3" s="1"/>
  <c r="B25" i="3" s="1"/>
  <c r="B26" i="3" s="1"/>
  <c r="B27" i="3" s="1"/>
  <c r="B28" i="3" s="1"/>
  <c r="B29" i="3" s="1"/>
  <c r="B30" i="3" s="1"/>
  <c r="E31" i="2"/>
  <c r="I29" i="2"/>
  <c r="K29" i="2" s="1"/>
  <c r="I28" i="2"/>
  <c r="K28" i="2" s="1"/>
  <c r="I27" i="2"/>
  <c r="K27" i="2" s="1"/>
  <c r="E22" i="2"/>
  <c r="D40" i="2" s="1"/>
  <c r="E20" i="2"/>
  <c r="K18" i="2" s="1"/>
  <c r="K13" i="2"/>
  <c r="G128" i="2" l="1"/>
  <c r="G135" i="2" s="1"/>
  <c r="H129" i="2"/>
  <c r="G116" i="2"/>
  <c r="G136" i="2" s="1"/>
  <c r="H117" i="2"/>
  <c r="E90" i="2"/>
  <c r="E93" i="2" s="1"/>
  <c r="E94" i="2" s="1"/>
  <c r="E97" i="2" s="1"/>
  <c r="E86" i="2"/>
  <c r="E87" i="2" s="1"/>
  <c r="F90" i="2"/>
  <c r="F93" i="2" s="1"/>
  <c r="G126" i="2"/>
  <c r="D93" i="2"/>
  <c r="H126" i="2"/>
  <c r="G144" i="2"/>
  <c r="I123" i="2"/>
  <c r="E52" i="2"/>
  <c r="E84" i="2" s="1"/>
  <c r="I126" i="2"/>
  <c r="D69" i="2"/>
  <c r="D50" i="2"/>
  <c r="D63" i="2" s="1"/>
  <c r="F69" i="2"/>
  <c r="E50" i="2"/>
  <c r="E63" i="2" s="1"/>
  <c r="D80" i="2"/>
  <c r="D86" i="2" s="1"/>
  <c r="D87" i="2" s="1"/>
  <c r="K134" i="2"/>
  <c r="I134" i="2"/>
  <c r="J134" i="2"/>
  <c r="H134" i="2"/>
  <c r="G134" i="2"/>
  <c r="D96" i="2"/>
  <c r="D94" i="2"/>
  <c r="D97" i="2" s="1"/>
  <c r="G59" i="2"/>
  <c r="G60" i="2" s="1"/>
  <c r="K59" i="2"/>
  <c r="K60" i="2" s="1"/>
  <c r="F52" i="2"/>
  <c r="F86" i="2"/>
  <c r="F87" i="2" s="1"/>
  <c r="F81" i="2"/>
  <c r="F50" i="2"/>
  <c r="I38" i="2"/>
  <c r="K31" i="2"/>
  <c r="E14" i="3"/>
  <c r="E16" i="3" s="1"/>
  <c r="K16" i="2" s="1"/>
  <c r="K15" i="2" s="1"/>
  <c r="E24" i="3"/>
  <c r="E23" i="3"/>
  <c r="E26" i="3"/>
  <c r="E27" i="3"/>
  <c r="E22" i="3"/>
  <c r="E25" i="3"/>
  <c r="E21" i="3"/>
  <c r="E28" i="3"/>
  <c r="E30" i="3"/>
  <c r="I31" i="2"/>
  <c r="I40" i="2" s="1"/>
  <c r="F94" i="2" l="1"/>
  <c r="F97" i="2" s="1"/>
  <c r="E19" i="2"/>
  <c r="F96" i="2"/>
  <c r="J123" i="2"/>
  <c r="I122" i="2"/>
  <c r="H116" i="2"/>
  <c r="H136" i="2" s="1"/>
  <c r="I117" i="2"/>
  <c r="F63" i="2"/>
  <c r="G50" i="2"/>
  <c r="H50" i="2" s="1"/>
  <c r="I50" i="2" s="1"/>
  <c r="J50" i="2" s="1"/>
  <c r="K50" i="2" s="1"/>
  <c r="F84" i="2"/>
  <c r="G52" i="2"/>
  <c r="I129" i="2"/>
  <c r="H128" i="2"/>
  <c r="H135" i="2" s="1"/>
  <c r="G146" i="2"/>
  <c r="H144" i="2" s="1"/>
  <c r="G170" i="2"/>
  <c r="G78" i="2" s="1"/>
  <c r="D81" i="2"/>
  <c r="D52" i="2"/>
  <c r="D84" i="2" s="1"/>
  <c r="E96" i="2"/>
  <c r="E39" i="2"/>
  <c r="E38" i="2"/>
  <c r="F28" i="2"/>
  <c r="E37" i="2"/>
  <c r="J39" i="2"/>
  <c r="E32" i="3"/>
  <c r="E8" i="3" s="1"/>
  <c r="K21" i="2"/>
  <c r="I37" i="2"/>
  <c r="E9" i="3"/>
  <c r="E10" i="3" s="1"/>
  <c r="J117" i="2" l="1"/>
  <c r="I116" i="2"/>
  <c r="I136" i="2" s="1"/>
  <c r="J38" i="2"/>
  <c r="F27" i="2"/>
  <c r="K22" i="2"/>
  <c r="J41" i="2"/>
  <c r="E40" i="2"/>
  <c r="G84" i="2"/>
  <c r="H52" i="2"/>
  <c r="K123" i="2"/>
  <c r="K122" i="2" s="1"/>
  <c r="J122" i="2"/>
  <c r="K23" i="2"/>
  <c r="H146" i="2"/>
  <c r="I144" i="2" s="1"/>
  <c r="H170" i="2"/>
  <c r="H78" i="2" s="1"/>
  <c r="F29" i="2"/>
  <c r="J129" i="2"/>
  <c r="I128" i="2"/>
  <c r="I135" i="2" s="1"/>
  <c r="J40" i="2"/>
  <c r="E11" i="3"/>
  <c r="I43" i="2"/>
  <c r="K37" i="2" s="1"/>
  <c r="J37" i="2"/>
  <c r="J43" i="2" s="1"/>
  <c r="F31" i="4" l="1"/>
  <c r="K129" i="2"/>
  <c r="K128" i="2" s="1"/>
  <c r="K135" i="2" s="1"/>
  <c r="J128" i="2"/>
  <c r="J135" i="2" s="1"/>
  <c r="E23" i="2"/>
  <c r="K188" i="2" s="1"/>
  <c r="I52" i="2"/>
  <c r="H84" i="2"/>
  <c r="F31" i="2"/>
  <c r="I146" i="2"/>
  <c r="J144" i="2" s="1"/>
  <c r="I170" i="2"/>
  <c r="I78" i="2" s="1"/>
  <c r="K117" i="2"/>
  <c r="K116" i="2" s="1"/>
  <c r="K136" i="2" s="1"/>
  <c r="J116" i="2"/>
  <c r="J136" i="2" s="1"/>
  <c r="D43" i="2"/>
  <c r="K41" i="2"/>
  <c r="K40" i="2"/>
  <c r="K39" i="2"/>
  <c r="K38" i="2"/>
  <c r="J146" i="2" l="1"/>
  <c r="K144" i="2" s="1"/>
  <c r="J170" i="2"/>
  <c r="J78" i="2" s="1"/>
  <c r="J52" i="2"/>
  <c r="I84" i="2"/>
  <c r="K43" i="2"/>
  <c r="D41" i="2"/>
  <c r="K193" i="2" s="1"/>
  <c r="F38" i="2"/>
  <c r="F37" i="2"/>
  <c r="F40" i="2"/>
  <c r="F39" i="2"/>
  <c r="F43" i="2"/>
  <c r="K52" i="2" l="1"/>
  <c r="K84" i="2" s="1"/>
  <c r="J84" i="2"/>
  <c r="K146" i="2"/>
  <c r="K170" i="2"/>
  <c r="K78" i="2" s="1"/>
  <c r="F41" i="2"/>
  <c r="E41" i="2"/>
  <c r="E43" i="2" s="1"/>
  <c r="G173" i="2" l="1"/>
  <c r="H173" i="2"/>
  <c r="I173" i="2"/>
  <c r="J173" i="2"/>
  <c r="K173" i="2"/>
  <c r="K182" i="2" s="1"/>
  <c r="K77" i="2" s="1"/>
  <c r="G176" i="2"/>
  <c r="G182" i="2" s="1"/>
  <c r="H176" i="2"/>
  <c r="I176" i="2"/>
  <c r="J176" i="2"/>
  <c r="J182" i="2" s="1"/>
  <c r="K176" i="2"/>
  <c r="G179" i="2"/>
  <c r="H179" i="2"/>
  <c r="I179" i="2"/>
  <c r="J179" i="2"/>
  <c r="K179" i="2"/>
  <c r="H182" i="2" l="1"/>
  <c r="I182" i="2"/>
  <c r="I77" i="2"/>
  <c r="G77" i="2"/>
  <c r="J77" i="2"/>
  <c r="H77" i="2"/>
  <c r="G71" i="2" l="1"/>
  <c r="G68" i="2" s="1"/>
  <c r="H71" i="2"/>
  <c r="H68" i="2" s="1"/>
  <c r="I71" i="2"/>
  <c r="I68" i="2" s="1"/>
  <c r="J71" i="2"/>
  <c r="J68" i="2" s="1"/>
  <c r="K71" i="2"/>
  <c r="K68" i="2" s="1"/>
  <c r="G72" i="2"/>
  <c r="H72" i="2"/>
  <c r="I72" i="2"/>
  <c r="J72" i="2"/>
  <c r="K72" i="2"/>
  <c r="K69" i="2" l="1"/>
  <c r="K80" i="2"/>
  <c r="K99" i="2"/>
  <c r="H69" i="2"/>
  <c r="H80" i="2"/>
  <c r="I99" i="2"/>
  <c r="J69" i="2"/>
  <c r="J80" i="2"/>
  <c r="I69" i="2"/>
  <c r="I80" i="2"/>
  <c r="J99" i="2"/>
  <c r="G69" i="2"/>
  <c r="G80" i="2"/>
  <c r="H99" i="2"/>
  <c r="G99" i="2"/>
  <c r="J96" i="2" l="1"/>
  <c r="J97" i="2" s="1"/>
  <c r="J100" i="2"/>
  <c r="J83" i="2"/>
  <c r="J86" i="2" s="1"/>
  <c r="J81" i="2"/>
  <c r="I81" i="2"/>
  <c r="I83" i="2"/>
  <c r="I86" i="2"/>
  <c r="I96" i="2"/>
  <c r="I97" i="2" s="1"/>
  <c r="I100" i="2"/>
  <c r="H83" i="2"/>
  <c r="H86" i="2"/>
  <c r="H81" i="2"/>
  <c r="G96" i="2"/>
  <c r="G97" i="2" s="1"/>
  <c r="G100" i="2"/>
  <c r="K96" i="2"/>
  <c r="K100" i="2"/>
  <c r="H96" i="2"/>
  <c r="H97" i="2" s="1"/>
  <c r="H100" i="2"/>
  <c r="K81" i="2"/>
  <c r="K83" i="2"/>
  <c r="K86" i="2" s="1"/>
  <c r="G83" i="2"/>
  <c r="G86" i="2" s="1"/>
  <c r="G81" i="2"/>
  <c r="H133" i="2" l="1"/>
  <c r="H138" i="2" s="1"/>
  <c r="H87" i="2"/>
  <c r="J133" i="2"/>
  <c r="J138" i="2" s="1"/>
  <c r="J87" i="2"/>
  <c r="G87" i="2"/>
  <c r="G133" i="2"/>
  <c r="G138" i="2" s="1"/>
  <c r="I133" i="2"/>
  <c r="I138" i="2" s="1"/>
  <c r="I87" i="2"/>
  <c r="K97" i="2"/>
  <c r="K187" i="2"/>
  <c r="K189" i="2" s="1"/>
  <c r="K87" i="2"/>
  <c r="K133" i="2"/>
  <c r="K138" i="2" s="1"/>
  <c r="G150" i="2" l="1"/>
  <c r="G155" i="2" s="1"/>
  <c r="G156" i="2" s="1"/>
  <c r="H154" i="2" s="1"/>
  <c r="G160" i="2" l="1"/>
  <c r="G161" i="2" s="1"/>
  <c r="H159" i="2" s="1"/>
  <c r="G151" i="2"/>
  <c r="G165" i="2"/>
  <c r="H149" i="2" l="1"/>
  <c r="G166" i="2"/>
  <c r="G183" i="2" s="1"/>
  <c r="G167" i="2"/>
  <c r="H164" i="2" l="1"/>
  <c r="H150" i="2"/>
  <c r="H155" i="2" l="1"/>
  <c r="H156" i="2" s="1"/>
  <c r="I154" i="2" s="1"/>
  <c r="H151" i="2"/>
  <c r="I149" i="2" l="1"/>
  <c r="H160" i="2"/>
  <c r="H161" i="2" s="1"/>
  <c r="I159" i="2" s="1"/>
  <c r="H165" i="2"/>
  <c r="H166" i="2" l="1"/>
  <c r="H183" i="2" s="1"/>
  <c r="I164" i="2"/>
  <c r="I150" i="2"/>
  <c r="I151" i="2" s="1"/>
  <c r="J149" i="2" l="1"/>
  <c r="I155" i="2"/>
  <c r="I156" i="2" s="1"/>
  <c r="J154" i="2" s="1"/>
  <c r="H167" i="2"/>
  <c r="I160" i="2" l="1"/>
  <c r="I161" i="2" s="1"/>
  <c r="J159" i="2" s="1"/>
  <c r="I165" i="2"/>
  <c r="I166" i="2"/>
  <c r="I183" i="2" s="1"/>
  <c r="J164" i="2"/>
  <c r="J150" i="2"/>
  <c r="J155" i="2" l="1"/>
  <c r="J156" i="2" s="1"/>
  <c r="K154" i="2" s="1"/>
  <c r="J151" i="2"/>
  <c r="I167" i="2"/>
  <c r="J160" i="2" l="1"/>
  <c r="J161" i="2" s="1"/>
  <c r="K159" i="2" s="1"/>
  <c r="J166" i="2"/>
  <c r="J183" i="2" s="1"/>
  <c r="K149" i="2"/>
  <c r="J165" i="2"/>
  <c r="J167" i="2" s="1"/>
  <c r="K164" i="2" l="1"/>
  <c r="K150" i="2"/>
  <c r="K155" i="2" l="1"/>
  <c r="K156" i="2" s="1"/>
  <c r="K151" i="2"/>
  <c r="K160" i="2" l="1"/>
  <c r="K161" i="2" s="1"/>
  <c r="K166" i="2" s="1"/>
  <c r="K165" i="2"/>
  <c r="K190" i="2" l="1"/>
  <c r="K191" i="2" s="1"/>
  <c r="K195" i="2" s="1"/>
  <c r="K196" i="2" s="1"/>
  <c r="K6" i="2" s="1"/>
  <c r="K183" i="2"/>
  <c r="K16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Chon</author>
  </authors>
  <commentList>
    <comment ref="E14" authorId="0" shapeId="0" xr:uid="{61AAE173-14DE-B144-8E02-9AFC0B1B3C8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https://www.bamsec.com/filing/134100410001510?cik=1352801</t>
        </r>
      </text>
    </comment>
    <comment ref="E20" authorId="0" shapeId="0" xr:uid="{FACFC3B9-FEA5-8542-8079-D1239DB5109C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10K pg 72 - debt
10K pg 101 - current portion of capital lease
https://www.bamsec.com/filing/95012310081065?cik=1352801</t>
        </r>
      </text>
    </comment>
    <comment ref="E21" authorId="0" shapeId="0" xr:uid="{57225CCA-4348-E848-B60E-99FB7D0BFAAF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10K pg 72
https://www.bamsec.com/filing/95012310081065?cik=1352801</t>
        </r>
      </text>
    </comment>
    <comment ref="E22" authorId="0" shapeId="0" xr:uid="{6DB52319-69CB-D840-B5F1-22AFF35630B5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87
https://www.bamsec.com/filing/95012311027965?cik=1352801</t>
        </r>
      </text>
    </comment>
    <comment ref="E27" authorId="0" shapeId="0" xr:uid="{13B8AC96-B515-6E4F-91BD-1A41CB475264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105</t>
        </r>
      </text>
    </comment>
    <comment ref="E28" authorId="0" shapeId="0" xr:uid="{9ECFACAE-1F65-5E43-AAFF-142737A85D1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105</t>
        </r>
      </text>
    </comment>
    <comment ref="E29" authorId="0" shapeId="0" xr:uid="{AB47509D-030E-414C-8B0D-3EEA6D14741F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105</t>
        </r>
      </text>
    </comment>
    <comment ref="I39" authorId="0" shapeId="0" xr:uid="{7063802B-87E8-4C46-B2AA-2975942E0163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87</t>
        </r>
      </text>
    </comment>
    <comment ref="I41" authorId="0" shapeId="0" xr:uid="{9777C45F-932E-1941-8CF1-BA1823837BDE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To get to $1.56BN in sponsor equity, adding this extra line item
2011 10K pg 87</t>
        </r>
      </text>
    </comment>
    <comment ref="G56" authorId="0" shapeId="0" xr:uid="{492E7994-2050-D446-AA04-D38EEE89B395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PREM 14A pg 60</t>
        </r>
      </text>
    </comment>
    <comment ref="G74" authorId="0" shapeId="0" xr:uid="{C855057C-8CD1-DD48-B5AC-142318813072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PREM 14A pg 60</t>
        </r>
      </text>
    </comment>
    <comment ref="E92" authorId="0" shapeId="0" xr:uid="{FF88FBE7-9D9F-914B-8D84-3D421CC4A682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https://www.bamsec.com/filing/115752310005220?cik=1352801</t>
        </r>
      </text>
    </comment>
    <comment ref="G102" authorId="0" shapeId="0" xr:uid="{9B26CD1A-A8F9-774F-9A02-148F2AADCD4B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PREM14A pg 60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Chon</author>
  </authors>
  <commentList>
    <comment ref="E14" authorId="0" shapeId="0" xr:uid="{E880E967-FA3D-4597-8387-853B5A9AE5B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https://www.bamsec.com/filing/134100410001510?cik=1352801</t>
        </r>
      </text>
    </comment>
    <comment ref="E20" authorId="0" shapeId="0" xr:uid="{06A3A2AF-5928-4C5C-A8EE-81CA0A80B110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10K pg 72 - debt
10K pg 101 - current portion of capital lease
https://www.bamsec.com/filing/95012310081065?cik=1352801</t>
        </r>
      </text>
    </comment>
    <comment ref="E21" authorId="0" shapeId="0" xr:uid="{500B8AF0-4D78-4586-B91B-A5A5EF6E05A0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10K pg 72
https://www.bamsec.com/filing/95012310081065?cik=1352801</t>
        </r>
      </text>
    </comment>
    <comment ref="E22" authorId="0" shapeId="0" xr:uid="{7D90DFA5-B526-4AD6-9C5A-65C17E04A9B4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87
https://www.bamsec.com/filing/95012311027965?cik=1352801</t>
        </r>
      </text>
    </comment>
    <comment ref="E27" authorId="0" shapeId="0" xr:uid="{EDFC1549-6BB0-49EE-AA97-AF47D5D7E4C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105</t>
        </r>
      </text>
    </comment>
    <comment ref="E28" authorId="0" shapeId="0" xr:uid="{797D2075-0F16-4216-BE56-AE093C0C8C1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105</t>
        </r>
      </text>
    </comment>
    <comment ref="E29" authorId="0" shapeId="0" xr:uid="{02786B9A-C73A-459E-9ED7-9E0AE91BD7D8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105</t>
        </r>
      </text>
    </comment>
    <comment ref="I39" authorId="0" shapeId="0" xr:uid="{626AD7C9-7954-4CE3-9668-4F4067C06F34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87</t>
        </r>
      </text>
    </comment>
    <comment ref="I41" authorId="0" shapeId="0" xr:uid="{0E54A201-8FEB-47B1-B807-D8C8441F1FC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To get to $1.56BN in sponsor equity, adding this extra line item
2011 10K pg 87</t>
        </r>
      </text>
    </comment>
    <comment ref="G56" authorId="0" shapeId="0" xr:uid="{EDEC4252-E807-4052-BF83-0699A481C39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PREM 14A pg 60</t>
        </r>
      </text>
    </comment>
    <comment ref="G74" authorId="0" shapeId="0" xr:uid="{912C122C-B7C3-4C46-82BB-2958C588DBC2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PREM 14A pg 60</t>
        </r>
      </text>
    </comment>
    <comment ref="E92" authorId="0" shapeId="0" xr:uid="{4C481584-1529-4394-8752-CEB7AF9ED5CA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https://www.bamsec.com/filing/115752310005220?cik=1352801</t>
        </r>
      </text>
    </comment>
    <comment ref="G102" authorId="0" shapeId="0" xr:uid="{67DD15AA-6E86-48B5-9824-E4EE4AFF3AC4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PREM14A pg 60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Chon</author>
  </authors>
  <commentList>
    <comment ref="E7" authorId="0" shapeId="0" xr:uid="{2A3FF28F-39B0-4660-984C-0A1411D49BA4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88</t>
        </r>
      </text>
    </comment>
    <comment ref="E12" authorId="0" shapeId="0" xr:uid="{A8B2EABF-2AEC-4921-B885-EA48E9BAECC0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100</t>
        </r>
      </text>
    </comment>
    <comment ref="E14" authorId="0" shapeId="0" xr:uid="{10BA3376-8F18-44DE-9AD8-845B8AB3B526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88</t>
        </r>
      </text>
    </comment>
    <comment ref="C21" authorId="0" shapeId="0" xr:uid="{14CF317F-7C41-4C2C-89ED-C58194C3805C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99</t>
        </r>
      </text>
    </comment>
  </commentList>
</comments>
</file>

<file path=xl/sharedStrings.xml><?xml version="1.0" encoding="utf-8"?>
<sst xmlns="http://schemas.openxmlformats.org/spreadsheetml/2006/main" count="430" uniqueCount="189">
  <si>
    <t>Cover</t>
  </si>
  <si>
    <t>x</t>
  </si>
  <si>
    <t>Simple LBO Model</t>
  </si>
  <si>
    <t>Burger King Advanced LBO Model - Part 1</t>
  </si>
  <si>
    <t>Burger King Advanced LBO Model - Parts 2 and 3</t>
  </si>
  <si>
    <t>https://youtube.com/live/Q7qNxmxkm8o</t>
  </si>
  <si>
    <t>Videos Coming Later</t>
  </si>
  <si>
    <t>- Assumptions provided</t>
  </si>
  <si>
    <t>- Find all assumptions based on real tx figures</t>
  </si>
  <si>
    <t>- Revenue cases</t>
  </si>
  <si>
    <t>- Sources and uses table</t>
  </si>
  <si>
    <t>- Separate historicals tab</t>
  </si>
  <si>
    <t>- Basic operating model</t>
  </si>
  <si>
    <t>- Operating model with 2 scenarios</t>
  </si>
  <si>
    <t>- Forecasting cash flow statement</t>
  </si>
  <si>
    <t>- Basic debt schedule</t>
  </si>
  <si>
    <t>- Debt schedule with circuit breaker</t>
  </si>
  <si>
    <t>- Forecasting balance sheet</t>
  </si>
  <si>
    <t>- IRR calculations</t>
  </si>
  <si>
    <t>- Additional debt tranches (e.g. revolver)</t>
  </si>
  <si>
    <t>- Mandatory debt repayments</t>
  </si>
  <si>
    <t>- PIK</t>
  </si>
  <si>
    <t>- Cash sweep</t>
  </si>
  <si>
    <t>- LIBOR</t>
  </si>
  <si>
    <t>- Amortization of financing fees</t>
  </si>
  <si>
    <t>- Sensitivity tables</t>
  </si>
  <si>
    <t>- Adding a DCF</t>
  </si>
  <si>
    <t>Sign up for my NEW discord channel</t>
  </si>
  <si>
    <t>Sign up for my investment banking course</t>
  </si>
  <si>
    <t>https://forms.gle/wt4cZrezbxVgNzGUA</t>
  </si>
  <si>
    <t>Private Equity Video Playlist</t>
  </si>
  <si>
    <t>https://www.youtube.com/playlist?list=PL71QplJWp1Rrm0dkWjjIY2cf4jTYSU0t2</t>
  </si>
  <si>
    <t>Paper LBO Tutorial</t>
  </si>
  <si>
    <t>https://youtu.be/iS0isM0f2z8</t>
  </si>
  <si>
    <t>Simple LBO Tutorial</t>
  </si>
  <si>
    <t>https://youtu.be/zeCfu5g0Uis</t>
  </si>
  <si>
    <t>DCF Beginner's Tutorial</t>
  </si>
  <si>
    <t>https://youtu.be/nyot7FkYoqM</t>
  </si>
  <si>
    <t>Excel Shortcuts for Finance and Modeling</t>
  </si>
  <si>
    <t>https://youtu.be/oDjhg57XH-A</t>
  </si>
  <si>
    <t>rareliquid (AKA the guy who created this model)</t>
  </si>
  <si>
    <t>YouTube</t>
  </si>
  <si>
    <t>https://www.youtube.com/@rareliquid</t>
  </si>
  <si>
    <t>Instagram</t>
  </si>
  <si>
    <t>https://www.instagram.com/rareliquid</t>
  </si>
  <si>
    <t>TikTok</t>
  </si>
  <si>
    <t>https://www.tiktok.com/@rareliquid</t>
  </si>
  <si>
    <t>Twitter</t>
  </si>
  <si>
    <t>https://www.twitter.com/rareliquid</t>
  </si>
  <si>
    <t>LinkedIn</t>
  </si>
  <si>
    <t>https://www.linkedin.com/in/benchon</t>
  </si>
  <si>
    <t>LBO</t>
  </si>
  <si>
    <t>Assumptions</t>
  </si>
  <si>
    <t>Switches</t>
  </si>
  <si>
    <t>Circuit breaker</t>
  </si>
  <si>
    <t>Case</t>
  </si>
  <si>
    <t>Transaction Background</t>
  </si>
  <si>
    <t>Valuation at Entry</t>
  </si>
  <si>
    <t>Company name</t>
  </si>
  <si>
    <t>Ticker</t>
  </si>
  <si>
    <t>Latest closing share price</t>
  </si>
  <si>
    <t>Latest closing share price date</t>
  </si>
  <si>
    <t>Burger King</t>
  </si>
  <si>
    <t>BKC</t>
  </si>
  <si>
    <t>Offer value / share</t>
  </si>
  <si>
    <t>% Premium / discount</t>
  </si>
  <si>
    <t>Offer value (Equity value)</t>
  </si>
  <si>
    <t>Diluted shares outstanding</t>
  </si>
  <si>
    <t>Debt</t>
  </si>
  <si>
    <t>Cash</t>
  </si>
  <si>
    <t>Enterprise Value</t>
  </si>
  <si>
    <t>LTM EBITDA</t>
  </si>
  <si>
    <t>Entry Multiple</t>
  </si>
  <si>
    <t>Transaction Financials and Assumptions</t>
  </si>
  <si>
    <t>Minimum Cash</t>
  </si>
  <si>
    <t>Exit Multiple</t>
  </si>
  <si>
    <t>Capital Structure</t>
  </si>
  <si>
    <t>Secured term loan - USD tranche</t>
  </si>
  <si>
    <t>Secured term loan - EUR tranche</t>
  </si>
  <si>
    <t>Senior notes</t>
  </si>
  <si>
    <t>Amount</t>
  </si>
  <si>
    <t>xEBITDA</t>
  </si>
  <si>
    <t>Interest (%)</t>
  </si>
  <si>
    <t>Fees (%)</t>
  </si>
  <si>
    <t>Fee ($)</t>
  </si>
  <si>
    <t>Term</t>
  </si>
  <si>
    <t>Amortization</t>
  </si>
  <si>
    <t>Total</t>
  </si>
  <si>
    <t>Diluted Share Count Calculation</t>
  </si>
  <si>
    <t>Full Diluted Shares</t>
  </si>
  <si>
    <t>Offer price</t>
  </si>
  <si>
    <t>Basic shares outstanding (latest filing)</t>
  </si>
  <si>
    <t>In-the-money exercisable options</t>
  </si>
  <si>
    <t>Total proceeds ($mm)</t>
  </si>
  <si>
    <t>Total shares repurchased (mm)</t>
  </si>
  <si>
    <t>Net dilutive options</t>
  </si>
  <si>
    <t xml:space="preserve">Dilutive impact of shares from other securities </t>
  </si>
  <si>
    <t>Settled stock based comp</t>
  </si>
  <si>
    <t>Net diluted shares outstanding</t>
  </si>
  <si>
    <t>Options outstanding</t>
  </si>
  <si>
    <t>Outstanding</t>
  </si>
  <si>
    <t>Exercise price</t>
  </si>
  <si>
    <t>Dilutive Shares</t>
  </si>
  <si>
    <t>Sources and Uses</t>
  </si>
  <si>
    <t>Sources</t>
  </si>
  <si>
    <t>Uses</t>
  </si>
  <si>
    <t>Cash on hand</t>
  </si>
  <si>
    <t>Sponsor equity</t>
  </si>
  <si>
    <t>% Capital</t>
  </si>
  <si>
    <t>Equity payment</t>
  </si>
  <si>
    <t>Debt refinancing</t>
  </si>
  <si>
    <t>Transaction fees</t>
  </si>
  <si>
    <t>Financing fees</t>
  </si>
  <si>
    <t>Other</t>
  </si>
  <si>
    <t>Financials (6/30 FYE)</t>
  </si>
  <si>
    <t>Operating Model</t>
  </si>
  <si>
    <t>Revenue</t>
  </si>
  <si>
    <t>% growth</t>
  </si>
  <si>
    <t>COGS</t>
  </si>
  <si>
    <t>% of sales</t>
  </si>
  <si>
    <t>Gross Profit</t>
  </si>
  <si>
    <t>OpEx</t>
  </si>
  <si>
    <t>EBIT</t>
  </si>
  <si>
    <t>EBIT - Conservative</t>
  </si>
  <si>
    <t>EBIT - Management</t>
  </si>
  <si>
    <t>Interest Expense</t>
  </si>
  <si>
    <t>Interest Income</t>
  </si>
  <si>
    <t>EBT</t>
  </si>
  <si>
    <t>Taxes</t>
  </si>
  <si>
    <t>% tax rate</t>
  </si>
  <si>
    <t>Net Income</t>
  </si>
  <si>
    <t>--</t>
  </si>
  <si>
    <t>Revenue growth</t>
  </si>
  <si>
    <t>Gross margin</t>
  </si>
  <si>
    <t>Tax rate</t>
  </si>
  <si>
    <t>IRR (for reference)</t>
  </si>
  <si>
    <t>Step</t>
  </si>
  <si>
    <t>OpEx margin</t>
  </si>
  <si>
    <t>EBITDA Reconciliation</t>
  </si>
  <si>
    <t>D&amp;A</t>
  </si>
  <si>
    <t>Adjustments</t>
  </si>
  <si>
    <t>EBITDA</t>
  </si>
  <si>
    <t>EBITDA - Conservative</t>
  </si>
  <si>
    <t>EBITDA - Management</t>
  </si>
  <si>
    <t>Cash Flow Items</t>
  </si>
  <si>
    <t>Current Operating Assets</t>
  </si>
  <si>
    <t>Trade and notes receivable</t>
  </si>
  <si>
    <t>Prepaids and other current assets</t>
  </si>
  <si>
    <t>Accounts and drafts payable</t>
  </si>
  <si>
    <t>Accrued advertising</t>
  </si>
  <si>
    <t>Other accrued liabilities</t>
  </si>
  <si>
    <t>Curernt Operating Liabilities</t>
  </si>
  <si>
    <t>Note</t>
  </si>
  <si>
    <t>Negative on cfs for assets = outflow of cash</t>
  </si>
  <si>
    <t>Positive on cfs for assets = inflow of cash</t>
  </si>
  <si>
    <t>Negative on cfs for liabilities = inflow of cash</t>
  </si>
  <si>
    <t>Positive on cfs for liabilities = outflow of cash</t>
  </si>
  <si>
    <t>Change in Net Working Capital</t>
  </si>
  <si>
    <t>D&amp;A - Conservative</t>
  </si>
  <si>
    <t>D&amp;A - Management</t>
  </si>
  <si>
    <t>Levered Free Cash Flow</t>
  </si>
  <si>
    <t>CapEx</t>
  </si>
  <si>
    <t>Change in NWC</t>
  </si>
  <si>
    <t>Mandatory Debt Repayments</t>
  </si>
  <si>
    <t>Debt Schedule</t>
  </si>
  <si>
    <t>Debt Paydown</t>
  </si>
  <si>
    <t>Beginning Balance</t>
  </si>
  <si>
    <t>Inflow / (Outflow)</t>
  </si>
  <si>
    <t>Ending Balance</t>
  </si>
  <si>
    <t>Paydown</t>
  </si>
  <si>
    <t>Total Debt</t>
  </si>
  <si>
    <t>CHECK</t>
  </si>
  <si>
    <t>Interest</t>
  </si>
  <si>
    <t>Interest income rate</t>
  </si>
  <si>
    <t>Interest rate</t>
  </si>
  <si>
    <t>Total interest expense</t>
  </si>
  <si>
    <t>Blended interest rate</t>
  </si>
  <si>
    <t xml:space="preserve">IRR </t>
  </si>
  <si>
    <t>LTM EBITDA at Exit</t>
  </si>
  <si>
    <t>Net Debt</t>
  </si>
  <si>
    <t>Sponsor Equity Value</t>
  </si>
  <si>
    <t>Sponsor Equity at Entry</t>
  </si>
  <si>
    <t>MOIC</t>
  </si>
  <si>
    <t>IRR</t>
  </si>
  <si>
    <t>https://discord.gg/AHnxBUGTwt</t>
  </si>
  <si>
    <t>https://youtube.com/live/1ZJsA_tjQNc</t>
  </si>
  <si>
    <t>^This model is for this video, so click for the tutorial</t>
  </si>
  <si>
    <t>Links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</si>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</sst>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m/d/yyyy_)"/>
    <numFmt numFmtId="165" formatCode="#,##0.0_);\(#,##0.0\)"/>
    <numFmt numFmtId="166" formatCode="0.0%"/>
    <numFmt numFmtId="167" formatCode="0\ &quot;yrs&quot;"/>
    <numFmt numFmtId="168" formatCode="#,##0.0_);\(#,##0.0\);@_)"/>
    <numFmt numFmtId="169" formatCode="&quot;Tranche&quot;\ 0"/>
    <numFmt numFmtId="170" formatCode="0&quot;A&quot;"/>
    <numFmt numFmtId="171" formatCode="0&quot;E&quot;"/>
    <numFmt numFmtId="172" formatCode="0.0%_);\(0.0%\);@_)"/>
    <numFmt numFmtId="173" formatCode="0.00%_);\(0.00%\);@_)"/>
    <numFmt numFmtId="174" formatCode="0.0\x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color rgb="FF000000"/>
      <name val="Times New Roman"/>
      <family val="1"/>
    </font>
    <font>
      <i/>
      <sz val="1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2" fillId="2" borderId="0" xfId="0" applyFont="1" applyFill="1"/>
    <xf numFmtId="0" fontId="6" fillId="0" borderId="0" xfId="2"/>
    <xf numFmtId="0" fontId="0" fillId="0" borderId="0" xfId="0" quotePrefix="1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0" fillId="0" borderId="0" xfId="0" applyAlignment="1">
      <alignment horizontal="left" indent="1"/>
    </xf>
    <xf numFmtId="9" fontId="0" fillId="0" borderId="0" xfId="1" applyFont="1"/>
    <xf numFmtId="9" fontId="8" fillId="0" borderId="0" xfId="1" applyFont="1"/>
    <xf numFmtId="39" fontId="9" fillId="4" borderId="2" xfId="0" applyNumberFormat="1" applyFont="1" applyFill="1" applyBorder="1" applyAlignment="1">
      <alignment horizontal="right"/>
    </xf>
    <xf numFmtId="164" fontId="9" fillId="4" borderId="2" xfId="0" applyNumberFormat="1" applyFont="1" applyFill="1" applyBorder="1" applyAlignment="1">
      <alignment horizontal="right"/>
    </xf>
    <xf numFmtId="165" fontId="9" fillId="4" borderId="2" xfId="0" applyNumberFormat="1" applyFont="1" applyFill="1" applyBorder="1" applyAlignment="1">
      <alignment horizontal="right"/>
    </xf>
    <xf numFmtId="37" fontId="9" fillId="4" borderId="2" xfId="0" applyNumberFormat="1" applyFont="1" applyFill="1" applyBorder="1" applyAlignment="1">
      <alignment horizontal="right"/>
    </xf>
    <xf numFmtId="0" fontId="12" fillId="0" borderId="0" xfId="0" applyFont="1" applyAlignment="1">
      <alignment horizontal="right"/>
    </xf>
    <xf numFmtId="37" fontId="9" fillId="0" borderId="0" xfId="0" applyNumberFormat="1" applyFont="1" applyAlignment="1">
      <alignment horizontal="right"/>
    </xf>
    <xf numFmtId="37" fontId="13" fillId="0" borderId="0" xfId="0" applyNumberFormat="1" applyFont="1" applyAlignment="1">
      <alignment horizontal="right"/>
    </xf>
    <xf numFmtId="166" fontId="8" fillId="0" borderId="0" xfId="1" applyNumberFormat="1" applyFont="1"/>
    <xf numFmtId="166" fontId="14" fillId="0" borderId="0" xfId="1" applyNumberFormat="1" applyFont="1"/>
    <xf numFmtId="167" fontId="7" fillId="0" borderId="0" xfId="0" applyNumberFormat="1" applyFont="1"/>
    <xf numFmtId="37" fontId="0" fillId="0" borderId="0" xfId="0" applyNumberFormat="1"/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centerContinuous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68" fontId="17" fillId="0" borderId="0" xfId="0" applyNumberFormat="1" applyFont="1"/>
    <xf numFmtId="168" fontId="0" fillId="0" borderId="0" xfId="0" applyNumberFormat="1"/>
    <xf numFmtId="168" fontId="7" fillId="0" borderId="0" xfId="0" applyNumberFormat="1" applyFont="1"/>
    <xf numFmtId="0" fontId="3" fillId="0" borderId="0" xfId="0" applyFont="1" applyAlignment="1">
      <alignment horizontal="left"/>
    </xf>
    <xf numFmtId="165" fontId="0" fillId="0" borderId="0" xfId="0" applyNumberFormat="1"/>
    <xf numFmtId="168" fontId="3" fillId="0" borderId="0" xfId="0" applyNumberFormat="1" applyFont="1"/>
    <xf numFmtId="169" fontId="0" fillId="0" borderId="0" xfId="0" applyNumberFormat="1" applyAlignment="1">
      <alignment horizontal="left"/>
    </xf>
    <xf numFmtId="2" fontId="0" fillId="0" borderId="0" xfId="0" applyNumberFormat="1" applyAlignment="1">
      <alignment horizontal="right" indent="1"/>
    </xf>
    <xf numFmtId="0" fontId="0" fillId="0" borderId="0" xfId="0" applyAlignment="1">
      <alignment horizontal="right" indent="1"/>
    </xf>
    <xf numFmtId="169" fontId="0" fillId="0" borderId="1" xfId="0" applyNumberFormat="1" applyBorder="1" applyAlignment="1">
      <alignment horizontal="left"/>
    </xf>
    <xf numFmtId="165" fontId="9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 indent="1"/>
    </xf>
    <xf numFmtId="0" fontId="3" fillId="5" borderId="3" xfId="0" applyFont="1" applyFill="1" applyBorder="1"/>
    <xf numFmtId="0" fontId="3" fillId="5" borderId="4" xfId="0" applyFont="1" applyFill="1" applyBorder="1"/>
    <xf numFmtId="2" fontId="3" fillId="5" borderId="5" xfId="0" applyNumberFormat="1" applyFont="1" applyFill="1" applyBorder="1" applyAlignment="1">
      <alignment horizontal="right" indent="1"/>
    </xf>
    <xf numFmtId="39" fontId="18" fillId="4" borderId="2" xfId="0" applyNumberFormat="1" applyFont="1" applyFill="1" applyBorder="1" applyAlignment="1">
      <alignment horizontal="right"/>
    </xf>
    <xf numFmtId="39" fontId="0" fillId="0" borderId="0" xfId="0" applyNumberFormat="1"/>
    <xf numFmtId="37" fontId="18" fillId="0" borderId="0" xfId="0" applyNumberFormat="1" applyFont="1" applyAlignment="1">
      <alignment horizontal="right"/>
    </xf>
    <xf numFmtId="37" fontId="15" fillId="0" borderId="0" xfId="0" applyNumberFormat="1" applyFont="1" applyAlignment="1">
      <alignment horizontal="right"/>
    </xf>
    <xf numFmtId="39" fontId="19" fillId="4" borderId="2" xfId="0" applyNumberFormat="1" applyFont="1" applyFill="1" applyBorder="1" applyAlignment="1">
      <alignment horizontal="right"/>
    </xf>
    <xf numFmtId="37" fontId="17" fillId="0" borderId="0" xfId="0" applyNumberFormat="1" applyFont="1" applyAlignment="1">
      <alignment horizontal="right"/>
    </xf>
    <xf numFmtId="37" fontId="3" fillId="0" borderId="0" xfId="0" applyNumberFormat="1" applyFont="1"/>
    <xf numFmtId="37" fontId="13" fillId="0" borderId="0" xfId="0" applyNumberFormat="1" applyFont="1"/>
    <xf numFmtId="37" fontId="17" fillId="0" borderId="0" xfId="0" applyNumberFormat="1" applyFont="1"/>
    <xf numFmtId="37" fontId="7" fillId="0" borderId="0" xfId="0" applyNumberFormat="1" applyFont="1"/>
    <xf numFmtId="170" fontId="2" fillId="3" borderId="0" xfId="0" applyNumberFormat="1" applyFont="1" applyFill="1"/>
    <xf numFmtId="171" fontId="2" fillId="3" borderId="0" xfId="0" applyNumberFormat="1" applyFont="1" applyFill="1"/>
    <xf numFmtId="4" fontId="0" fillId="0" borderId="0" xfId="0" applyNumberFormat="1"/>
    <xf numFmtId="0" fontId="20" fillId="6" borderId="0" xfId="0" applyFont="1" applyFill="1" applyAlignment="1">
      <alignment horizontal="left"/>
    </xf>
    <xf numFmtId="0" fontId="20" fillId="6" borderId="0" xfId="0" applyFont="1" applyFill="1" applyAlignment="1">
      <alignment vertical="center" wrapText="1"/>
    </xf>
    <xf numFmtId="172" fontId="21" fillId="4" borderId="2" xfId="1" applyNumberFormat="1" applyFont="1" applyFill="1" applyBorder="1" applyAlignment="1">
      <alignment horizontal="right"/>
    </xf>
    <xf numFmtId="172" fontId="21" fillId="4" borderId="2" xfId="1" quotePrefix="1" applyNumberFormat="1" applyFont="1" applyFill="1" applyBorder="1" applyAlignment="1">
      <alignment horizontal="right"/>
    </xf>
    <xf numFmtId="172" fontId="22" fillId="0" borderId="0" xfId="0" quotePrefix="1" applyNumberFormat="1" applyFont="1" applyAlignment="1">
      <alignment horizontal="right"/>
    </xf>
    <xf numFmtId="172" fontId="21" fillId="0" borderId="0" xfId="0" quotePrefix="1" applyNumberFormat="1" applyFont="1" applyAlignment="1">
      <alignment horizontal="right"/>
    </xf>
    <xf numFmtId="0" fontId="20" fillId="0" borderId="0" xfId="0" applyFont="1" applyAlignment="1">
      <alignment horizontal="left"/>
    </xf>
    <xf numFmtId="0" fontId="20" fillId="0" borderId="0" xfId="0" applyFont="1" applyAlignment="1">
      <alignment vertical="center" wrapText="1"/>
    </xf>
    <xf numFmtId="172" fontId="23" fillId="4" borderId="2" xfId="1" applyNumberFormat="1" applyFont="1" applyFill="1" applyBorder="1" applyAlignment="1">
      <alignment horizontal="right"/>
    </xf>
    <xf numFmtId="171" fontId="2" fillId="3" borderId="0" xfId="0" applyNumberFormat="1" applyFont="1" applyFill="1" applyAlignment="1">
      <alignment horizontal="center"/>
    </xf>
    <xf numFmtId="173" fontId="21" fillId="4" borderId="2" xfId="1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5" borderId="6" xfId="0" applyFont="1" applyFill="1" applyBorder="1"/>
    <xf numFmtId="0" fontId="3" fillId="5" borderId="7" xfId="0" applyFont="1" applyFill="1" applyBorder="1"/>
    <xf numFmtId="37" fontId="24" fillId="5" borderId="7" xfId="0" applyNumberFormat="1" applyFont="1" applyFill="1" applyBorder="1"/>
    <xf numFmtId="37" fontId="3" fillId="5" borderId="7" xfId="0" applyNumberFormat="1" applyFont="1" applyFill="1" applyBorder="1"/>
    <xf numFmtId="37" fontId="3" fillId="5" borderId="8" xfId="0" applyNumberFormat="1" applyFont="1" applyFill="1" applyBorder="1"/>
    <xf numFmtId="0" fontId="3" fillId="5" borderId="9" xfId="0" applyFont="1" applyFill="1" applyBorder="1" applyAlignment="1">
      <alignment horizontal="left" indent="1"/>
    </xf>
    <xf numFmtId="0" fontId="3" fillId="5" borderId="1" xfId="0" applyFont="1" applyFill="1" applyBorder="1"/>
    <xf numFmtId="172" fontId="25" fillId="5" borderId="1" xfId="0" quotePrefix="1" applyNumberFormat="1" applyFont="1" applyFill="1" applyBorder="1" applyAlignment="1">
      <alignment horizontal="right"/>
    </xf>
    <xf numFmtId="172" fontId="25" fillId="5" borderId="10" xfId="0" quotePrefix="1" applyNumberFormat="1" applyFont="1" applyFill="1" applyBorder="1" applyAlignment="1">
      <alignment horizontal="right"/>
    </xf>
    <xf numFmtId="0" fontId="8" fillId="0" borderId="0" xfId="0" applyFont="1" applyAlignment="1">
      <alignment horizontal="left" indent="1"/>
    </xf>
    <xf numFmtId="0" fontId="26" fillId="5" borderId="9" xfId="0" applyFont="1" applyFill="1" applyBorder="1" applyAlignment="1">
      <alignment horizontal="left" indent="1"/>
    </xf>
    <xf numFmtId="0" fontId="0" fillId="5" borderId="7" xfId="0" applyFill="1" applyBorder="1"/>
    <xf numFmtId="0" fontId="0" fillId="5" borderId="1" xfId="0" applyFill="1" applyBorder="1"/>
    <xf numFmtId="0" fontId="12" fillId="0" borderId="0" xfId="0" applyFont="1"/>
    <xf numFmtId="37" fontId="7" fillId="0" borderId="1" xfId="0" applyNumberFormat="1" applyFont="1" applyBorder="1"/>
    <xf numFmtId="37" fontId="17" fillId="4" borderId="2" xfId="0" applyNumberFormat="1" applyFont="1" applyFill="1" applyBorder="1" applyAlignment="1">
      <alignment horizontal="right"/>
    </xf>
    <xf numFmtId="174" fontId="0" fillId="0" borderId="0" xfId="0" applyNumberFormat="1"/>
    <xf numFmtId="174" fontId="17" fillId="4" borderId="2" xfId="0" applyNumberFormat="1" applyFont="1" applyFill="1" applyBorder="1" applyAlignment="1">
      <alignment horizontal="right"/>
    </xf>
    <xf numFmtId="37" fontId="3" fillId="5" borderId="4" xfId="0" applyNumberFormat="1" applyFont="1" applyFill="1" applyBorder="1"/>
    <xf numFmtId="174" fontId="3" fillId="5" borderId="4" xfId="0" applyNumberFormat="1" applyFont="1" applyFill="1" applyBorder="1"/>
    <xf numFmtId="37" fontId="15" fillId="5" borderId="4" xfId="0" applyNumberFormat="1" applyFont="1" applyFill="1" applyBorder="1" applyAlignment="1">
      <alignment horizontal="right"/>
    </xf>
    <xf numFmtId="37" fontId="15" fillId="5" borderId="5" xfId="0" applyNumberFormat="1" applyFont="1" applyFill="1" applyBorder="1" applyAlignment="1">
      <alignment horizontal="right"/>
    </xf>
    <xf numFmtId="9" fontId="3" fillId="5" borderId="5" xfId="1" applyFont="1" applyFill="1" applyBorder="1"/>
    <xf numFmtId="37" fontId="27" fillId="0" borderId="0" xfId="0" applyNumberFormat="1" applyFont="1"/>
    <xf numFmtId="172" fontId="22" fillId="0" borderId="0" xfId="0" applyNumberFormat="1" applyFont="1"/>
    <xf numFmtId="172" fontId="26" fillId="5" borderId="1" xfId="0" applyNumberFormat="1" applyFont="1" applyFill="1" applyBorder="1"/>
    <xf numFmtId="172" fontId="28" fillId="5" borderId="1" xfId="0" applyNumberFormat="1" applyFont="1" applyFill="1" applyBorder="1"/>
    <xf numFmtId="172" fontId="28" fillId="5" borderId="10" xfId="0" applyNumberFormat="1" applyFont="1" applyFill="1" applyBorder="1"/>
    <xf numFmtId="0" fontId="0" fillId="5" borderId="8" xfId="0" applyFill="1" applyBorder="1"/>
    <xf numFmtId="37" fontId="27" fillId="5" borderId="7" xfId="0" applyNumberFormat="1" applyFont="1" applyFill="1" applyBorder="1"/>
    <xf numFmtId="37" fontId="15" fillId="0" borderId="0" xfId="0" applyNumberFormat="1" applyFont="1"/>
    <xf numFmtId="37" fontId="15" fillId="5" borderId="7" xfId="0" applyNumberFormat="1" applyFont="1" applyFill="1" applyBorder="1"/>
    <xf numFmtId="37" fontId="15" fillId="5" borderId="8" xfId="0" applyNumberFormat="1" applyFont="1" applyFill="1" applyBorder="1"/>
    <xf numFmtId="172" fontId="30" fillId="5" borderId="1" xfId="0" applyNumberFormat="1" applyFont="1" applyFill="1" applyBorder="1"/>
    <xf numFmtId="0" fontId="3" fillId="0" borderId="0" xfId="0" applyFont="1" applyAlignment="1">
      <alignment horizontal="left" indent="1"/>
    </xf>
    <xf numFmtId="0" fontId="12" fillId="5" borderId="6" xfId="0" applyFont="1" applyFill="1" applyBorder="1"/>
    <xf numFmtId="0" fontId="0" fillId="5" borderId="11" xfId="0" applyFill="1" applyBorder="1" applyAlignment="1">
      <alignment horizontal="left" indent="1"/>
    </xf>
    <xf numFmtId="0" fontId="0" fillId="5" borderId="0" xfId="0" applyFill="1"/>
    <xf numFmtId="37" fontId="0" fillId="5" borderId="0" xfId="0" applyNumberFormat="1" applyFill="1"/>
    <xf numFmtId="37" fontId="0" fillId="5" borderId="12" xfId="0" applyNumberFormat="1" applyFill="1" applyBorder="1"/>
    <xf numFmtId="37" fontId="3" fillId="5" borderId="1" xfId="0" applyNumberFormat="1" applyFont="1" applyFill="1" applyBorder="1"/>
    <xf numFmtId="37" fontId="3" fillId="5" borderId="10" xfId="0" applyNumberFormat="1" applyFont="1" applyFill="1" applyBorder="1"/>
    <xf numFmtId="0" fontId="23" fillId="0" borderId="0" xfId="0" applyFont="1"/>
    <xf numFmtId="0" fontId="23" fillId="0" borderId="0" xfId="0" applyFont="1" applyAlignment="1">
      <alignment horizontal="right"/>
    </xf>
    <xf numFmtId="37" fontId="29" fillId="0" borderId="0" xfId="0" applyNumberFormat="1" applyFont="1"/>
    <xf numFmtId="166" fontId="22" fillId="0" borderId="0" xfId="0" applyNumberFormat="1" applyFont="1"/>
    <xf numFmtId="174" fontId="15" fillId="5" borderId="8" xfId="0" applyNumberFormat="1" applyFont="1" applyFill="1" applyBorder="1"/>
    <xf numFmtId="0" fontId="3" fillId="5" borderId="9" xfId="0" applyFont="1" applyFill="1" applyBorder="1"/>
    <xf numFmtId="166" fontId="3" fillId="5" borderId="10" xfId="1" applyNumberFormat="1" applyFont="1" applyFill="1" applyBorder="1"/>
    <xf numFmtId="174" fontId="17" fillId="0" borderId="1" xfId="0" applyNumberFormat="1" applyFont="1" applyBorder="1"/>
    <xf numFmtId="0" fontId="3" fillId="0" borderId="3" xfId="0" applyFont="1" applyBorder="1"/>
    <xf numFmtId="0" fontId="3" fillId="0" borderId="4" xfId="0" applyFont="1" applyBorder="1"/>
    <xf numFmtId="37" fontId="3" fillId="0" borderId="5" xfId="0" applyNumberFormat="1" applyFont="1" applyBorder="1"/>
    <xf numFmtId="166" fontId="3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youtube.com/live/1ZJsA_tjQNc" TargetMode="External"/><Relationship Id="rId1" Type="http://schemas.openxmlformats.org/officeDocument/2006/relationships/hyperlink" Target="https://discord.gg/AHnxBUGTw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30F07-0EC9-40B6-A51F-9605B13E61C3}">
  <dimension ref="A2:R35"/>
  <sheetViews>
    <sheetView showGridLines="0" tabSelected="1" zoomScaleNormal="100" workbookViewId="0"/>
  </sheetViews>
  <sheetFormatPr baseColWidth="10" defaultColWidth="8.83203125" defaultRowHeight="15" x14ac:dyDescent="0.2"/>
  <cols>
    <col min="1" max="1" width="3.6640625" style="4" customWidth="1"/>
  </cols>
  <sheetData>
    <row r="2" spans="1:18" s="3" customFormat="1" ht="21" x14ac:dyDescent="0.25">
      <c r="A2" s="1"/>
      <c r="B2" s="2" t="s">
        <v>0</v>
      </c>
    </row>
    <row r="4" spans="1:18" x14ac:dyDescent="0.2">
      <c r="A4" s="4" t="s">
        <v>1</v>
      </c>
      <c r="B4" s="5" t="s">
        <v>2</v>
      </c>
      <c r="C4" s="5"/>
      <c r="D4" s="5"/>
      <c r="E4" s="5"/>
      <c r="F4" s="5"/>
      <c r="H4" s="5" t="s">
        <v>3</v>
      </c>
      <c r="I4" s="5"/>
      <c r="J4" s="5"/>
      <c r="K4" s="5"/>
      <c r="L4" s="5"/>
      <c r="N4" s="5" t="s">
        <v>4</v>
      </c>
      <c r="O4" s="5"/>
      <c r="P4" s="5"/>
      <c r="Q4" s="5"/>
      <c r="R4" s="5"/>
    </row>
    <row r="5" spans="1:18" x14ac:dyDescent="0.2">
      <c r="B5" s="6" t="s">
        <v>5</v>
      </c>
      <c r="H5" s="6" t="s">
        <v>185</v>
      </c>
      <c r="N5" s="6" t="s">
        <v>6</v>
      </c>
    </row>
    <row r="6" spans="1:18" x14ac:dyDescent="0.2">
      <c r="B6" s="7" t="s">
        <v>7</v>
      </c>
      <c r="H6" s="7" t="s">
        <v>8</v>
      </c>
      <c r="N6" s="7" t="s">
        <v>9</v>
      </c>
    </row>
    <row r="7" spans="1:18" x14ac:dyDescent="0.2">
      <c r="B7" s="7" t="s">
        <v>10</v>
      </c>
      <c r="H7" s="7" t="s">
        <v>10</v>
      </c>
      <c r="N7" s="7" t="s">
        <v>11</v>
      </c>
    </row>
    <row r="8" spans="1:18" x14ac:dyDescent="0.2">
      <c r="B8" s="7" t="s">
        <v>12</v>
      </c>
      <c r="H8" s="7" t="s">
        <v>13</v>
      </c>
      <c r="N8" s="7" t="s">
        <v>14</v>
      </c>
    </row>
    <row r="9" spans="1:18" x14ac:dyDescent="0.2">
      <c r="B9" s="7" t="s">
        <v>15</v>
      </c>
      <c r="H9" s="7" t="s">
        <v>16</v>
      </c>
      <c r="N9" s="7" t="s">
        <v>17</v>
      </c>
    </row>
    <row r="10" spans="1:18" x14ac:dyDescent="0.2">
      <c r="B10" s="7" t="s">
        <v>18</v>
      </c>
      <c r="H10" s="7" t="s">
        <v>18</v>
      </c>
      <c r="N10" s="7" t="s">
        <v>19</v>
      </c>
    </row>
    <row r="11" spans="1:18" x14ac:dyDescent="0.2">
      <c r="N11" s="7" t="s">
        <v>20</v>
      </c>
    </row>
    <row r="12" spans="1:18" x14ac:dyDescent="0.2">
      <c r="H12" t="s">
        <v>186</v>
      </c>
      <c r="N12" s="7" t="s">
        <v>21</v>
      </c>
    </row>
    <row r="13" spans="1:18" x14ac:dyDescent="0.2">
      <c r="N13" s="7" t="s">
        <v>22</v>
      </c>
    </row>
    <row r="14" spans="1:18" x14ac:dyDescent="0.2">
      <c r="N14" s="7" t="s">
        <v>23</v>
      </c>
    </row>
    <row r="15" spans="1:18" x14ac:dyDescent="0.2">
      <c r="N15" s="7" t="s">
        <v>24</v>
      </c>
    </row>
    <row r="16" spans="1:18" x14ac:dyDescent="0.2">
      <c r="N16" s="7" t="s">
        <v>25</v>
      </c>
    </row>
    <row r="17" spans="1:18" x14ac:dyDescent="0.2">
      <c r="N17" s="7" t="s">
        <v>26</v>
      </c>
    </row>
    <row r="19" spans="1:18" x14ac:dyDescent="0.2">
      <c r="A19" s="4" t="s">
        <v>1</v>
      </c>
      <c r="B19" s="5" t="s">
        <v>187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">
      <c r="B20" t="s">
        <v>27</v>
      </c>
      <c r="G20" s="6" t="s">
        <v>184</v>
      </c>
    </row>
    <row r="21" spans="1:18" x14ac:dyDescent="0.2">
      <c r="B21" t="s">
        <v>28</v>
      </c>
      <c r="G21" s="6" t="s">
        <v>29</v>
      </c>
    </row>
    <row r="23" spans="1:18" x14ac:dyDescent="0.2">
      <c r="B23" t="s">
        <v>30</v>
      </c>
      <c r="G23" s="6" t="s">
        <v>31</v>
      </c>
    </row>
    <row r="24" spans="1:18" x14ac:dyDescent="0.2">
      <c r="B24" t="s">
        <v>32</v>
      </c>
      <c r="G24" s="6" t="s">
        <v>33</v>
      </c>
    </row>
    <row r="25" spans="1:18" x14ac:dyDescent="0.2">
      <c r="B25" t="s">
        <v>34</v>
      </c>
      <c r="G25" s="6" t="s">
        <v>35</v>
      </c>
    </row>
    <row r="26" spans="1:18" x14ac:dyDescent="0.2">
      <c r="B26" t="s">
        <v>36</v>
      </c>
      <c r="G26" s="6" t="s">
        <v>37</v>
      </c>
    </row>
    <row r="27" spans="1:18" x14ac:dyDescent="0.2">
      <c r="B27" t="s">
        <v>38</v>
      </c>
      <c r="G27" s="6" t="s">
        <v>39</v>
      </c>
    </row>
    <row r="29" spans="1:18" x14ac:dyDescent="0.2">
      <c r="A29" s="4" t="s">
        <v>1</v>
      </c>
      <c r="B29" s="5" t="s">
        <v>40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ht="3" customHeight="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x14ac:dyDescent="0.2">
      <c r="B31" t="s">
        <v>41</v>
      </c>
      <c r="G31" s="6" t="s">
        <v>42</v>
      </c>
    </row>
    <row r="32" spans="1:18" x14ac:dyDescent="0.2">
      <c r="B32" t="s">
        <v>43</v>
      </c>
      <c r="G32" s="6" t="s">
        <v>44</v>
      </c>
    </row>
    <row r="33" spans="2:7" x14ac:dyDescent="0.2">
      <c r="B33" t="s">
        <v>45</v>
      </c>
      <c r="G33" s="6" t="s">
        <v>46</v>
      </c>
    </row>
    <row r="34" spans="2:7" x14ac:dyDescent="0.2">
      <c r="B34" t="s">
        <v>47</v>
      </c>
      <c r="G34" s="6" t="s">
        <v>48</v>
      </c>
    </row>
    <row r="35" spans="2:7" x14ac:dyDescent="0.2">
      <c r="B35" t="s">
        <v>49</v>
      </c>
      <c r="G35" s="6" t="s">
        <v>50</v>
      </c>
    </row>
  </sheetData>
  <hyperlinks>
    <hyperlink ref="G20" r:id="rId1" xr:uid="{3B85215B-B220-8E4D-B8BB-142EC9ABEBFB}"/>
    <hyperlink ref="H5" r:id="rId2" xr:uid="{CD263C0F-EBAA-B944-BEB9-75F5BFE0D61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36EB6-C3B9-AB46-90AF-4D300EE00CCE}">
  <dimension ref="A2:V196"/>
  <sheetViews>
    <sheetView showGridLines="0" zoomScaleNormal="100" workbookViewId="0"/>
  </sheetViews>
  <sheetFormatPr baseColWidth="10" defaultColWidth="15.6640625" defaultRowHeight="15" x14ac:dyDescent="0.2"/>
  <cols>
    <col min="1" max="1" width="3.6640625" style="4" customWidth="1"/>
  </cols>
  <sheetData>
    <row r="2" spans="1:11" s="3" customFormat="1" ht="21" x14ac:dyDescent="0.25">
      <c r="A2" s="1"/>
      <c r="B2" s="2" t="s">
        <v>51</v>
      </c>
    </row>
    <row r="4" spans="1:11" x14ac:dyDescent="0.2">
      <c r="A4" s="4" t="s">
        <v>1</v>
      </c>
      <c r="B4" s="5" t="s">
        <v>53</v>
      </c>
      <c r="C4" s="5"/>
      <c r="D4" s="5"/>
      <c r="E4" s="5"/>
      <c r="F4" s="5"/>
      <c r="G4" s="5"/>
      <c r="H4" s="5"/>
      <c r="I4" s="5"/>
      <c r="J4" s="5"/>
      <c r="K4" s="5"/>
    </row>
    <row r="5" spans="1:11" ht="5" customHeight="1" x14ac:dyDescent="0.2"/>
    <row r="6" spans="1:11" x14ac:dyDescent="0.2">
      <c r="B6" t="s">
        <v>54</v>
      </c>
      <c r="E6" s="14"/>
      <c r="J6" s="10" t="s">
        <v>135</v>
      </c>
      <c r="K6" s="124"/>
    </row>
    <row r="7" spans="1:11" x14ac:dyDescent="0.2">
      <c r="B7" t="s">
        <v>55</v>
      </c>
      <c r="E7" s="17"/>
      <c r="F7" s="70"/>
    </row>
    <row r="9" spans="1:11" x14ac:dyDescent="0.2">
      <c r="A9" s="4" t="s">
        <v>1</v>
      </c>
      <c r="B9" s="5" t="s">
        <v>52</v>
      </c>
      <c r="C9" s="5"/>
      <c r="D9" s="5"/>
      <c r="E9" s="5"/>
      <c r="F9" s="5"/>
      <c r="G9" s="5"/>
      <c r="H9" s="5"/>
      <c r="I9" s="5"/>
      <c r="J9" s="5"/>
      <c r="K9" s="5"/>
    </row>
    <row r="10" spans="1:11" ht="5" customHeight="1" x14ac:dyDescent="0.2"/>
    <row r="11" spans="1:11" x14ac:dyDescent="0.2">
      <c r="B11" s="9" t="s">
        <v>56</v>
      </c>
      <c r="C11" s="9"/>
      <c r="D11" s="9"/>
      <c r="E11" s="9"/>
      <c r="H11" s="9" t="s">
        <v>57</v>
      </c>
      <c r="I11" s="9"/>
      <c r="J11" s="9"/>
      <c r="K11" s="9"/>
    </row>
    <row r="12" spans="1:11" x14ac:dyDescent="0.2">
      <c r="B12" t="s">
        <v>58</v>
      </c>
      <c r="E12" s="14"/>
      <c r="H12" s="10" t="s">
        <v>64</v>
      </c>
      <c r="K12" s="50"/>
    </row>
    <row r="13" spans="1:11" x14ac:dyDescent="0.2">
      <c r="B13" t="s">
        <v>59</v>
      </c>
      <c r="E13" s="14"/>
      <c r="H13" s="11" t="s">
        <v>65</v>
      </c>
      <c r="K13" s="13"/>
    </row>
    <row r="14" spans="1:11" x14ac:dyDescent="0.2">
      <c r="B14" t="s">
        <v>60</v>
      </c>
      <c r="E14" s="14"/>
    </row>
    <row r="15" spans="1:11" x14ac:dyDescent="0.2">
      <c r="B15" t="s">
        <v>61</v>
      </c>
      <c r="E15" s="15"/>
      <c r="H15" s="10" t="s">
        <v>66</v>
      </c>
      <c r="K15" s="49"/>
    </row>
    <row r="16" spans="1:11" x14ac:dyDescent="0.2">
      <c r="H16" t="s">
        <v>67</v>
      </c>
      <c r="K16" s="48"/>
    </row>
    <row r="18" spans="2:11" x14ac:dyDescent="0.2">
      <c r="B18" s="9" t="s">
        <v>73</v>
      </c>
      <c r="C18" s="9"/>
      <c r="D18" s="9"/>
      <c r="E18" s="9"/>
      <c r="H18" s="11" t="s">
        <v>68</v>
      </c>
      <c r="K18" s="51"/>
    </row>
    <row r="19" spans="2:11" x14ac:dyDescent="0.2">
      <c r="B19" t="s">
        <v>71</v>
      </c>
      <c r="E19" s="86"/>
      <c r="H19" s="11" t="s">
        <v>69</v>
      </c>
      <c r="K19" s="51"/>
    </row>
    <row r="20" spans="2:11" x14ac:dyDescent="0.2">
      <c r="B20" t="s">
        <v>68</v>
      </c>
      <c r="E20" s="17"/>
    </row>
    <row r="21" spans="2:11" x14ac:dyDescent="0.2">
      <c r="B21" t="s">
        <v>69</v>
      </c>
      <c r="E21" s="17"/>
      <c r="H21" s="10" t="s">
        <v>70</v>
      </c>
      <c r="K21" s="52"/>
    </row>
    <row r="22" spans="2:11" x14ac:dyDescent="0.2">
      <c r="B22" t="s">
        <v>74</v>
      </c>
      <c r="E22" s="17"/>
      <c r="H22" t="s">
        <v>71</v>
      </c>
      <c r="K22" s="51"/>
    </row>
    <row r="23" spans="2:11" x14ac:dyDescent="0.2">
      <c r="B23" t="s">
        <v>75</v>
      </c>
      <c r="E23" s="88"/>
      <c r="H23" s="10" t="s">
        <v>72</v>
      </c>
      <c r="K23" s="87"/>
    </row>
    <row r="25" spans="2:11" x14ac:dyDescent="0.2">
      <c r="B25" s="9" t="s">
        <v>76</v>
      </c>
      <c r="C25" s="9"/>
      <c r="D25" s="9"/>
      <c r="E25" s="9"/>
      <c r="F25" s="9"/>
      <c r="G25" s="9"/>
      <c r="H25" s="9"/>
      <c r="I25" s="9"/>
      <c r="J25" s="9"/>
      <c r="K25" s="9"/>
    </row>
    <row r="26" spans="2:11" x14ac:dyDescent="0.2">
      <c r="E26" s="18" t="s">
        <v>80</v>
      </c>
      <c r="F26" s="18" t="s">
        <v>81</v>
      </c>
      <c r="G26" s="18" t="s">
        <v>82</v>
      </c>
      <c r="H26" s="18" t="s">
        <v>83</v>
      </c>
      <c r="I26" s="18" t="s">
        <v>84</v>
      </c>
      <c r="J26" s="18" t="s">
        <v>85</v>
      </c>
      <c r="K26" s="18" t="s">
        <v>86</v>
      </c>
    </row>
    <row r="27" spans="2:11" x14ac:dyDescent="0.2">
      <c r="B27" t="s">
        <v>77</v>
      </c>
      <c r="E27" s="19"/>
      <c r="F27" s="87"/>
      <c r="G27" s="22"/>
      <c r="H27" s="22"/>
      <c r="I27" s="20"/>
      <c r="J27" s="23"/>
      <c r="K27" s="20"/>
    </row>
    <row r="28" spans="2:11" x14ac:dyDescent="0.2">
      <c r="B28" t="s">
        <v>78</v>
      </c>
      <c r="E28" s="19"/>
      <c r="F28" s="87"/>
      <c r="G28" s="22"/>
      <c r="H28" s="22"/>
      <c r="I28" s="20"/>
      <c r="J28" s="23"/>
      <c r="K28" s="20"/>
    </row>
    <row r="29" spans="2:11" x14ac:dyDescent="0.2">
      <c r="B29" t="s">
        <v>79</v>
      </c>
      <c r="E29" s="19"/>
      <c r="F29" s="87"/>
      <c r="G29" s="22"/>
      <c r="H29" s="22"/>
      <c r="I29" s="20"/>
      <c r="J29" s="23"/>
      <c r="K29" s="20"/>
    </row>
    <row r="30" spans="2:11" ht="5" customHeight="1" x14ac:dyDescent="0.2">
      <c r="E30" s="19"/>
      <c r="F30" s="53"/>
      <c r="G30" s="22"/>
      <c r="H30" s="22"/>
      <c r="I30" s="20"/>
      <c r="J30" s="23"/>
      <c r="K30" s="20"/>
    </row>
    <row r="31" spans="2:11" x14ac:dyDescent="0.2">
      <c r="B31" s="43" t="s">
        <v>87</v>
      </c>
      <c r="C31" s="44"/>
      <c r="D31" s="44"/>
      <c r="E31" s="89">
        <f>SUM(E27:E29)</f>
        <v>0</v>
      </c>
      <c r="F31" s="90">
        <f>SUM(F27:F29)</f>
        <v>0</v>
      </c>
      <c r="G31" s="44"/>
      <c r="H31" s="44"/>
      <c r="I31" s="91">
        <f>SUM(I27:I29)</f>
        <v>0</v>
      </c>
      <c r="J31" s="44"/>
      <c r="K31" s="92">
        <f>SUM(K27:K29)</f>
        <v>0</v>
      </c>
    </row>
    <row r="33" spans="1:13" x14ac:dyDescent="0.2">
      <c r="A33" s="4" t="s">
        <v>1</v>
      </c>
      <c r="B33" s="5" t="s">
        <v>103</v>
      </c>
      <c r="C33" s="5"/>
      <c r="D33" s="5"/>
      <c r="E33" s="5"/>
      <c r="F33" s="5"/>
      <c r="G33" s="5"/>
      <c r="H33" s="5"/>
      <c r="I33" s="5"/>
      <c r="J33" s="5"/>
      <c r="K33" s="5"/>
    </row>
    <row r="34" spans="1:13" ht="5" customHeight="1" x14ac:dyDescent="0.2"/>
    <row r="35" spans="1:13" x14ac:dyDescent="0.2">
      <c r="B35" s="9" t="s">
        <v>104</v>
      </c>
      <c r="C35" s="9"/>
      <c r="D35" s="9"/>
      <c r="E35" s="9"/>
      <c r="F35" s="9"/>
      <c r="H35" s="9" t="s">
        <v>105</v>
      </c>
      <c r="I35" s="9"/>
      <c r="J35" s="9"/>
      <c r="K35" s="9"/>
    </row>
    <row r="36" spans="1:13" x14ac:dyDescent="0.2">
      <c r="D36" s="18" t="s">
        <v>80</v>
      </c>
      <c r="E36" s="18" t="s">
        <v>81</v>
      </c>
      <c r="F36" s="18" t="s">
        <v>108</v>
      </c>
      <c r="I36" s="18" t="s">
        <v>80</v>
      </c>
      <c r="J36" s="18" t="s">
        <v>81</v>
      </c>
      <c r="K36" s="18" t="s">
        <v>108</v>
      </c>
    </row>
    <row r="37" spans="1:13" x14ac:dyDescent="0.2">
      <c r="B37" t="str">
        <f>B27</f>
        <v>Secured term loan - USD tranche</v>
      </c>
      <c r="D37" s="54"/>
      <c r="E37" s="87"/>
      <c r="F37" s="12"/>
      <c r="I37" s="54"/>
      <c r="J37" s="87"/>
      <c r="K37" s="12"/>
    </row>
    <row r="38" spans="1:13" x14ac:dyDescent="0.2">
      <c r="B38" t="str">
        <f>B28</f>
        <v>Secured term loan - EUR tranche</v>
      </c>
      <c r="D38" s="54"/>
      <c r="E38" s="87"/>
      <c r="F38" s="12"/>
      <c r="I38" s="54"/>
      <c r="J38" s="87"/>
      <c r="K38" s="12"/>
    </row>
    <row r="39" spans="1:13" x14ac:dyDescent="0.2">
      <c r="B39" t="str">
        <f>B29</f>
        <v>Senior notes</v>
      </c>
      <c r="D39" s="54"/>
      <c r="E39" s="87"/>
      <c r="F39" s="12"/>
      <c r="I39" s="55"/>
      <c r="J39" s="87"/>
      <c r="K39" s="12"/>
    </row>
    <row r="40" spans="1:13" x14ac:dyDescent="0.2">
      <c r="B40" t="s">
        <v>106</v>
      </c>
      <c r="D40" s="24"/>
      <c r="E40" s="87"/>
      <c r="F40" s="12"/>
      <c r="I40" s="54"/>
      <c r="J40" s="87"/>
      <c r="K40" s="12"/>
    </row>
    <row r="41" spans="1:13" x14ac:dyDescent="0.2">
      <c r="B41" t="s">
        <v>107</v>
      </c>
      <c r="D41" s="24"/>
      <c r="E41" s="87"/>
      <c r="F41" s="12"/>
      <c r="I41" s="55"/>
      <c r="J41" s="87"/>
      <c r="K41" s="12"/>
    </row>
    <row r="42" spans="1:13" ht="5" customHeight="1" x14ac:dyDescent="0.2"/>
    <row r="43" spans="1:13" x14ac:dyDescent="0.2">
      <c r="B43" s="43" t="s">
        <v>87</v>
      </c>
      <c r="C43" s="44"/>
      <c r="D43" s="89"/>
      <c r="E43" s="90"/>
      <c r="F43" s="93"/>
      <c r="G43" s="10"/>
      <c r="H43" s="43"/>
      <c r="I43" s="89"/>
      <c r="J43" s="90"/>
      <c r="K43" s="93"/>
    </row>
    <row r="45" spans="1:13" x14ac:dyDescent="0.2">
      <c r="A45" s="4" t="s">
        <v>1</v>
      </c>
      <c r="B45" s="5" t="s">
        <v>114</v>
      </c>
      <c r="C45" s="5"/>
      <c r="D45" s="5"/>
      <c r="E45" s="5"/>
      <c r="F45" s="5"/>
      <c r="G45" s="5"/>
      <c r="H45" s="5"/>
      <c r="I45" s="5"/>
      <c r="J45" s="5"/>
      <c r="K45" s="5"/>
    </row>
    <row r="46" spans="1:13" ht="5" customHeight="1" x14ac:dyDescent="0.2"/>
    <row r="47" spans="1:13" x14ac:dyDescent="0.2">
      <c r="B47" s="9" t="s">
        <v>52</v>
      </c>
      <c r="C47" s="9"/>
      <c r="D47" s="56">
        <v>2008</v>
      </c>
      <c r="E47" s="56">
        <f>D47+1</f>
        <v>2009</v>
      </c>
      <c r="F47" s="56">
        <f t="shared" ref="F47:K47" si="0">E47+1</f>
        <v>2010</v>
      </c>
      <c r="G47" s="57">
        <f t="shared" si="0"/>
        <v>2011</v>
      </c>
      <c r="H47" s="57">
        <f t="shared" si="0"/>
        <v>2012</v>
      </c>
      <c r="I47" s="57">
        <f t="shared" si="0"/>
        <v>2013</v>
      </c>
      <c r="J47" s="57">
        <f t="shared" si="0"/>
        <v>2014</v>
      </c>
      <c r="K47" s="57">
        <f t="shared" si="0"/>
        <v>2015</v>
      </c>
      <c r="M47" s="68" t="s">
        <v>136</v>
      </c>
    </row>
    <row r="48" spans="1:13" ht="5" customHeight="1" x14ac:dyDescent="0.2"/>
    <row r="49" spans="1:13" x14ac:dyDescent="0.2">
      <c r="B49" t="s">
        <v>132</v>
      </c>
      <c r="D49" s="62"/>
      <c r="E49" s="61"/>
      <c r="F49" s="61"/>
      <c r="G49" s="61"/>
      <c r="H49" s="61"/>
      <c r="I49" s="61"/>
      <c r="J49" s="61"/>
      <c r="K49" s="61"/>
      <c r="M49" s="69"/>
    </row>
    <row r="50" spans="1:13" x14ac:dyDescent="0.2">
      <c r="B50" t="s">
        <v>133</v>
      </c>
      <c r="D50" s="61"/>
      <c r="E50" s="61"/>
      <c r="F50" s="61"/>
      <c r="G50" s="67"/>
      <c r="H50" s="61"/>
      <c r="I50" s="61"/>
      <c r="J50" s="61"/>
      <c r="K50" s="61"/>
      <c r="M50" s="69"/>
    </row>
    <row r="51" spans="1:13" x14ac:dyDescent="0.2">
      <c r="B51" t="s">
        <v>137</v>
      </c>
      <c r="D51" s="61"/>
      <c r="E51" s="61"/>
      <c r="F51" s="61"/>
      <c r="G51" s="67"/>
      <c r="H51" s="61"/>
      <c r="I51" s="61"/>
      <c r="J51" s="61"/>
      <c r="K51" s="61"/>
      <c r="M51" s="69"/>
    </row>
    <row r="52" spans="1:13" x14ac:dyDescent="0.2">
      <c r="B52" t="s">
        <v>134</v>
      </c>
      <c r="D52" s="61"/>
      <c r="E52" s="61"/>
      <c r="F52" s="61"/>
      <c r="G52" s="61"/>
      <c r="H52" s="61"/>
      <c r="I52" s="61"/>
      <c r="J52" s="61"/>
      <c r="K52" s="61"/>
      <c r="M52" s="69"/>
    </row>
    <row r="54" spans="1:13" x14ac:dyDescent="0.2">
      <c r="A54" s="4" t="s">
        <v>1</v>
      </c>
      <c r="B54" s="9" t="s">
        <v>115</v>
      </c>
      <c r="C54" s="9"/>
      <c r="D54" s="56">
        <v>2008</v>
      </c>
      <c r="E54" s="56">
        <f>D54+1</f>
        <v>2009</v>
      </c>
      <c r="F54" s="56">
        <f t="shared" ref="F54:K54" si="1">E54+1</f>
        <v>2010</v>
      </c>
      <c r="G54" s="57">
        <f t="shared" si="1"/>
        <v>2011</v>
      </c>
      <c r="H54" s="57">
        <f t="shared" si="1"/>
        <v>2012</v>
      </c>
      <c r="I54" s="57">
        <f t="shared" si="1"/>
        <v>2013</v>
      </c>
      <c r="J54" s="57">
        <f t="shared" si="1"/>
        <v>2014</v>
      </c>
      <c r="K54" s="57">
        <f t="shared" si="1"/>
        <v>2015</v>
      </c>
    </row>
    <row r="55" spans="1:13" ht="5" customHeight="1" x14ac:dyDescent="0.2"/>
    <row r="56" spans="1:13" x14ac:dyDescent="0.2">
      <c r="B56" t="s">
        <v>116</v>
      </c>
      <c r="D56" s="55"/>
      <c r="E56" s="55"/>
      <c r="F56" s="55"/>
      <c r="G56" s="55"/>
      <c r="H56" s="55"/>
      <c r="I56" s="55"/>
      <c r="J56" s="55"/>
      <c r="K56" s="55"/>
    </row>
    <row r="57" spans="1:13" x14ac:dyDescent="0.2">
      <c r="B57" s="80" t="s">
        <v>117</v>
      </c>
      <c r="D57" s="63"/>
      <c r="E57" s="63"/>
      <c r="F57" s="63"/>
      <c r="G57" s="63"/>
      <c r="H57" s="63"/>
      <c r="I57" s="63"/>
      <c r="J57" s="63"/>
      <c r="K57" s="63"/>
    </row>
    <row r="59" spans="1:13" x14ac:dyDescent="0.2">
      <c r="B59" t="s">
        <v>118</v>
      </c>
      <c r="D59" s="55"/>
      <c r="E59" s="55"/>
      <c r="F59" s="55"/>
      <c r="G59" s="20"/>
      <c r="H59" s="20"/>
      <c r="I59" s="20"/>
      <c r="J59" s="20"/>
      <c r="K59" s="20"/>
    </row>
    <row r="60" spans="1:13" x14ac:dyDescent="0.2">
      <c r="B60" s="80" t="s">
        <v>119</v>
      </c>
      <c r="D60" s="64"/>
      <c r="E60" s="64"/>
      <c r="F60" s="64"/>
      <c r="G60" s="64"/>
      <c r="H60" s="64"/>
      <c r="I60" s="64"/>
      <c r="J60" s="64"/>
      <c r="K60" s="64"/>
    </row>
    <row r="62" spans="1:13" x14ac:dyDescent="0.2">
      <c r="B62" t="s">
        <v>120</v>
      </c>
      <c r="D62" s="55"/>
      <c r="E62" s="55"/>
      <c r="F62" s="55"/>
      <c r="G62" s="20"/>
      <c r="H62" s="20"/>
      <c r="I62" s="20"/>
      <c r="J62" s="20"/>
      <c r="K62" s="20"/>
    </row>
    <row r="63" spans="1:13" x14ac:dyDescent="0.2">
      <c r="B63" s="80" t="s">
        <v>119</v>
      </c>
      <c r="D63" s="63"/>
      <c r="E63" s="63"/>
      <c r="F63" s="63"/>
      <c r="G63" s="63"/>
      <c r="H63" s="63"/>
      <c r="I63" s="63"/>
      <c r="J63" s="63"/>
      <c r="K63" s="63"/>
    </row>
    <row r="65" spans="2:22" x14ac:dyDescent="0.2">
      <c r="B65" t="s">
        <v>121</v>
      </c>
      <c r="D65" s="55"/>
      <c r="E65" s="55"/>
      <c r="F65" s="55"/>
      <c r="G65" s="20"/>
      <c r="H65" s="20"/>
      <c r="I65" s="20"/>
      <c r="J65" s="20"/>
      <c r="K65" s="20"/>
    </row>
    <row r="66" spans="2:22" ht="14.5" customHeight="1" x14ac:dyDescent="0.2">
      <c r="B66" s="80" t="s">
        <v>119</v>
      </c>
      <c r="D66" s="63"/>
      <c r="E66" s="63"/>
      <c r="F66" s="63"/>
      <c r="G66" s="63"/>
      <c r="H66" s="63"/>
      <c r="I66" s="63"/>
      <c r="J66" s="63"/>
      <c r="K66" s="63"/>
    </row>
    <row r="67" spans="2:22" x14ac:dyDescent="0.2">
      <c r="D67" s="58"/>
      <c r="E67" s="58"/>
      <c r="F67" s="58"/>
      <c r="G67" s="24"/>
    </row>
    <row r="68" spans="2:22" x14ac:dyDescent="0.2">
      <c r="B68" s="71" t="s">
        <v>122</v>
      </c>
      <c r="C68" s="72"/>
      <c r="D68" s="73"/>
      <c r="E68" s="73"/>
      <c r="F68" s="73"/>
      <c r="G68" s="74"/>
      <c r="H68" s="74"/>
      <c r="I68" s="74"/>
      <c r="J68" s="74"/>
      <c r="K68" s="75"/>
    </row>
    <row r="69" spans="2:22" x14ac:dyDescent="0.2">
      <c r="B69" s="81" t="s">
        <v>119</v>
      </c>
      <c r="C69" s="77"/>
      <c r="D69" s="78"/>
      <c r="E69" s="78"/>
      <c r="F69" s="78"/>
      <c r="G69" s="78"/>
      <c r="H69" s="78"/>
      <c r="I69" s="78"/>
      <c r="J69" s="78"/>
      <c r="K69" s="79"/>
    </row>
    <row r="71" spans="2:22" x14ac:dyDescent="0.2">
      <c r="B71" t="s">
        <v>123</v>
      </c>
      <c r="G71" s="24"/>
      <c r="H71" s="24"/>
      <c r="I71" s="24"/>
      <c r="J71" s="24"/>
      <c r="K71" s="24"/>
    </row>
    <row r="72" spans="2:22" x14ac:dyDescent="0.2">
      <c r="B72" s="80" t="s">
        <v>119</v>
      </c>
      <c r="G72" s="64"/>
      <c r="H72" s="64"/>
      <c r="I72" s="64"/>
      <c r="J72" s="64"/>
      <c r="K72" s="64"/>
    </row>
    <row r="74" spans="2:22" x14ac:dyDescent="0.2">
      <c r="B74" t="s">
        <v>124</v>
      </c>
      <c r="G74" s="55"/>
      <c r="H74" s="55"/>
      <c r="I74" s="55"/>
      <c r="J74" s="55"/>
      <c r="K74" s="55"/>
      <c r="L74" s="65"/>
      <c r="M74" s="66"/>
      <c r="N74" s="65"/>
      <c r="P74" s="65"/>
      <c r="Q74" s="66"/>
      <c r="R74" s="65"/>
      <c r="T74" s="65"/>
      <c r="U74" s="66"/>
      <c r="V74" s="65"/>
    </row>
    <row r="75" spans="2:22" x14ac:dyDescent="0.2">
      <c r="B75" s="80" t="s">
        <v>119</v>
      </c>
      <c r="G75" s="64"/>
      <c r="H75" s="64"/>
      <c r="I75" s="64"/>
      <c r="J75" s="64"/>
      <c r="K75" s="64"/>
    </row>
    <row r="77" spans="2:22" x14ac:dyDescent="0.2">
      <c r="B77" t="s">
        <v>125</v>
      </c>
      <c r="D77" s="55"/>
      <c r="E77" s="55"/>
      <c r="F77" s="55"/>
      <c r="G77" s="54"/>
      <c r="H77" s="54"/>
      <c r="I77" s="54"/>
      <c r="J77" s="54"/>
      <c r="K77" s="54"/>
    </row>
    <row r="78" spans="2:22" x14ac:dyDescent="0.2">
      <c r="B78" t="s">
        <v>126</v>
      </c>
      <c r="D78" s="55"/>
      <c r="E78" s="55"/>
      <c r="F78" s="55"/>
      <c r="G78" s="54"/>
      <c r="H78" s="54"/>
      <c r="I78" s="54"/>
      <c r="J78" s="54"/>
      <c r="K78" s="54"/>
    </row>
    <row r="80" spans="2:22" x14ac:dyDescent="0.2">
      <c r="B80" t="s">
        <v>127</v>
      </c>
      <c r="D80" s="24"/>
      <c r="E80" s="24"/>
      <c r="F80" s="24"/>
      <c r="G80" s="24"/>
      <c r="H80" s="24"/>
      <c r="I80" s="24"/>
      <c r="J80" s="24"/>
      <c r="K80" s="24"/>
    </row>
    <row r="81" spans="2:11" x14ac:dyDescent="0.2">
      <c r="B81" s="80" t="s">
        <v>119</v>
      </c>
      <c r="D81" s="64"/>
      <c r="E81" s="64"/>
      <c r="F81" s="64"/>
      <c r="G81" s="64"/>
      <c r="H81" s="64"/>
      <c r="I81" s="64"/>
      <c r="J81" s="64"/>
      <c r="K81" s="64"/>
    </row>
    <row r="83" spans="2:11" x14ac:dyDescent="0.2">
      <c r="B83" t="s">
        <v>128</v>
      </c>
      <c r="D83" s="55"/>
      <c r="E83" s="55"/>
      <c r="F83" s="55"/>
      <c r="G83" s="24"/>
      <c r="H83" s="24"/>
      <c r="I83" s="24"/>
      <c r="J83" s="24"/>
      <c r="K83" s="24"/>
    </row>
    <row r="84" spans="2:11" x14ac:dyDescent="0.2">
      <c r="B84" s="80" t="s">
        <v>129</v>
      </c>
      <c r="D84" s="63"/>
      <c r="E84" s="63"/>
      <c r="F84" s="63"/>
      <c r="G84" s="63"/>
      <c r="H84" s="63"/>
      <c r="I84" s="63"/>
      <c r="J84" s="63"/>
      <c r="K84" s="63"/>
    </row>
    <row r="86" spans="2:11" x14ac:dyDescent="0.2">
      <c r="B86" s="71" t="s">
        <v>130</v>
      </c>
      <c r="C86" s="72"/>
      <c r="D86" s="74"/>
      <c r="E86" s="74"/>
      <c r="F86" s="74"/>
      <c r="G86" s="74"/>
      <c r="H86" s="74"/>
      <c r="I86" s="74"/>
      <c r="J86" s="74"/>
      <c r="K86" s="75"/>
    </row>
    <row r="87" spans="2:11" x14ac:dyDescent="0.2">
      <c r="B87" s="81" t="s">
        <v>119</v>
      </c>
      <c r="C87" s="77"/>
      <c r="D87" s="78"/>
      <c r="E87" s="78"/>
      <c r="F87" s="78"/>
      <c r="G87" s="78"/>
      <c r="H87" s="78"/>
      <c r="I87" s="78"/>
      <c r="J87" s="78"/>
      <c r="K87" s="79"/>
    </row>
    <row r="89" spans="2:11" x14ac:dyDescent="0.2">
      <c r="B89" s="84" t="s">
        <v>138</v>
      </c>
    </row>
    <row r="90" spans="2:11" x14ac:dyDescent="0.2">
      <c r="B90" t="s">
        <v>122</v>
      </c>
      <c r="D90" s="54"/>
      <c r="E90" s="54"/>
      <c r="F90" s="54"/>
    </row>
    <row r="91" spans="2:11" x14ac:dyDescent="0.2">
      <c r="B91" t="s">
        <v>139</v>
      </c>
      <c r="D91" s="54"/>
      <c r="E91" s="54"/>
      <c r="F91" s="54"/>
      <c r="G91" s="59"/>
      <c r="I91" s="59"/>
      <c r="J91" s="60"/>
      <c r="K91" s="59"/>
    </row>
    <row r="92" spans="2:11" x14ac:dyDescent="0.2">
      <c r="B92" s="3" t="s">
        <v>140</v>
      </c>
      <c r="C92" s="3"/>
      <c r="D92" s="85"/>
      <c r="E92" s="85"/>
      <c r="F92" s="85"/>
      <c r="G92" s="3"/>
      <c r="H92" s="3"/>
      <c r="I92" s="3"/>
      <c r="J92" s="3"/>
      <c r="K92" s="3"/>
    </row>
    <row r="93" spans="2:11" x14ac:dyDescent="0.2">
      <c r="B93" s="10" t="s">
        <v>141</v>
      </c>
      <c r="C93" s="10"/>
      <c r="D93" s="52"/>
      <c r="E93" s="52"/>
      <c r="F93" s="52"/>
    </row>
    <row r="94" spans="2:11" x14ac:dyDescent="0.2">
      <c r="B94" s="80" t="s">
        <v>119</v>
      </c>
      <c r="D94" s="64"/>
      <c r="E94" s="64"/>
      <c r="F94" s="64"/>
    </row>
    <row r="96" spans="2:11" x14ac:dyDescent="0.2">
      <c r="B96" s="71" t="s">
        <v>141</v>
      </c>
      <c r="C96" s="72"/>
      <c r="D96" s="100"/>
      <c r="E96" s="100"/>
      <c r="F96" s="100"/>
      <c r="G96" s="102"/>
      <c r="H96" s="102"/>
      <c r="I96" s="102"/>
      <c r="J96" s="102"/>
      <c r="K96" s="103"/>
    </row>
    <row r="97" spans="1:13" x14ac:dyDescent="0.2">
      <c r="B97" s="81" t="s">
        <v>119</v>
      </c>
      <c r="C97" s="77"/>
      <c r="D97" s="97"/>
      <c r="E97" s="97"/>
      <c r="F97" s="97"/>
      <c r="G97" s="78"/>
      <c r="H97" s="78"/>
      <c r="I97" s="78"/>
      <c r="J97" s="78"/>
      <c r="K97" s="79"/>
    </row>
    <row r="99" spans="1:13" x14ac:dyDescent="0.2">
      <c r="B99" t="s">
        <v>142</v>
      </c>
      <c r="G99" s="53"/>
      <c r="H99" s="53"/>
      <c r="I99" s="53"/>
      <c r="J99" s="53"/>
      <c r="K99" s="53"/>
    </row>
    <row r="100" spans="1:13" x14ac:dyDescent="0.2">
      <c r="B100" s="80" t="s">
        <v>119</v>
      </c>
      <c r="G100" s="64"/>
      <c r="H100" s="64"/>
      <c r="I100" s="64"/>
      <c r="J100" s="64"/>
      <c r="K100" s="64"/>
    </row>
    <row r="102" spans="1:13" x14ac:dyDescent="0.2">
      <c r="B102" t="s">
        <v>143</v>
      </c>
      <c r="G102" s="55"/>
      <c r="H102" s="55"/>
      <c r="I102" s="55"/>
      <c r="J102" s="55"/>
      <c r="K102" s="55"/>
    </row>
    <row r="103" spans="1:13" x14ac:dyDescent="0.2">
      <c r="B103" s="80" t="s">
        <v>119</v>
      </c>
      <c r="G103" s="64"/>
      <c r="H103" s="64"/>
      <c r="I103" s="64"/>
      <c r="J103" s="64"/>
      <c r="K103" s="64"/>
    </row>
    <row r="105" spans="1:13" x14ac:dyDescent="0.2">
      <c r="A105" s="4" t="s">
        <v>1</v>
      </c>
      <c r="B105" s="9" t="s">
        <v>144</v>
      </c>
      <c r="C105" s="9"/>
      <c r="D105" s="56">
        <v>2008</v>
      </c>
      <c r="E105" s="56">
        <f>D105+1</f>
        <v>2009</v>
      </c>
      <c r="F105" s="56">
        <f t="shared" ref="F105:K105" si="2">E105+1</f>
        <v>2010</v>
      </c>
      <c r="G105" s="57">
        <f t="shared" si="2"/>
        <v>2011</v>
      </c>
      <c r="H105" s="57">
        <f t="shared" si="2"/>
        <v>2012</v>
      </c>
      <c r="I105" s="57">
        <f t="shared" si="2"/>
        <v>2013</v>
      </c>
      <c r="J105" s="57">
        <f t="shared" si="2"/>
        <v>2014</v>
      </c>
      <c r="K105" s="57">
        <f t="shared" si="2"/>
        <v>2015</v>
      </c>
    </row>
    <row r="106" spans="1:13" ht="5" customHeight="1" x14ac:dyDescent="0.2"/>
    <row r="107" spans="1:13" x14ac:dyDescent="0.2">
      <c r="B107" s="84" t="s">
        <v>145</v>
      </c>
    </row>
    <row r="108" spans="1:13" x14ac:dyDescent="0.2">
      <c r="B108" t="s">
        <v>146</v>
      </c>
      <c r="C108" s="66"/>
      <c r="D108" s="55"/>
      <c r="E108" s="55"/>
      <c r="F108" s="55"/>
      <c r="M108" s="84" t="s">
        <v>152</v>
      </c>
    </row>
    <row r="109" spans="1:13" x14ac:dyDescent="0.2">
      <c r="B109" t="s">
        <v>147</v>
      </c>
      <c r="C109" s="66"/>
      <c r="D109" s="55"/>
      <c r="E109" s="55"/>
      <c r="F109" s="55"/>
      <c r="M109" t="s">
        <v>153</v>
      </c>
    </row>
    <row r="110" spans="1:13" x14ac:dyDescent="0.2">
      <c r="M110" t="s">
        <v>154</v>
      </c>
    </row>
    <row r="111" spans="1:13" x14ac:dyDescent="0.2">
      <c r="B111" s="84" t="s">
        <v>151</v>
      </c>
      <c r="M111" t="s">
        <v>155</v>
      </c>
    </row>
    <row r="112" spans="1:13" x14ac:dyDescent="0.2">
      <c r="B112" t="s">
        <v>148</v>
      </c>
      <c r="C112" s="66"/>
      <c r="D112" s="55"/>
      <c r="E112" s="55"/>
      <c r="F112" s="55"/>
      <c r="M112" t="s">
        <v>156</v>
      </c>
    </row>
    <row r="113" spans="2:13" x14ac:dyDescent="0.2">
      <c r="B113" t="s">
        <v>149</v>
      </c>
      <c r="C113" s="66"/>
      <c r="D113" s="55"/>
      <c r="E113" s="55"/>
      <c r="F113" s="55"/>
    </row>
    <row r="114" spans="2:13" x14ac:dyDescent="0.2">
      <c r="B114" t="s">
        <v>150</v>
      </c>
      <c r="C114" s="66"/>
      <c r="D114" s="55"/>
      <c r="E114" s="55"/>
      <c r="F114" s="55"/>
    </row>
    <row r="116" spans="2:13" x14ac:dyDescent="0.2">
      <c r="B116" s="71" t="s">
        <v>157</v>
      </c>
      <c r="C116" s="72"/>
      <c r="D116" s="74"/>
      <c r="E116" s="74"/>
      <c r="F116" s="74"/>
      <c r="G116" s="74"/>
      <c r="H116" s="74"/>
      <c r="I116" s="74"/>
      <c r="J116" s="74"/>
      <c r="K116" s="75"/>
    </row>
    <row r="117" spans="2:13" x14ac:dyDescent="0.2">
      <c r="B117" s="81" t="s">
        <v>119</v>
      </c>
      <c r="C117" s="77"/>
      <c r="D117" s="78"/>
      <c r="E117" s="78"/>
      <c r="F117" s="78"/>
      <c r="G117" s="96"/>
      <c r="H117" s="97"/>
      <c r="I117" s="97"/>
      <c r="J117" s="97"/>
      <c r="K117" s="98"/>
    </row>
    <row r="119" spans="2:13" x14ac:dyDescent="0.2">
      <c r="B119" s="71" t="s">
        <v>139</v>
      </c>
      <c r="C119" s="72"/>
      <c r="D119" s="73"/>
      <c r="E119" s="73"/>
      <c r="F119" s="73"/>
      <c r="G119" s="74"/>
      <c r="H119" s="74"/>
      <c r="I119" s="74"/>
      <c r="J119" s="74"/>
      <c r="K119" s="75"/>
    </row>
    <row r="120" spans="2:13" x14ac:dyDescent="0.2">
      <c r="B120" s="81" t="s">
        <v>119</v>
      </c>
      <c r="C120" s="77"/>
      <c r="D120" s="78"/>
      <c r="E120" s="78"/>
      <c r="F120" s="78"/>
      <c r="G120" s="78"/>
      <c r="H120" s="78"/>
      <c r="I120" s="78"/>
      <c r="J120" s="78"/>
      <c r="K120" s="79"/>
    </row>
    <row r="122" spans="2:13" x14ac:dyDescent="0.2">
      <c r="B122" t="s">
        <v>158</v>
      </c>
      <c r="D122" s="55"/>
      <c r="E122" s="55"/>
      <c r="F122" s="55"/>
      <c r="G122" s="24"/>
      <c r="H122" s="24"/>
      <c r="I122" s="24"/>
      <c r="J122" s="24"/>
      <c r="K122" s="24"/>
    </row>
    <row r="123" spans="2:13" x14ac:dyDescent="0.2">
      <c r="B123" s="80" t="s">
        <v>119</v>
      </c>
      <c r="D123" s="64"/>
      <c r="E123" s="64"/>
      <c r="F123" s="64"/>
      <c r="G123" s="95"/>
      <c r="H123" s="95"/>
      <c r="I123" s="95"/>
      <c r="J123" s="95"/>
      <c r="K123" s="95"/>
    </row>
    <row r="125" spans="2:13" x14ac:dyDescent="0.2">
      <c r="B125" t="s">
        <v>159</v>
      </c>
      <c r="G125" s="24"/>
      <c r="H125" s="24"/>
      <c r="I125" s="24"/>
      <c r="J125" s="24"/>
      <c r="K125" s="24"/>
    </row>
    <row r="126" spans="2:13" x14ac:dyDescent="0.2">
      <c r="B126" s="80" t="s">
        <v>119</v>
      </c>
      <c r="D126" s="64"/>
      <c r="E126" s="64"/>
      <c r="F126" s="64"/>
      <c r="G126" s="64"/>
      <c r="H126" s="64"/>
      <c r="I126" s="64"/>
      <c r="J126" s="64"/>
      <c r="K126" s="64"/>
    </row>
    <row r="128" spans="2:13" x14ac:dyDescent="0.2">
      <c r="B128" s="71" t="s">
        <v>161</v>
      </c>
      <c r="C128" s="72"/>
      <c r="D128" s="73"/>
      <c r="E128" s="73"/>
      <c r="F128" s="73"/>
      <c r="G128" s="74"/>
      <c r="H128" s="74"/>
      <c r="I128" s="74"/>
      <c r="J128" s="74"/>
      <c r="K128" s="75"/>
      <c r="M128" s="59"/>
    </row>
    <row r="129" spans="1:11" x14ac:dyDescent="0.2">
      <c r="B129" s="81" t="s">
        <v>119</v>
      </c>
      <c r="C129" s="77"/>
      <c r="D129" s="78"/>
      <c r="E129" s="78"/>
      <c r="F129" s="78"/>
      <c r="G129" s="104"/>
      <c r="H129" s="97"/>
      <c r="I129" s="97"/>
      <c r="J129" s="97"/>
      <c r="K129" s="98"/>
    </row>
    <row r="131" spans="1:11" x14ac:dyDescent="0.2">
      <c r="A131" s="4" t="s">
        <v>1</v>
      </c>
      <c r="B131" s="9" t="s">
        <v>160</v>
      </c>
      <c r="C131" s="9"/>
      <c r="D131" s="56">
        <v>2008</v>
      </c>
      <c r="E131" s="56">
        <f>D131+1</f>
        <v>2009</v>
      </c>
      <c r="F131" s="56">
        <f t="shared" ref="F131:K131" si="3">E131+1</f>
        <v>2010</v>
      </c>
      <c r="G131" s="57">
        <f t="shared" si="3"/>
        <v>2011</v>
      </c>
      <c r="H131" s="57">
        <f t="shared" si="3"/>
        <v>2012</v>
      </c>
      <c r="I131" s="57">
        <f t="shared" si="3"/>
        <v>2013</v>
      </c>
      <c r="J131" s="57">
        <f t="shared" si="3"/>
        <v>2014</v>
      </c>
      <c r="K131" s="57">
        <f t="shared" si="3"/>
        <v>2015</v>
      </c>
    </row>
    <row r="132" spans="1:11" ht="5" customHeight="1" x14ac:dyDescent="0.2"/>
    <row r="133" spans="1:11" x14ac:dyDescent="0.2">
      <c r="B133" t="s">
        <v>130</v>
      </c>
      <c r="G133" s="54"/>
      <c r="H133" s="54"/>
      <c r="I133" s="54"/>
      <c r="J133" s="54"/>
      <c r="K133" s="54"/>
    </row>
    <row r="134" spans="1:11" x14ac:dyDescent="0.2">
      <c r="B134" t="s">
        <v>139</v>
      </c>
      <c r="G134" s="54"/>
      <c r="H134" s="54"/>
      <c r="I134" s="54"/>
      <c r="J134" s="54"/>
      <c r="K134" s="54"/>
    </row>
    <row r="135" spans="1:11" x14ac:dyDescent="0.2">
      <c r="B135" t="s">
        <v>161</v>
      </c>
      <c r="G135" s="54"/>
      <c r="H135" s="54"/>
      <c r="I135" s="54"/>
      <c r="J135" s="54"/>
      <c r="K135" s="54"/>
    </row>
    <row r="136" spans="1:11" x14ac:dyDescent="0.2">
      <c r="B136" t="s">
        <v>162</v>
      </c>
      <c r="G136" s="54"/>
      <c r="H136" s="54"/>
      <c r="I136" s="54"/>
      <c r="J136" s="54"/>
      <c r="K136" s="54"/>
    </row>
    <row r="137" spans="1:11" x14ac:dyDescent="0.2">
      <c r="B137" s="3" t="s">
        <v>163</v>
      </c>
      <c r="C137" s="3"/>
      <c r="D137" s="3"/>
      <c r="E137" s="3"/>
      <c r="F137" s="3"/>
      <c r="G137" s="85"/>
      <c r="H137" s="85"/>
      <c r="I137" s="85"/>
      <c r="J137" s="85"/>
      <c r="K137" s="85"/>
    </row>
    <row r="138" spans="1:11" x14ac:dyDescent="0.2">
      <c r="B138" s="10" t="s">
        <v>160</v>
      </c>
      <c r="C138" s="10"/>
      <c r="D138" s="10"/>
      <c r="E138" s="10"/>
      <c r="F138" s="10"/>
      <c r="G138" s="52"/>
      <c r="H138" s="52"/>
      <c r="I138" s="52"/>
      <c r="J138" s="52"/>
      <c r="K138" s="52"/>
    </row>
    <row r="140" spans="1:11" x14ac:dyDescent="0.2">
      <c r="A140" s="4" t="s">
        <v>1</v>
      </c>
      <c r="B140" s="5" t="s">
        <v>164</v>
      </c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5" customHeight="1" x14ac:dyDescent="0.2"/>
    <row r="142" spans="1:11" x14ac:dyDescent="0.2">
      <c r="B142" s="9" t="s">
        <v>165</v>
      </c>
      <c r="C142" s="9"/>
      <c r="D142" s="56">
        <v>2008</v>
      </c>
      <c r="E142" s="56">
        <f>D142+1</f>
        <v>2009</v>
      </c>
      <c r="F142" s="56">
        <f t="shared" ref="F142:K142" si="4">E142+1</f>
        <v>2010</v>
      </c>
      <c r="G142" s="57"/>
      <c r="H142" s="57"/>
      <c r="I142" s="57"/>
      <c r="J142" s="57"/>
      <c r="K142" s="57"/>
    </row>
    <row r="143" spans="1:11" x14ac:dyDescent="0.2">
      <c r="B143" s="84" t="s">
        <v>69</v>
      </c>
    </row>
    <row r="144" spans="1:11" x14ac:dyDescent="0.2">
      <c r="B144" s="11" t="s">
        <v>166</v>
      </c>
      <c r="G144" s="115"/>
      <c r="H144" s="54"/>
      <c r="I144" s="54"/>
      <c r="J144" s="54"/>
      <c r="K144" s="54"/>
    </row>
    <row r="145" spans="2:11" x14ac:dyDescent="0.2">
      <c r="B145" s="11" t="s">
        <v>167</v>
      </c>
      <c r="G145" s="55"/>
      <c r="H145" s="55"/>
      <c r="I145" s="55"/>
      <c r="J145" s="55"/>
      <c r="K145" s="55"/>
    </row>
    <row r="146" spans="2:11" x14ac:dyDescent="0.2">
      <c r="B146" s="105" t="s">
        <v>168</v>
      </c>
      <c r="F146" s="94"/>
      <c r="G146" s="52"/>
      <c r="H146" s="52"/>
      <c r="I146" s="52"/>
      <c r="J146" s="52"/>
      <c r="K146" s="52"/>
    </row>
    <row r="148" spans="2:11" x14ac:dyDescent="0.2">
      <c r="B148" s="84" t="str">
        <f>B37</f>
        <v>Secured term loan - USD tranche</v>
      </c>
    </row>
    <row r="149" spans="2:11" x14ac:dyDescent="0.2">
      <c r="B149" s="11" t="s">
        <v>166</v>
      </c>
      <c r="G149" s="54"/>
      <c r="H149" s="54"/>
      <c r="I149" s="54"/>
      <c r="J149" s="54"/>
      <c r="K149" s="54"/>
    </row>
    <row r="150" spans="2:11" x14ac:dyDescent="0.2">
      <c r="B150" s="11" t="s">
        <v>169</v>
      </c>
      <c r="G150" s="24"/>
      <c r="H150" s="24"/>
      <c r="I150" s="24"/>
      <c r="J150" s="24"/>
      <c r="K150" s="24"/>
    </row>
    <row r="151" spans="2:11" x14ac:dyDescent="0.2">
      <c r="B151" s="105" t="s">
        <v>168</v>
      </c>
      <c r="F151" s="94"/>
      <c r="G151" s="52"/>
      <c r="H151" s="52"/>
      <c r="I151" s="52"/>
      <c r="J151" s="52"/>
      <c r="K151" s="52"/>
    </row>
    <row r="152" spans="2:11" x14ac:dyDescent="0.2">
      <c r="B152" s="10"/>
    </row>
    <row r="153" spans="2:11" x14ac:dyDescent="0.2">
      <c r="B153" s="84" t="str">
        <f>B38</f>
        <v>Secured term loan - EUR tranche</v>
      </c>
    </row>
    <row r="154" spans="2:11" x14ac:dyDescent="0.2">
      <c r="B154" s="11" t="s">
        <v>166</v>
      </c>
      <c r="G154" s="54"/>
      <c r="H154" s="54"/>
      <c r="I154" s="54"/>
      <c r="J154" s="54"/>
      <c r="K154" s="54"/>
    </row>
    <row r="155" spans="2:11" x14ac:dyDescent="0.2">
      <c r="B155" s="11" t="s">
        <v>169</v>
      </c>
      <c r="G155" s="24"/>
      <c r="H155" s="24"/>
      <c r="I155" s="24"/>
      <c r="J155" s="24"/>
      <c r="K155" s="24"/>
    </row>
    <row r="156" spans="2:11" x14ac:dyDescent="0.2">
      <c r="B156" s="105" t="s">
        <v>168</v>
      </c>
      <c r="F156" s="94"/>
      <c r="G156" s="52"/>
      <c r="H156" s="52"/>
      <c r="I156" s="52"/>
      <c r="J156" s="52"/>
      <c r="K156" s="52"/>
    </row>
    <row r="158" spans="2:11" x14ac:dyDescent="0.2">
      <c r="B158" s="84" t="str">
        <f>B39</f>
        <v>Senior notes</v>
      </c>
    </row>
    <row r="159" spans="2:11" x14ac:dyDescent="0.2">
      <c r="B159" s="11" t="s">
        <v>166</v>
      </c>
      <c r="G159" s="54"/>
      <c r="H159" s="54"/>
      <c r="I159" s="54"/>
      <c r="J159" s="54"/>
      <c r="K159" s="54"/>
    </row>
    <row r="160" spans="2:11" x14ac:dyDescent="0.2">
      <c r="B160" s="11" t="s">
        <v>169</v>
      </c>
      <c r="G160" s="24"/>
      <c r="H160" s="24"/>
      <c r="I160" s="24"/>
      <c r="J160" s="24"/>
      <c r="K160" s="24"/>
    </row>
    <row r="161" spans="1:11" x14ac:dyDescent="0.2">
      <c r="B161" s="105" t="s">
        <v>168</v>
      </c>
      <c r="F161" s="94"/>
      <c r="G161" s="52"/>
      <c r="H161" s="52"/>
      <c r="I161" s="52"/>
      <c r="J161" s="52"/>
      <c r="K161" s="52"/>
    </row>
    <row r="163" spans="1:11" x14ac:dyDescent="0.2">
      <c r="B163" s="106" t="s">
        <v>170</v>
      </c>
      <c r="C163" s="82"/>
      <c r="D163" s="82"/>
      <c r="E163" s="82"/>
      <c r="F163" s="82"/>
      <c r="G163" s="82"/>
      <c r="H163" s="82"/>
      <c r="I163" s="82"/>
      <c r="J163" s="82"/>
      <c r="K163" s="99"/>
    </row>
    <row r="164" spans="1:11" x14ac:dyDescent="0.2">
      <c r="B164" s="107" t="s">
        <v>166</v>
      </c>
      <c r="C164" s="108"/>
      <c r="D164" s="108"/>
      <c r="E164" s="108"/>
      <c r="F164" s="108"/>
      <c r="G164" s="109"/>
      <c r="H164" s="109"/>
      <c r="I164" s="109"/>
      <c r="J164" s="109"/>
      <c r="K164" s="110"/>
    </row>
    <row r="165" spans="1:11" x14ac:dyDescent="0.2">
      <c r="B165" s="107" t="s">
        <v>169</v>
      </c>
      <c r="C165" s="108"/>
      <c r="D165" s="108"/>
      <c r="E165" s="108"/>
      <c r="F165" s="108"/>
      <c r="G165" s="109"/>
      <c r="H165" s="109"/>
      <c r="I165" s="109"/>
      <c r="J165" s="109"/>
      <c r="K165" s="110"/>
    </row>
    <row r="166" spans="1:11" x14ac:dyDescent="0.2">
      <c r="B166" s="76" t="s">
        <v>168</v>
      </c>
      <c r="C166" s="83"/>
      <c r="D166" s="83"/>
      <c r="E166" s="83"/>
      <c r="F166" s="111"/>
      <c r="G166" s="111"/>
      <c r="H166" s="111"/>
      <c r="I166" s="111"/>
      <c r="J166" s="111"/>
      <c r="K166" s="112"/>
    </row>
    <row r="167" spans="1:11" x14ac:dyDescent="0.2">
      <c r="B167" s="113" t="s">
        <v>171</v>
      </c>
      <c r="C167" s="113"/>
      <c r="D167" s="113"/>
      <c r="E167" s="113"/>
      <c r="F167" s="113"/>
      <c r="G167" s="114"/>
      <c r="H167" s="114"/>
      <c r="I167" s="114"/>
      <c r="J167" s="114"/>
      <c r="K167" s="114"/>
    </row>
    <row r="169" spans="1:11" x14ac:dyDescent="0.2">
      <c r="A169" s="4" t="s">
        <v>1</v>
      </c>
      <c r="B169" s="9" t="s">
        <v>172</v>
      </c>
      <c r="C169" s="9"/>
      <c r="D169" s="56">
        <v>2008</v>
      </c>
      <c r="E169" s="56">
        <f>D169+1</f>
        <v>2009</v>
      </c>
      <c r="F169" s="56">
        <f t="shared" ref="F169:K169" si="5">E169+1</f>
        <v>2010</v>
      </c>
      <c r="G169" s="57">
        <f t="shared" si="5"/>
        <v>2011</v>
      </c>
      <c r="H169" s="57">
        <f t="shared" si="5"/>
        <v>2012</v>
      </c>
      <c r="I169" s="57">
        <f t="shared" si="5"/>
        <v>2013</v>
      </c>
      <c r="J169" s="57">
        <f t="shared" si="5"/>
        <v>2014</v>
      </c>
      <c r="K169" s="57">
        <f t="shared" si="5"/>
        <v>2015</v>
      </c>
    </row>
    <row r="170" spans="1:11" x14ac:dyDescent="0.2">
      <c r="B170" t="s">
        <v>69</v>
      </c>
      <c r="F170" s="54"/>
      <c r="G170" s="53"/>
      <c r="H170" s="53"/>
      <c r="I170" s="53"/>
      <c r="J170" s="53"/>
      <c r="K170" s="53"/>
    </row>
    <row r="171" spans="1:11" x14ac:dyDescent="0.2">
      <c r="B171" s="80" t="s">
        <v>173</v>
      </c>
      <c r="F171" s="21"/>
      <c r="G171" s="116"/>
      <c r="H171" s="116"/>
      <c r="I171" s="116"/>
      <c r="J171" s="116"/>
      <c r="K171" s="116"/>
    </row>
    <row r="173" spans="1:11" x14ac:dyDescent="0.2">
      <c r="B173" t="str">
        <f>B27</f>
        <v>Secured term loan - USD tranche</v>
      </c>
      <c r="G173" s="53"/>
      <c r="H173" s="53"/>
      <c r="I173" s="53"/>
      <c r="J173" s="53"/>
      <c r="K173" s="53"/>
    </row>
    <row r="174" spans="1:11" x14ac:dyDescent="0.2">
      <c r="B174" s="80" t="s">
        <v>174</v>
      </c>
      <c r="F174" s="116"/>
      <c r="G174" s="116"/>
      <c r="H174" s="116"/>
      <c r="I174" s="116"/>
      <c r="J174" s="116"/>
      <c r="K174" s="116"/>
    </row>
    <row r="176" spans="1:11" x14ac:dyDescent="0.2">
      <c r="B176" t="str">
        <f>B28</f>
        <v>Secured term loan - EUR tranche</v>
      </c>
      <c r="G176" s="53"/>
      <c r="H176" s="53"/>
      <c r="I176" s="53"/>
      <c r="J176" s="53"/>
      <c r="K176" s="53"/>
    </row>
    <row r="177" spans="1:11" x14ac:dyDescent="0.2">
      <c r="B177" s="80" t="s">
        <v>174</v>
      </c>
      <c r="F177" s="116"/>
      <c r="G177" s="116"/>
      <c r="H177" s="116"/>
      <c r="I177" s="116"/>
      <c r="J177" s="116"/>
      <c r="K177" s="116"/>
    </row>
    <row r="179" spans="1:11" x14ac:dyDescent="0.2">
      <c r="B179" t="str">
        <f>B29</f>
        <v>Senior notes</v>
      </c>
      <c r="G179" s="53"/>
      <c r="H179" s="53"/>
      <c r="I179" s="53"/>
      <c r="J179" s="53"/>
      <c r="K179" s="53"/>
    </row>
    <row r="180" spans="1:11" x14ac:dyDescent="0.2">
      <c r="B180" s="80" t="s">
        <v>174</v>
      </c>
      <c r="F180" s="116"/>
      <c r="G180" s="116"/>
      <c r="H180" s="116"/>
      <c r="I180" s="116"/>
      <c r="J180" s="116"/>
      <c r="K180" s="116"/>
    </row>
    <row r="182" spans="1:11" x14ac:dyDescent="0.2">
      <c r="B182" t="s">
        <v>175</v>
      </c>
      <c r="G182" s="24"/>
      <c r="H182" s="24"/>
      <c r="I182" s="24"/>
      <c r="J182" s="24"/>
      <c r="K182" s="24"/>
    </row>
    <row r="183" spans="1:11" x14ac:dyDescent="0.2">
      <c r="B183" s="80" t="s">
        <v>176</v>
      </c>
      <c r="G183" s="13"/>
      <c r="H183" s="13"/>
      <c r="I183" s="13"/>
      <c r="J183" s="13"/>
      <c r="K183" s="13"/>
    </row>
    <row r="185" spans="1:11" x14ac:dyDescent="0.2">
      <c r="A185" s="4" t="s">
        <v>1</v>
      </c>
      <c r="B185" s="5" t="s">
        <v>177</v>
      </c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5" customHeight="1" x14ac:dyDescent="0.2"/>
    <row r="187" spans="1:11" x14ac:dyDescent="0.2">
      <c r="B187" t="s">
        <v>178</v>
      </c>
      <c r="K187" s="54"/>
    </row>
    <row r="188" spans="1:11" x14ac:dyDescent="0.2">
      <c r="B188" s="3" t="s">
        <v>75</v>
      </c>
      <c r="C188" s="3"/>
      <c r="D188" s="3"/>
      <c r="E188" s="3"/>
      <c r="F188" s="3"/>
      <c r="G188" s="3"/>
      <c r="H188" s="3"/>
      <c r="I188" s="3"/>
      <c r="J188" s="3"/>
      <c r="K188" s="120"/>
    </row>
    <row r="189" spans="1:11" x14ac:dyDescent="0.2">
      <c r="B189" s="10" t="s">
        <v>70</v>
      </c>
      <c r="C189" s="10"/>
      <c r="D189" s="10"/>
      <c r="E189" s="10"/>
      <c r="F189" s="10"/>
      <c r="G189" s="10"/>
      <c r="H189" s="10"/>
      <c r="I189" s="10"/>
      <c r="J189" s="10"/>
      <c r="K189" s="101"/>
    </row>
    <row r="190" spans="1:11" x14ac:dyDescent="0.2">
      <c r="B190" t="s">
        <v>179</v>
      </c>
      <c r="K190" s="24"/>
    </row>
    <row r="191" spans="1:11" x14ac:dyDescent="0.2">
      <c r="B191" s="121" t="s">
        <v>180</v>
      </c>
      <c r="C191" s="122"/>
      <c r="D191" s="122"/>
      <c r="E191" s="122"/>
      <c r="F191" s="122"/>
      <c r="G191" s="122"/>
      <c r="H191" s="122"/>
      <c r="I191" s="122"/>
      <c r="J191" s="122"/>
      <c r="K191" s="123"/>
    </row>
    <row r="193" spans="1:11" x14ac:dyDescent="0.2">
      <c r="B193" t="s">
        <v>181</v>
      </c>
      <c r="K193" s="54"/>
    </row>
    <row r="195" spans="1:11" x14ac:dyDescent="0.2">
      <c r="B195" s="71" t="s">
        <v>182</v>
      </c>
      <c r="C195" s="72"/>
      <c r="D195" s="72"/>
      <c r="E195" s="72"/>
      <c r="F195" s="72"/>
      <c r="G195" s="72"/>
      <c r="H195" s="72"/>
      <c r="I195" s="72"/>
      <c r="J195" s="72"/>
      <c r="K195" s="117"/>
    </row>
    <row r="196" spans="1:11" x14ac:dyDescent="0.2">
      <c r="A196" s="4" t="s">
        <v>1</v>
      </c>
      <c r="B196" s="118" t="s">
        <v>183</v>
      </c>
      <c r="C196" s="77"/>
      <c r="D196" s="77"/>
      <c r="E196" s="77"/>
      <c r="F196" s="77"/>
      <c r="G196" s="77"/>
      <c r="H196" s="77"/>
      <c r="I196" s="77"/>
      <c r="J196" s="77"/>
      <c r="K196" s="119"/>
    </row>
  </sheetData>
  <dataValidations count="2">
    <dataValidation type="list" allowBlank="1" showInputMessage="1" showErrorMessage="1" sqref="E7" xr:uid="{8E2EDECE-4AD6-C84E-9144-AEED361D206D}">
      <formula1>"1,2"</formula1>
    </dataValidation>
    <dataValidation type="list" allowBlank="1" showInputMessage="1" showErrorMessage="1" sqref="E6" xr:uid="{8DECA68E-25AC-AD44-A2B1-7F9BCB2517D6}">
      <formula1>"ON,OFF"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B51B-E0BB-4FE4-80CA-E4DE97C984FB}">
  <dimension ref="A2:V196"/>
  <sheetViews>
    <sheetView showGridLines="0" zoomScaleNormal="100" workbookViewId="0"/>
  </sheetViews>
  <sheetFormatPr baseColWidth="10" defaultColWidth="15.6640625" defaultRowHeight="15" x14ac:dyDescent="0.2"/>
  <cols>
    <col min="1" max="1" width="3.6640625" style="4" customWidth="1"/>
  </cols>
  <sheetData>
    <row r="2" spans="1:11" s="3" customFormat="1" ht="21" x14ac:dyDescent="0.25">
      <c r="A2" s="1"/>
      <c r="B2" s="2" t="s">
        <v>51</v>
      </c>
    </row>
    <row r="4" spans="1:11" x14ac:dyDescent="0.2">
      <c r="A4" s="4" t="s">
        <v>1</v>
      </c>
      <c r="B4" s="5" t="s">
        <v>53</v>
      </c>
      <c r="C4" s="5"/>
      <c r="D4" s="5"/>
      <c r="E4" s="5"/>
      <c r="F4" s="5"/>
      <c r="G4" s="5"/>
      <c r="H4" s="5"/>
      <c r="I4" s="5"/>
      <c r="J4" s="5"/>
      <c r="K4" s="5"/>
    </row>
    <row r="5" spans="1:11" ht="5" customHeight="1" x14ac:dyDescent="0.2"/>
    <row r="6" spans="1:11" x14ac:dyDescent="0.2">
      <c r="B6" t="s">
        <v>54</v>
      </c>
      <c r="E6" s="14" t="s">
        <v>188</v>
      </c>
      <c r="J6" s="10" t="s">
        <v>135</v>
      </c>
      <c r="K6" s="124">
        <f>K196</f>
        <v>0.22992557462105001</v>
      </c>
    </row>
    <row r="7" spans="1:11" x14ac:dyDescent="0.2">
      <c r="B7" t="s">
        <v>55</v>
      </c>
      <c r="E7" s="17">
        <v>1</v>
      </c>
      <c r="F7" s="70" t="str">
        <f>IF(E7=1,"Conservative","Management")</f>
        <v>Conservative</v>
      </c>
    </row>
    <row r="9" spans="1:11" x14ac:dyDescent="0.2">
      <c r="A9" s="4" t="s">
        <v>1</v>
      </c>
      <c r="B9" s="5" t="s">
        <v>52</v>
      </c>
      <c r="C9" s="5"/>
      <c r="D9" s="5"/>
      <c r="E9" s="5"/>
      <c r="F9" s="5"/>
      <c r="G9" s="5"/>
      <c r="H9" s="5"/>
      <c r="I9" s="5"/>
      <c r="J9" s="5"/>
      <c r="K9" s="5"/>
    </row>
    <row r="10" spans="1:11" ht="5" customHeight="1" x14ac:dyDescent="0.2"/>
    <row r="11" spans="1:11" x14ac:dyDescent="0.2">
      <c r="B11" s="9" t="s">
        <v>56</v>
      </c>
      <c r="C11" s="9"/>
      <c r="D11" s="9"/>
      <c r="E11" s="9"/>
      <c r="H11" s="9" t="s">
        <v>57</v>
      </c>
      <c r="I11" s="9"/>
      <c r="J11" s="9"/>
      <c r="K11" s="9"/>
    </row>
    <row r="12" spans="1:11" x14ac:dyDescent="0.2">
      <c r="B12" t="s">
        <v>58</v>
      </c>
      <c r="E12" s="14" t="s">
        <v>62</v>
      </c>
      <c r="H12" s="10" t="s">
        <v>64</v>
      </c>
      <c r="K12" s="50">
        <v>24</v>
      </c>
    </row>
    <row r="13" spans="1:11" x14ac:dyDescent="0.2">
      <c r="B13" t="s">
        <v>59</v>
      </c>
      <c r="E13" s="14" t="s">
        <v>63</v>
      </c>
      <c r="H13" s="11" t="s">
        <v>65</v>
      </c>
      <c r="K13" s="13">
        <f>K12/E14-1</f>
        <v>0.27253446447507956</v>
      </c>
    </row>
    <row r="14" spans="1:11" x14ac:dyDescent="0.2">
      <c r="B14" t="s">
        <v>60</v>
      </c>
      <c r="E14" s="14">
        <v>18.86</v>
      </c>
    </row>
    <row r="15" spans="1:11" x14ac:dyDescent="0.2">
      <c r="B15" t="s">
        <v>61</v>
      </c>
      <c r="E15" s="15">
        <v>40422</v>
      </c>
      <c r="H15" s="10" t="s">
        <v>66</v>
      </c>
      <c r="K15" s="49">
        <f>K12*K16</f>
        <v>3325.4354080000003</v>
      </c>
    </row>
    <row r="16" spans="1:11" x14ac:dyDescent="0.2">
      <c r="H16" t="s">
        <v>67</v>
      </c>
      <c r="K16" s="48">
        <f>Shares!E16</f>
        <v>138.55980866666667</v>
      </c>
    </row>
    <row r="18" spans="2:11" x14ac:dyDescent="0.2">
      <c r="B18" s="9" t="s">
        <v>73</v>
      </c>
      <c r="C18" s="9"/>
      <c r="D18" s="9"/>
      <c r="E18" s="9"/>
      <c r="H18" s="11" t="s">
        <v>68</v>
      </c>
      <c r="K18" s="51">
        <f>E20</f>
        <v>755.4</v>
      </c>
    </row>
    <row r="19" spans="2:11" x14ac:dyDescent="0.2">
      <c r="B19" t="s">
        <v>71</v>
      </c>
      <c r="E19" s="86">
        <f>F93</f>
        <v>444.59999999999962</v>
      </c>
      <c r="H19" s="11" t="s">
        <v>69</v>
      </c>
      <c r="K19" s="51">
        <f>E21</f>
        <v>187.6</v>
      </c>
    </row>
    <row r="20" spans="2:11" x14ac:dyDescent="0.2">
      <c r="B20" t="s">
        <v>68</v>
      </c>
      <c r="E20" s="17">
        <f>93.3+667.7-5.6</f>
        <v>755.4</v>
      </c>
    </row>
    <row r="21" spans="2:11" x14ac:dyDescent="0.2">
      <c r="B21" t="s">
        <v>69</v>
      </c>
      <c r="E21" s="17">
        <v>187.6</v>
      </c>
      <c r="H21" s="10" t="s">
        <v>70</v>
      </c>
      <c r="K21" s="52">
        <f>K15+K18-K19</f>
        <v>3893.2354080000005</v>
      </c>
    </row>
    <row r="22" spans="2:11" x14ac:dyDescent="0.2">
      <c r="B22" t="s">
        <v>74</v>
      </c>
      <c r="E22" s="17">
        <f>E21-69.4</f>
        <v>118.19999999999999</v>
      </c>
      <c r="H22" t="s">
        <v>71</v>
      </c>
      <c r="K22" s="51">
        <f>E19</f>
        <v>444.59999999999962</v>
      </c>
    </row>
    <row r="23" spans="2:11" x14ac:dyDescent="0.2">
      <c r="B23" t="s">
        <v>75</v>
      </c>
      <c r="E23" s="88">
        <f>K23</f>
        <v>8.7567148178137728</v>
      </c>
      <c r="H23" s="10" t="s">
        <v>72</v>
      </c>
      <c r="K23" s="87">
        <f>K21/K22</f>
        <v>8.7567148178137728</v>
      </c>
    </row>
    <row r="25" spans="2:11" x14ac:dyDescent="0.2">
      <c r="B25" s="9" t="s">
        <v>76</v>
      </c>
      <c r="C25" s="9"/>
      <c r="D25" s="9"/>
      <c r="E25" s="9"/>
      <c r="F25" s="9"/>
      <c r="G25" s="9"/>
      <c r="H25" s="9"/>
      <c r="I25" s="9"/>
      <c r="J25" s="9"/>
      <c r="K25" s="9"/>
    </row>
    <row r="26" spans="2:11" x14ac:dyDescent="0.2">
      <c r="E26" s="18" t="s">
        <v>80</v>
      </c>
      <c r="F26" s="18" t="s">
        <v>81</v>
      </c>
      <c r="G26" s="18" t="s">
        <v>82</v>
      </c>
      <c r="H26" s="18" t="s">
        <v>83</v>
      </c>
      <c r="I26" s="18" t="s">
        <v>84</v>
      </c>
      <c r="J26" s="18" t="s">
        <v>85</v>
      </c>
      <c r="K26" s="18" t="s">
        <v>86</v>
      </c>
    </row>
    <row r="27" spans="2:11" x14ac:dyDescent="0.2">
      <c r="B27" t="s">
        <v>77</v>
      </c>
      <c r="E27" s="19">
        <v>1510</v>
      </c>
      <c r="F27" s="87">
        <f>E27/$E$19</f>
        <v>3.3963112910481361</v>
      </c>
      <c r="G27" s="22">
        <v>6.8199999999999997E-2</v>
      </c>
      <c r="H27" s="22">
        <v>2.7E-2</v>
      </c>
      <c r="I27" s="20">
        <f>E27*H27</f>
        <v>40.769999999999996</v>
      </c>
      <c r="J27" s="23">
        <v>6</v>
      </c>
      <c r="K27" s="20">
        <f>I27/J27</f>
        <v>6.794999999999999</v>
      </c>
    </row>
    <row r="28" spans="2:11" x14ac:dyDescent="0.2">
      <c r="B28" t="s">
        <v>78</v>
      </c>
      <c r="E28" s="19">
        <v>334.2</v>
      </c>
      <c r="F28" s="87">
        <f t="shared" ref="F28:F29" si="0">E28/$E$19</f>
        <v>0.75168690958164708</v>
      </c>
      <c r="G28" s="22">
        <v>7.1099999999999997E-2</v>
      </c>
      <c r="H28" s="22">
        <v>2.5100000000000001E-2</v>
      </c>
      <c r="I28" s="20">
        <f t="shared" ref="I28:I29" si="1">E28*H28</f>
        <v>8.38842</v>
      </c>
      <c r="J28" s="23">
        <v>6</v>
      </c>
      <c r="K28" s="20">
        <f t="shared" ref="K28:K29" si="2">I28/J28</f>
        <v>1.3980699999999999</v>
      </c>
    </row>
    <row r="29" spans="2:11" x14ac:dyDescent="0.2">
      <c r="B29" t="s">
        <v>79</v>
      </c>
      <c r="E29" s="19">
        <v>800</v>
      </c>
      <c r="F29" s="87">
        <f t="shared" si="0"/>
        <v>1.7993702204228534</v>
      </c>
      <c r="G29" s="22">
        <v>0.1019</v>
      </c>
      <c r="H29" s="22">
        <v>2.5100000000000001E-2</v>
      </c>
      <c r="I29" s="20">
        <f t="shared" si="1"/>
        <v>20.080000000000002</v>
      </c>
      <c r="J29" s="23">
        <v>8</v>
      </c>
      <c r="K29" s="20">
        <f t="shared" si="2"/>
        <v>2.5100000000000002</v>
      </c>
    </row>
    <row r="30" spans="2:11" ht="5" customHeight="1" x14ac:dyDescent="0.2">
      <c r="E30" s="19"/>
      <c r="F30" s="53"/>
      <c r="G30" s="22"/>
      <c r="H30" s="22"/>
      <c r="I30" s="20"/>
      <c r="J30" s="23"/>
      <c r="K30" s="20"/>
    </row>
    <row r="31" spans="2:11" x14ac:dyDescent="0.2">
      <c r="B31" s="43" t="s">
        <v>87</v>
      </c>
      <c r="C31" s="44"/>
      <c r="D31" s="44"/>
      <c r="E31" s="89">
        <f>SUM(E27:E29)</f>
        <v>2644.2</v>
      </c>
      <c r="F31" s="90">
        <f>SUM(F27:F29)</f>
        <v>5.9473684210526372</v>
      </c>
      <c r="G31" s="44"/>
      <c r="H31" s="44"/>
      <c r="I31" s="91">
        <f>SUM(I27:I29)</f>
        <v>69.238419999999991</v>
      </c>
      <c r="J31" s="44"/>
      <c r="K31" s="92">
        <f>SUM(K27:K29)</f>
        <v>10.703069999999999</v>
      </c>
    </row>
    <row r="33" spans="1:13" x14ac:dyDescent="0.2">
      <c r="A33" s="4" t="s">
        <v>1</v>
      </c>
      <c r="B33" s="5" t="s">
        <v>103</v>
      </c>
      <c r="C33" s="5"/>
      <c r="D33" s="5"/>
      <c r="E33" s="5"/>
      <c r="F33" s="5"/>
      <c r="G33" s="5"/>
      <c r="H33" s="5"/>
      <c r="I33" s="5"/>
      <c r="J33" s="5"/>
      <c r="K33" s="5"/>
    </row>
    <row r="34" spans="1:13" ht="5" customHeight="1" x14ac:dyDescent="0.2"/>
    <row r="35" spans="1:13" x14ac:dyDescent="0.2">
      <c r="B35" s="9" t="s">
        <v>104</v>
      </c>
      <c r="C35" s="9"/>
      <c r="D35" s="9"/>
      <c r="E35" s="9"/>
      <c r="F35" s="9"/>
      <c r="H35" s="9" t="s">
        <v>105</v>
      </c>
      <c r="I35" s="9"/>
      <c r="J35" s="9"/>
      <c r="K35" s="9"/>
    </row>
    <row r="36" spans="1:13" x14ac:dyDescent="0.2">
      <c r="D36" s="18" t="s">
        <v>80</v>
      </c>
      <c r="E36" s="18" t="s">
        <v>81</v>
      </c>
      <c r="F36" s="18" t="s">
        <v>108</v>
      </c>
      <c r="I36" s="18" t="s">
        <v>80</v>
      </c>
      <c r="J36" s="18" t="s">
        <v>81</v>
      </c>
      <c r="K36" s="18" t="s">
        <v>108</v>
      </c>
    </row>
    <row r="37" spans="1:13" x14ac:dyDescent="0.2">
      <c r="B37" t="str">
        <f>B27</f>
        <v>Secured term loan - USD tranche</v>
      </c>
      <c r="D37" s="54">
        <f>E27</f>
        <v>1510</v>
      </c>
      <c r="E37" s="87">
        <f>D37/$E$19</f>
        <v>3.3963112910481361</v>
      </c>
      <c r="F37" s="12">
        <f>D37/$D$43</f>
        <v>0.35333208536128785</v>
      </c>
      <c r="H37" t="s">
        <v>109</v>
      </c>
      <c r="I37" s="54">
        <f>K15</f>
        <v>3325.4354080000003</v>
      </c>
      <c r="J37" s="87">
        <f>I37/$E$19</f>
        <v>7.4796118038686528</v>
      </c>
      <c r="K37" s="12">
        <f>I37/$I$43</f>
        <v>0.7781344552602022</v>
      </c>
    </row>
    <row r="38" spans="1:13" x14ac:dyDescent="0.2">
      <c r="B38" t="str">
        <f>B28</f>
        <v>Secured term loan - EUR tranche</v>
      </c>
      <c r="D38" s="54">
        <f>E28</f>
        <v>334.2</v>
      </c>
      <c r="E38" s="87">
        <f t="shared" ref="E38:E41" si="3">D38/$E$19</f>
        <v>0.75168690958164708</v>
      </c>
      <c r="F38" s="12">
        <f t="shared" ref="F38:F43" si="4">D38/$D$43</f>
        <v>7.8201048296518152E-2</v>
      </c>
      <c r="H38" t="s">
        <v>110</v>
      </c>
      <c r="I38" s="54">
        <f>E20</f>
        <v>755.4</v>
      </c>
      <c r="J38" s="87">
        <f t="shared" ref="J38:J41" si="5">I38/$E$19</f>
        <v>1.6990553306342795</v>
      </c>
      <c r="K38" s="12">
        <f t="shared" ref="K38:K41" si="6">I38/$I$43</f>
        <v>0.17675964058405089</v>
      </c>
    </row>
    <row r="39" spans="1:13" x14ac:dyDescent="0.2">
      <c r="B39" t="str">
        <f>B29</f>
        <v>Senior notes</v>
      </c>
      <c r="D39" s="54">
        <f>E29</f>
        <v>800</v>
      </c>
      <c r="E39" s="87">
        <f t="shared" si="3"/>
        <v>1.7993702204228534</v>
      </c>
      <c r="F39" s="12">
        <f t="shared" si="4"/>
        <v>0.18719580681392736</v>
      </c>
      <c r="H39" t="s">
        <v>111</v>
      </c>
      <c r="I39" s="55">
        <v>91.2</v>
      </c>
      <c r="J39" s="87">
        <f t="shared" si="5"/>
        <v>0.20512820512820532</v>
      </c>
      <c r="K39" s="12">
        <f t="shared" si="6"/>
        <v>2.1340321976787719E-2</v>
      </c>
    </row>
    <row r="40" spans="1:13" x14ac:dyDescent="0.2">
      <c r="B40" t="s">
        <v>106</v>
      </c>
      <c r="D40" s="24">
        <f>E21-E22</f>
        <v>69.400000000000006</v>
      </c>
      <c r="E40" s="87">
        <f t="shared" si="3"/>
        <v>0.15609536662168255</v>
      </c>
      <c r="F40" s="12">
        <f t="shared" si="4"/>
        <v>1.62392362411082E-2</v>
      </c>
      <c r="H40" t="s">
        <v>112</v>
      </c>
      <c r="I40" s="54">
        <f>I31</f>
        <v>69.238419999999991</v>
      </c>
      <c r="J40" s="87">
        <f t="shared" si="5"/>
        <v>0.15573193882141262</v>
      </c>
      <c r="K40" s="12">
        <f t="shared" si="6"/>
        <v>1.6201427368026954E-2</v>
      </c>
    </row>
    <row r="41" spans="1:13" x14ac:dyDescent="0.2">
      <c r="B41" t="s">
        <v>107</v>
      </c>
      <c r="D41" s="24">
        <f>D43-SUM(D37:D40)</f>
        <v>1560.0000000000005</v>
      </c>
      <c r="E41" s="87">
        <f t="shared" si="3"/>
        <v>3.5087719298245652</v>
      </c>
      <c r="F41" s="12">
        <f t="shared" si="4"/>
        <v>0.36503182328715844</v>
      </c>
      <c r="H41" t="s">
        <v>113</v>
      </c>
      <c r="I41" s="55">
        <v>32.326171999999588</v>
      </c>
      <c r="J41" s="87">
        <f t="shared" si="5"/>
        <v>7.2708439046332923E-2</v>
      </c>
      <c r="K41" s="12">
        <f t="shared" si="6"/>
        <v>7.5641548109321383E-3</v>
      </c>
    </row>
    <row r="42" spans="1:13" ht="5" customHeight="1" x14ac:dyDescent="0.2"/>
    <row r="43" spans="1:13" x14ac:dyDescent="0.2">
      <c r="B43" s="43" t="s">
        <v>87</v>
      </c>
      <c r="C43" s="44"/>
      <c r="D43" s="89">
        <f>I43</f>
        <v>4273.6000000000004</v>
      </c>
      <c r="E43" s="90">
        <f>SUM(E37:E41)</f>
        <v>9.6122357174988853</v>
      </c>
      <c r="F43" s="93">
        <f t="shared" si="4"/>
        <v>1</v>
      </c>
      <c r="G43" s="10"/>
      <c r="H43" s="43" t="s">
        <v>87</v>
      </c>
      <c r="I43" s="89">
        <f>SUM(I37:I41)</f>
        <v>4273.6000000000004</v>
      </c>
      <c r="J43" s="90">
        <f>SUM(J37:J41)</f>
        <v>9.6122357174988835</v>
      </c>
      <c r="K43" s="93">
        <f>SUM(K37:K41)</f>
        <v>0.99999999999999989</v>
      </c>
    </row>
    <row r="45" spans="1:13" x14ac:dyDescent="0.2">
      <c r="A45" s="4" t="s">
        <v>1</v>
      </c>
      <c r="B45" s="5" t="s">
        <v>114</v>
      </c>
      <c r="C45" s="5"/>
      <c r="D45" s="5"/>
      <c r="E45" s="5"/>
      <c r="F45" s="5"/>
      <c r="G45" s="5"/>
      <c r="H45" s="5"/>
      <c r="I45" s="5"/>
      <c r="J45" s="5"/>
      <c r="K45" s="5"/>
    </row>
    <row r="46" spans="1:13" ht="5" customHeight="1" x14ac:dyDescent="0.2"/>
    <row r="47" spans="1:13" x14ac:dyDescent="0.2">
      <c r="B47" s="9" t="s">
        <v>52</v>
      </c>
      <c r="C47" s="9"/>
      <c r="D47" s="56">
        <v>2008</v>
      </c>
      <c r="E47" s="56">
        <f>D47+1</f>
        <v>2009</v>
      </c>
      <c r="F47" s="56">
        <f t="shared" ref="F47:K47" si="7">E47+1</f>
        <v>2010</v>
      </c>
      <c r="G47" s="57">
        <f t="shared" si="7"/>
        <v>2011</v>
      </c>
      <c r="H47" s="57">
        <f t="shared" si="7"/>
        <v>2012</v>
      </c>
      <c r="I47" s="57">
        <f t="shared" si="7"/>
        <v>2013</v>
      </c>
      <c r="J47" s="57">
        <f t="shared" si="7"/>
        <v>2014</v>
      </c>
      <c r="K47" s="57">
        <f t="shared" si="7"/>
        <v>2015</v>
      </c>
      <c r="M47" s="68" t="s">
        <v>136</v>
      </c>
    </row>
    <row r="48" spans="1:13" ht="5" customHeight="1" x14ac:dyDescent="0.2"/>
    <row r="49" spans="1:13" x14ac:dyDescent="0.2">
      <c r="B49" t="s">
        <v>132</v>
      </c>
      <c r="D49" s="62" t="s">
        <v>131</v>
      </c>
      <c r="E49" s="61">
        <f>E56/D56-1</f>
        <v>3.3690471340693584E-2</v>
      </c>
      <c r="F49" s="61">
        <f>F56/E56-1</f>
        <v>-1.3872467880507666E-2</v>
      </c>
      <c r="G49" s="61">
        <f t="shared" ref="G49:K49" si="8">G56/F56-1</f>
        <v>2.8694748621213462E-2</v>
      </c>
      <c r="H49" s="61">
        <f t="shared" si="8"/>
        <v>-0.18337218337218342</v>
      </c>
      <c r="I49" s="61">
        <f t="shared" si="8"/>
        <v>-0.10371075166508092</v>
      </c>
      <c r="J49" s="61">
        <f t="shared" si="8"/>
        <v>1.3800424628450214E-2</v>
      </c>
      <c r="K49" s="61">
        <f t="shared" si="8"/>
        <v>5.9685863874345602E-2</v>
      </c>
      <c r="M49" s="69">
        <v>0</v>
      </c>
    </row>
    <row r="50" spans="1:13" x14ac:dyDescent="0.2">
      <c r="B50" t="s">
        <v>133</v>
      </c>
      <c r="D50" s="61">
        <f>D62/D$56</f>
        <v>0.37344685704974129</v>
      </c>
      <c r="E50" s="61">
        <f t="shared" ref="E50:F50" si="9">E62/E$56</f>
        <v>0.35221092456845593</v>
      </c>
      <c r="F50" s="61">
        <f t="shared" si="9"/>
        <v>0.35464790983934136</v>
      </c>
      <c r="G50" s="67">
        <f>F50</f>
        <v>0.35464790983934136</v>
      </c>
      <c r="H50" s="61">
        <f>G50+$M$50</f>
        <v>0.37214790983934137</v>
      </c>
      <c r="I50" s="61">
        <f t="shared" ref="I50:K50" si="10">H50+$M$50</f>
        <v>0.38964790983934139</v>
      </c>
      <c r="J50" s="61">
        <f t="shared" si="10"/>
        <v>0.4071479098393414</v>
      </c>
      <c r="K50" s="61">
        <f t="shared" si="10"/>
        <v>0.42464790983934142</v>
      </c>
      <c r="M50" s="69">
        <v>1.7500000000000002E-2</v>
      </c>
    </row>
    <row r="51" spans="1:13" x14ac:dyDescent="0.2">
      <c r="B51" t="s">
        <v>137</v>
      </c>
      <c r="D51" s="61">
        <f>D65/D$56</f>
        <v>0.22915223856275718</v>
      </c>
      <c r="E51" s="61">
        <f t="shared" ref="E51:F51" si="11">E65/E$56</f>
        <v>0.2184519586978797</v>
      </c>
      <c r="F51" s="61">
        <f t="shared" si="11"/>
        <v>0.22160498761090253</v>
      </c>
      <c r="G51" s="67">
        <f>F51</f>
        <v>0.22160498761090253</v>
      </c>
      <c r="H51" s="61">
        <f>G51-$M$51</f>
        <v>0.19960498761090253</v>
      </c>
      <c r="I51" s="61">
        <f t="shared" ref="I51:K51" si="12">H51-$M$51</f>
        <v>0.17760498761090254</v>
      </c>
      <c r="J51" s="61">
        <f t="shared" si="12"/>
        <v>0.15560498761090255</v>
      </c>
      <c r="K51" s="61">
        <f t="shared" si="12"/>
        <v>0.13360498761090256</v>
      </c>
      <c r="M51" s="69">
        <v>2.1999999999999999E-2</v>
      </c>
    </row>
    <row r="52" spans="1:13" x14ac:dyDescent="0.2">
      <c r="B52" t="s">
        <v>134</v>
      </c>
      <c r="D52" s="61">
        <f>D83/D80</f>
        <v>0.35290102389078526</v>
      </c>
      <c r="E52" s="61">
        <f t="shared" ref="E52:F52" si="13">E83/E80</f>
        <v>0.29740168539325834</v>
      </c>
      <c r="F52" s="61">
        <f t="shared" si="13"/>
        <v>0.34294759057333851</v>
      </c>
      <c r="G52" s="61">
        <f>F52-$M$52</f>
        <v>0.33794759057333851</v>
      </c>
      <c r="H52" s="61">
        <f t="shared" ref="H52:K52" si="14">G52-$M$52</f>
        <v>0.3329475905733385</v>
      </c>
      <c r="I52" s="61">
        <f t="shared" si="14"/>
        <v>0.3279475905733385</v>
      </c>
      <c r="J52" s="61">
        <f t="shared" si="14"/>
        <v>0.32294759057333849</v>
      </c>
      <c r="K52" s="61">
        <f t="shared" si="14"/>
        <v>0.31794759057333849</v>
      </c>
      <c r="M52" s="69">
        <v>5.0000000000000001E-3</v>
      </c>
    </row>
    <row r="54" spans="1:13" x14ac:dyDescent="0.2">
      <c r="A54" s="4" t="s">
        <v>1</v>
      </c>
      <c r="B54" s="9" t="s">
        <v>115</v>
      </c>
      <c r="C54" s="9"/>
      <c r="D54" s="56">
        <v>2008</v>
      </c>
      <c r="E54" s="56">
        <f>D54+1</f>
        <v>2009</v>
      </c>
      <c r="F54" s="56">
        <f t="shared" ref="F54:K54" si="15">E54+1</f>
        <v>2010</v>
      </c>
      <c r="G54" s="57">
        <f t="shared" si="15"/>
        <v>2011</v>
      </c>
      <c r="H54" s="57">
        <f t="shared" si="15"/>
        <v>2012</v>
      </c>
      <c r="I54" s="57">
        <f t="shared" si="15"/>
        <v>2013</v>
      </c>
      <c r="J54" s="57">
        <f t="shared" si="15"/>
        <v>2014</v>
      </c>
      <c r="K54" s="57">
        <f t="shared" si="15"/>
        <v>2015</v>
      </c>
    </row>
    <row r="55" spans="1:13" ht="5" customHeight="1" x14ac:dyDescent="0.2"/>
    <row r="56" spans="1:13" x14ac:dyDescent="0.2">
      <c r="B56" t="s">
        <v>116</v>
      </c>
      <c r="D56" s="55">
        <v>2454.6999999999998</v>
      </c>
      <c r="E56" s="55">
        <v>2537.4</v>
      </c>
      <c r="F56" s="55">
        <v>2502.1999999999998</v>
      </c>
      <c r="G56" s="55">
        <v>2574</v>
      </c>
      <c r="H56" s="55">
        <v>2102</v>
      </c>
      <c r="I56" s="55">
        <v>1884</v>
      </c>
      <c r="J56" s="55">
        <v>1910</v>
      </c>
      <c r="K56" s="55">
        <v>2024</v>
      </c>
    </row>
    <row r="57" spans="1:13" x14ac:dyDescent="0.2">
      <c r="B57" s="80" t="s">
        <v>117</v>
      </c>
      <c r="D57" s="63" t="str">
        <f>D49</f>
        <v>--</v>
      </c>
      <c r="E57" s="63">
        <f t="shared" ref="E57:K57" si="16">E49</f>
        <v>3.3690471340693584E-2</v>
      </c>
      <c r="F57" s="63">
        <f t="shared" si="16"/>
        <v>-1.3872467880507666E-2</v>
      </c>
      <c r="G57" s="63">
        <f t="shared" si="16"/>
        <v>2.8694748621213462E-2</v>
      </c>
      <c r="H57" s="63">
        <f t="shared" si="16"/>
        <v>-0.18337218337218342</v>
      </c>
      <c r="I57" s="63">
        <f t="shared" si="16"/>
        <v>-0.10371075166508092</v>
      </c>
      <c r="J57" s="63">
        <f t="shared" si="16"/>
        <v>1.3800424628450214E-2</v>
      </c>
      <c r="K57" s="63">
        <f t="shared" si="16"/>
        <v>5.9685863874345602E-2</v>
      </c>
    </row>
    <row r="59" spans="1:13" x14ac:dyDescent="0.2">
      <c r="B59" t="s">
        <v>118</v>
      </c>
      <c r="D59" s="55">
        <v>1538</v>
      </c>
      <c r="E59" s="55">
        <v>1643.7</v>
      </c>
      <c r="F59" s="55">
        <v>1614.8</v>
      </c>
      <c r="G59" s="20">
        <f>IF(CASE=2,"--",G56-G62)</f>
        <v>1661.1362800735353</v>
      </c>
      <c r="H59" s="20">
        <f>IF(CASE=2,"--",H56-H62)</f>
        <v>1319.7450935177044</v>
      </c>
      <c r="I59" s="20">
        <f>IF(CASE=2,"--",I56-I62)</f>
        <v>1149.9033378626809</v>
      </c>
      <c r="J59" s="20">
        <f>IF(CASE=2,"--",J56-J62)</f>
        <v>1132.3474922068581</v>
      </c>
      <c r="K59" s="20">
        <f>IF(CASE=2,"--",K56-K62)</f>
        <v>1164.5126304851728</v>
      </c>
    </row>
    <row r="60" spans="1:13" x14ac:dyDescent="0.2">
      <c r="B60" s="80" t="s">
        <v>119</v>
      </c>
      <c r="D60" s="64">
        <f>D59/D$56</f>
        <v>0.62655314295025877</v>
      </c>
      <c r="E60" s="64">
        <f t="shared" ref="E60:F60" si="17">E59/E$56</f>
        <v>0.64778907543154407</v>
      </c>
      <c r="F60" s="64">
        <f t="shared" si="17"/>
        <v>0.64535209016065864</v>
      </c>
      <c r="G60" s="64">
        <f>IF(CASE=2,"--",G59/G$56)</f>
        <v>0.64535209016065864</v>
      </c>
      <c r="H60" s="64">
        <f>IF(CASE=2,"--",H59/H$56)</f>
        <v>0.62785209016065857</v>
      </c>
      <c r="I60" s="64">
        <f>IF(CASE=2,"--",I59/I$56)</f>
        <v>0.61035209016065861</v>
      </c>
      <c r="J60" s="64">
        <f>IF(CASE=2,"--",J59/J$56)</f>
        <v>0.59285209016065865</v>
      </c>
      <c r="K60" s="64">
        <f>IF(CASE=2,"--",K59/K$56)</f>
        <v>0.57535209016065847</v>
      </c>
    </row>
    <row r="62" spans="1:13" x14ac:dyDescent="0.2">
      <c r="B62" t="s">
        <v>120</v>
      </c>
      <c r="D62" s="55">
        <f>D56-D59</f>
        <v>916.69999999999982</v>
      </c>
      <c r="E62" s="55">
        <f t="shared" ref="E62:F62" si="18">E56-E59</f>
        <v>893.7</v>
      </c>
      <c r="F62" s="55">
        <f t="shared" si="18"/>
        <v>887.39999999999986</v>
      </c>
      <c r="G62" s="20">
        <f>IF(CASE=2,"--",G63*G56)</f>
        <v>912.86371992646468</v>
      </c>
      <c r="H62" s="20">
        <f>IF(CASE=2,"--",H63*H56)</f>
        <v>782.25490648229561</v>
      </c>
      <c r="I62" s="20">
        <f>IF(CASE=2,"--",I63*I56)</f>
        <v>734.09666213731919</v>
      </c>
      <c r="J62" s="20">
        <f>IF(CASE=2,"--",J63*J56)</f>
        <v>777.65250779314204</v>
      </c>
      <c r="K62" s="20">
        <f>IF(CASE=2,"--",K63*K56)</f>
        <v>859.48736951482704</v>
      </c>
    </row>
    <row r="63" spans="1:13" x14ac:dyDescent="0.2">
      <c r="B63" s="80" t="s">
        <v>119</v>
      </c>
      <c r="D63" s="63">
        <f>D50</f>
        <v>0.37344685704974129</v>
      </c>
      <c r="E63" s="63">
        <f>E50</f>
        <v>0.35221092456845593</v>
      </c>
      <c r="F63" s="63">
        <f>F50</f>
        <v>0.35464790983934136</v>
      </c>
      <c r="G63" s="63">
        <f>IF(CASE=2,"--",G50)</f>
        <v>0.35464790983934136</v>
      </c>
      <c r="H63" s="63">
        <f>IF(CASE=2,"--",H50)</f>
        <v>0.37214790983934137</v>
      </c>
      <c r="I63" s="63">
        <f>IF(CASE=2,"--",I50)</f>
        <v>0.38964790983934139</v>
      </c>
      <c r="J63" s="63">
        <f>IF(CASE=2,"--",J50)</f>
        <v>0.4071479098393414</v>
      </c>
      <c r="K63" s="63">
        <f>IF(CASE=2,"--",K50)</f>
        <v>0.42464790983934142</v>
      </c>
    </row>
    <row r="65" spans="2:22" x14ac:dyDescent="0.2">
      <c r="B65" t="s">
        <v>121</v>
      </c>
      <c r="D65" s="55">
        <v>562.5</v>
      </c>
      <c r="E65" s="55">
        <v>554.29999999999995</v>
      </c>
      <c r="F65" s="55">
        <v>554.50000000000023</v>
      </c>
      <c r="G65" s="20">
        <f>IF(CASE=2,"--",G66*G56)</f>
        <v>570.41123811046305</v>
      </c>
      <c r="H65" s="20">
        <f>IF(CASE=2,"--",H66*H56)</f>
        <v>419.56968395811714</v>
      </c>
      <c r="I65" s="20">
        <f>IF(CASE=2,"--",I66*I56)</f>
        <v>334.6077966589404</v>
      </c>
      <c r="J65" s="20">
        <f>IF(CASE=2,"--",J66*J56)</f>
        <v>297.20552633682388</v>
      </c>
      <c r="K65" s="20">
        <f>IF(CASE=2,"--",K66*K56)</f>
        <v>270.4164949244668</v>
      </c>
    </row>
    <row r="66" spans="2:22" ht="14.5" customHeight="1" x14ac:dyDescent="0.2">
      <c r="B66" s="80" t="s">
        <v>119</v>
      </c>
      <c r="D66" s="63">
        <f>D51</f>
        <v>0.22915223856275718</v>
      </c>
      <c r="E66" s="63">
        <f t="shared" ref="E66:F66" si="19">E51</f>
        <v>0.2184519586978797</v>
      </c>
      <c r="F66" s="63">
        <f t="shared" si="19"/>
        <v>0.22160498761090253</v>
      </c>
      <c r="G66" s="63">
        <f>IF(CASE=2,"--",G51)</f>
        <v>0.22160498761090253</v>
      </c>
      <c r="H66" s="63">
        <f>IF(CASE=2,"--",H51)</f>
        <v>0.19960498761090253</v>
      </c>
      <c r="I66" s="63">
        <f>IF(CASE=2,"--",I51)</f>
        <v>0.17760498761090254</v>
      </c>
      <c r="J66" s="63">
        <f>IF(CASE=2,"--",J51)</f>
        <v>0.15560498761090255</v>
      </c>
      <c r="K66" s="63">
        <f>IF(CASE=2,"--",K51)</f>
        <v>0.13360498761090256</v>
      </c>
    </row>
    <row r="67" spans="2:22" x14ac:dyDescent="0.2">
      <c r="D67" s="58"/>
      <c r="E67" s="58"/>
      <c r="F67" s="58"/>
      <c r="G67" s="24"/>
    </row>
    <row r="68" spans="2:22" x14ac:dyDescent="0.2">
      <c r="B68" s="71" t="s">
        <v>122</v>
      </c>
      <c r="C68" s="72"/>
      <c r="D68" s="73">
        <f>D62-D65</f>
        <v>354.19999999999982</v>
      </c>
      <c r="E68" s="73">
        <f t="shared" ref="E68:F68" si="20">E62-E65</f>
        <v>339.40000000000009</v>
      </c>
      <c r="F68" s="73">
        <f t="shared" si="20"/>
        <v>332.89999999999964</v>
      </c>
      <c r="G68" s="74">
        <f>CHOOSE(CASE,G71,G74)</f>
        <v>342.45248181600164</v>
      </c>
      <c r="H68" s="74">
        <f>CHOOSE(CASE,H71,H74)</f>
        <v>362.68522252417847</v>
      </c>
      <c r="I68" s="74">
        <f>CHOOSE(CASE,I71,I74)</f>
        <v>399.48886547837878</v>
      </c>
      <c r="J68" s="74">
        <f>CHOOSE(CASE,J71,J74)</f>
        <v>480.44698145631816</v>
      </c>
      <c r="K68" s="75">
        <f>CHOOSE(CASE,K71,K74)</f>
        <v>589.07087459036029</v>
      </c>
    </row>
    <row r="69" spans="2:22" x14ac:dyDescent="0.2">
      <c r="B69" s="81" t="s">
        <v>119</v>
      </c>
      <c r="C69" s="77"/>
      <c r="D69" s="78">
        <f>D68/D$56</f>
        <v>0.14429461848698408</v>
      </c>
      <c r="E69" s="78">
        <f t="shared" ref="E69" si="21">E68/E$56</f>
        <v>0.1337589658705762</v>
      </c>
      <c r="F69" s="78">
        <f t="shared" ref="F69" si="22">F68/F$56</f>
        <v>0.13304292222843883</v>
      </c>
      <c r="G69" s="78">
        <f t="shared" ref="G69" si="23">G68/G$56</f>
        <v>0.13304292222843886</v>
      </c>
      <c r="H69" s="78">
        <f t="shared" ref="H69" si="24">H68/H$56</f>
        <v>0.17254292222843887</v>
      </c>
      <c r="I69" s="78">
        <f t="shared" ref="I69" si="25">I68/I$56</f>
        <v>0.21204292222843885</v>
      </c>
      <c r="J69" s="78">
        <f t="shared" ref="J69" si="26">J68/J$56</f>
        <v>0.25154292222843883</v>
      </c>
      <c r="K69" s="79">
        <f t="shared" ref="K69" si="27">K68/K$56</f>
        <v>0.29104292222843886</v>
      </c>
    </row>
    <row r="71" spans="2:22" x14ac:dyDescent="0.2">
      <c r="B71" t="s">
        <v>123</v>
      </c>
      <c r="G71" s="24">
        <f>IF(CASE=1,G62-G65,G71)</f>
        <v>342.45248181600164</v>
      </c>
      <c r="H71" s="24">
        <f>IF(CASE=1,H62-H65,H71)</f>
        <v>362.68522252417847</v>
      </c>
      <c r="I71" s="24">
        <f>IF(CASE=1,I62-I65,I71)</f>
        <v>399.48886547837878</v>
      </c>
      <c r="J71" s="24">
        <f>IF(CASE=1,J62-J65,J71)</f>
        <v>480.44698145631816</v>
      </c>
      <c r="K71" s="24">
        <f>IF(CASE=1,K62-K65,K71)</f>
        <v>589.07087459036029</v>
      </c>
    </row>
    <row r="72" spans="2:22" x14ac:dyDescent="0.2">
      <c r="B72" s="80" t="s">
        <v>119</v>
      </c>
      <c r="G72" s="64">
        <f t="shared" ref="G72" si="28">G71/G$56</f>
        <v>0.13304292222843886</v>
      </c>
      <c r="H72" s="64">
        <f t="shared" ref="H72" si="29">H71/H$56</f>
        <v>0.17254292222843887</v>
      </c>
      <c r="I72" s="64">
        <f t="shared" ref="I72" si="30">I71/I$56</f>
        <v>0.21204292222843885</v>
      </c>
      <c r="J72" s="64">
        <f t="shared" ref="J72" si="31">J71/J$56</f>
        <v>0.25154292222843883</v>
      </c>
      <c r="K72" s="64">
        <f t="shared" ref="K72" si="32">K71/K$56</f>
        <v>0.29104292222843886</v>
      </c>
    </row>
    <row r="74" spans="2:22" x14ac:dyDescent="0.2">
      <c r="B74" t="s">
        <v>124</v>
      </c>
      <c r="G74" s="55">
        <v>351</v>
      </c>
      <c r="H74" s="55">
        <v>426</v>
      </c>
      <c r="I74" s="55">
        <v>465</v>
      </c>
      <c r="J74" s="55">
        <v>528</v>
      </c>
      <c r="K74" s="55">
        <v>589</v>
      </c>
      <c r="L74" s="65"/>
      <c r="M74" s="66"/>
      <c r="N74" s="65"/>
      <c r="P74" s="65"/>
      <c r="Q74" s="66"/>
      <c r="R74" s="65"/>
      <c r="T74" s="65"/>
      <c r="U74" s="66"/>
      <c r="V74" s="65"/>
    </row>
    <row r="75" spans="2:22" x14ac:dyDescent="0.2">
      <c r="B75" s="80" t="s">
        <v>119</v>
      </c>
      <c r="G75" s="64">
        <f t="shared" ref="G75" si="33">G74/G$56</f>
        <v>0.13636363636363635</v>
      </c>
      <c r="H75" s="64">
        <f t="shared" ref="H75" si="34">H74/H$56</f>
        <v>0.20266412940057088</v>
      </c>
      <c r="I75" s="64">
        <f t="shared" ref="I75" si="35">I74/I$56</f>
        <v>0.24681528662420382</v>
      </c>
      <c r="J75" s="64">
        <f t="shared" ref="J75" si="36">J74/J$56</f>
        <v>0.27643979057591622</v>
      </c>
      <c r="K75" s="64">
        <f t="shared" ref="K75" si="37">K74/K$56</f>
        <v>0.29100790513833991</v>
      </c>
    </row>
    <row r="77" spans="2:22" x14ac:dyDescent="0.2">
      <c r="B77" t="s">
        <v>125</v>
      </c>
      <c r="D77" s="55">
        <v>67.099999999999994</v>
      </c>
      <c r="E77" s="55">
        <v>57.3</v>
      </c>
      <c r="F77" s="55">
        <v>49.6</v>
      </c>
      <c r="G77" s="54">
        <f>G182</f>
        <v>0</v>
      </c>
      <c r="H77" s="54">
        <f>H182</f>
        <v>0</v>
      </c>
      <c r="I77" s="54">
        <f t="shared" ref="I77:K77" si="38">I182</f>
        <v>0</v>
      </c>
      <c r="J77" s="54">
        <f t="shared" si="38"/>
        <v>0</v>
      </c>
      <c r="K77" s="54">
        <f t="shared" si="38"/>
        <v>0</v>
      </c>
    </row>
    <row r="78" spans="2:22" x14ac:dyDescent="0.2">
      <c r="B78" t="s">
        <v>126</v>
      </c>
      <c r="D78" s="55">
        <v>5.9</v>
      </c>
      <c r="E78" s="55">
        <v>2.7</v>
      </c>
      <c r="F78" s="55">
        <v>1</v>
      </c>
      <c r="G78" s="54">
        <f>G170</f>
        <v>0</v>
      </c>
      <c r="H78" s="54">
        <f t="shared" ref="H78:K78" si="39">H170</f>
        <v>0</v>
      </c>
      <c r="I78" s="54">
        <f t="shared" si="39"/>
        <v>0</v>
      </c>
      <c r="J78" s="54">
        <f t="shared" si="39"/>
        <v>0</v>
      </c>
      <c r="K78" s="54">
        <f t="shared" si="39"/>
        <v>0</v>
      </c>
    </row>
    <row r="80" spans="2:22" x14ac:dyDescent="0.2">
      <c r="B80" t="s">
        <v>127</v>
      </c>
      <c r="D80" s="24">
        <f>D68-D77+D78</f>
        <v>292.99999999999977</v>
      </c>
      <c r="E80" s="24">
        <f t="shared" ref="E80:F80" si="40">E68-E77+E78</f>
        <v>284.80000000000007</v>
      </c>
      <c r="F80" s="24">
        <f t="shared" si="40"/>
        <v>284.29999999999961</v>
      </c>
      <c r="G80" s="24">
        <f>G68-G77+G78</f>
        <v>342.45248181600164</v>
      </c>
      <c r="H80" s="24">
        <f t="shared" ref="H80:K80" si="41">H68-H77+H78</f>
        <v>362.68522252417847</v>
      </c>
      <c r="I80" s="24">
        <f t="shared" si="41"/>
        <v>399.48886547837878</v>
      </c>
      <c r="J80" s="24">
        <f t="shared" si="41"/>
        <v>480.44698145631816</v>
      </c>
      <c r="K80" s="24">
        <f t="shared" si="41"/>
        <v>589.07087459036029</v>
      </c>
    </row>
    <row r="81" spans="2:11" x14ac:dyDescent="0.2">
      <c r="B81" s="80" t="s">
        <v>119</v>
      </c>
      <c r="D81" s="64">
        <f>D80/D$56</f>
        <v>0.11936285493135609</v>
      </c>
      <c r="E81" s="64">
        <f t="shared" ref="E81" si="42">E80/E$56</f>
        <v>0.11224087648774338</v>
      </c>
      <c r="F81" s="64">
        <f t="shared" ref="F81:G81" si="43">F80/F$56</f>
        <v>0.113620014387339</v>
      </c>
      <c r="G81" s="64">
        <f t="shared" si="43"/>
        <v>0.13304292222843886</v>
      </c>
      <c r="H81" s="64">
        <f t="shared" ref="H81" si="44">H80/H$56</f>
        <v>0.17254292222843887</v>
      </c>
      <c r="I81" s="64">
        <f t="shared" ref="I81" si="45">I80/I$56</f>
        <v>0.21204292222843885</v>
      </c>
      <c r="J81" s="64">
        <f t="shared" ref="J81" si="46">J80/J$56</f>
        <v>0.25154292222843883</v>
      </c>
      <c r="K81" s="64">
        <f t="shared" ref="K81" si="47">K80/K$56</f>
        <v>0.29104292222843886</v>
      </c>
    </row>
    <row r="83" spans="2:11" x14ac:dyDescent="0.2">
      <c r="B83" t="s">
        <v>128</v>
      </c>
      <c r="D83" s="55">
        <v>103.4</v>
      </c>
      <c r="E83" s="55">
        <v>84.7</v>
      </c>
      <c r="F83" s="55">
        <v>97.5</v>
      </c>
      <c r="G83" s="24">
        <f>G80*G84</f>
        <v>115.73099111557777</v>
      </c>
      <c r="H83" s="24">
        <f t="shared" ref="H83:K83" si="48">H80*H84</f>
        <v>120.75517097598033</v>
      </c>
      <c r="I83" s="24">
        <f t="shared" si="48"/>
        <v>131.01141089451087</v>
      </c>
      <c r="J83" s="24">
        <f t="shared" si="48"/>
        <v>155.15919505955139</v>
      </c>
      <c r="K83" s="24">
        <f t="shared" si="48"/>
        <v>187.29366525293429</v>
      </c>
    </row>
    <row r="84" spans="2:11" x14ac:dyDescent="0.2">
      <c r="B84" s="80" t="s">
        <v>129</v>
      </c>
      <c r="D84" s="63">
        <f>D52</f>
        <v>0.35290102389078526</v>
      </c>
      <c r="E84" s="63">
        <f>E52</f>
        <v>0.29740168539325834</v>
      </c>
      <c r="F84" s="63">
        <f>F52</f>
        <v>0.34294759057333851</v>
      </c>
      <c r="G84" s="63">
        <f>G52</f>
        <v>0.33794759057333851</v>
      </c>
      <c r="H84" s="63">
        <f t="shared" ref="H84:K84" si="49">H52</f>
        <v>0.3329475905733385</v>
      </c>
      <c r="I84" s="63">
        <f t="shared" si="49"/>
        <v>0.3279475905733385</v>
      </c>
      <c r="J84" s="63">
        <f t="shared" si="49"/>
        <v>0.32294759057333849</v>
      </c>
      <c r="K84" s="63">
        <f t="shared" si="49"/>
        <v>0.31794759057333849</v>
      </c>
    </row>
    <row r="86" spans="2:11" x14ac:dyDescent="0.2">
      <c r="B86" s="71" t="s">
        <v>130</v>
      </c>
      <c r="C86" s="72"/>
      <c r="D86" s="74">
        <f>D80-D83</f>
        <v>189.59999999999977</v>
      </c>
      <c r="E86" s="74">
        <f t="shared" ref="E86:F86" si="50">E80-E83</f>
        <v>200.10000000000008</v>
      </c>
      <c r="F86" s="74">
        <f t="shared" si="50"/>
        <v>186.79999999999961</v>
      </c>
      <c r="G86" s="74">
        <f>G80-G83</f>
        <v>226.72149070042389</v>
      </c>
      <c r="H86" s="74">
        <f t="shared" ref="H86:K86" si="51">H80-H83</f>
        <v>241.93005154819815</v>
      </c>
      <c r="I86" s="74">
        <f t="shared" si="51"/>
        <v>268.47745458386794</v>
      </c>
      <c r="J86" s="74">
        <f t="shared" si="51"/>
        <v>325.28778639676676</v>
      </c>
      <c r="K86" s="75">
        <f t="shared" si="51"/>
        <v>401.77720933742603</v>
      </c>
    </row>
    <row r="87" spans="2:11" x14ac:dyDescent="0.2">
      <c r="B87" s="81" t="s">
        <v>119</v>
      </c>
      <c r="C87" s="77"/>
      <c r="D87" s="78">
        <f>D86/D$56</f>
        <v>7.7239581211553263E-2</v>
      </c>
      <c r="E87" s="78">
        <f t="shared" ref="E87" si="52">E86/E$56</f>
        <v>7.8860250650271954E-2</v>
      </c>
      <c r="F87" s="78">
        <f t="shared" ref="F87:G87" si="53">F86/F$56</f>
        <v>7.4654304212293035E-2</v>
      </c>
      <c r="G87" s="78">
        <f t="shared" si="53"/>
        <v>8.8081387218501894E-2</v>
      </c>
      <c r="H87" s="78">
        <f t="shared" ref="H87" si="54">H86/H$56</f>
        <v>0.11509517200199722</v>
      </c>
      <c r="I87" s="78">
        <f t="shared" ref="I87" si="55">I86/I$56</f>
        <v>0.14250395678549255</v>
      </c>
      <c r="J87" s="78">
        <f t="shared" ref="J87" si="56">J86/J$56</f>
        <v>0.17030774156898784</v>
      </c>
      <c r="K87" s="79">
        <f t="shared" ref="K87" si="57">K86/K$56</f>
        <v>0.19850652635248323</v>
      </c>
    </row>
    <row r="89" spans="2:11" x14ac:dyDescent="0.2">
      <c r="B89" s="84" t="s">
        <v>138</v>
      </c>
    </row>
    <row r="90" spans="2:11" x14ac:dyDescent="0.2">
      <c r="B90" t="s">
        <v>122</v>
      </c>
      <c r="D90" s="54">
        <f>D68</f>
        <v>354.19999999999982</v>
      </c>
      <c r="E90" s="54">
        <f t="shared" ref="E90:F90" si="58">E68</f>
        <v>339.40000000000009</v>
      </c>
      <c r="F90" s="54">
        <f t="shared" si="58"/>
        <v>332.89999999999964</v>
      </c>
    </row>
    <row r="91" spans="2:11" x14ac:dyDescent="0.2">
      <c r="B91" t="s">
        <v>139</v>
      </c>
      <c r="D91" s="54">
        <f>D119</f>
        <v>95.6</v>
      </c>
      <c r="E91" s="54">
        <f t="shared" ref="E91:F91" si="59">E119</f>
        <v>98.1</v>
      </c>
      <c r="F91" s="54">
        <f t="shared" si="59"/>
        <v>111.7</v>
      </c>
      <c r="G91" s="59"/>
      <c r="I91" s="59"/>
      <c r="J91" s="60"/>
      <c r="K91" s="59"/>
    </row>
    <row r="92" spans="2:11" x14ac:dyDescent="0.2">
      <c r="B92" s="3" t="s">
        <v>140</v>
      </c>
      <c r="C92" s="3"/>
      <c r="D92" s="85">
        <v>0</v>
      </c>
      <c r="E92" s="85">
        <f>1.5+2</f>
        <v>3.5</v>
      </c>
      <c r="F92" s="85">
        <v>0</v>
      </c>
      <c r="G92" s="3"/>
      <c r="H92" s="3"/>
      <c r="I92" s="3"/>
      <c r="J92" s="3"/>
      <c r="K92" s="3"/>
    </row>
    <row r="93" spans="2:11" x14ac:dyDescent="0.2">
      <c r="B93" s="10" t="s">
        <v>141</v>
      </c>
      <c r="C93" s="10"/>
      <c r="D93" s="52">
        <f>D90+D91+D92</f>
        <v>449.79999999999984</v>
      </c>
      <c r="E93" s="52">
        <f t="shared" ref="E93:F93" si="60">E90+E91+E92</f>
        <v>441.00000000000011</v>
      </c>
      <c r="F93" s="52">
        <f t="shared" si="60"/>
        <v>444.59999999999962</v>
      </c>
    </row>
    <row r="94" spans="2:11" x14ac:dyDescent="0.2">
      <c r="B94" s="80" t="s">
        <v>119</v>
      </c>
      <c r="D94" s="64">
        <f>D93/D$56</f>
        <v>0.18324031449871669</v>
      </c>
      <c r="E94" s="64">
        <f t="shared" ref="E94" si="61">E93/E$56</f>
        <v>0.1737999527074959</v>
      </c>
      <c r="F94" s="64">
        <f t="shared" ref="F94" si="62">F93/F$56</f>
        <v>0.17768363839820944</v>
      </c>
    </row>
    <row r="96" spans="2:11" x14ac:dyDescent="0.2">
      <c r="B96" s="71" t="s">
        <v>141</v>
      </c>
      <c r="C96" s="72"/>
      <c r="D96" s="100">
        <f>D93</f>
        <v>449.79999999999984</v>
      </c>
      <c r="E96" s="100">
        <f t="shared" ref="E96:F96" si="63">E93</f>
        <v>441.00000000000011</v>
      </c>
      <c r="F96" s="100">
        <f t="shared" si="63"/>
        <v>444.59999999999962</v>
      </c>
      <c r="G96" s="102">
        <f>CHOOSE(CASE,G99,G102)</f>
        <v>447.34129525775268</v>
      </c>
      <c r="H96" s="102">
        <f>CHOOSE(CASE,H99,H102)</f>
        <v>448.34034523379796</v>
      </c>
      <c r="I96" s="102">
        <f>CHOOSE(CASE,I99,I102)</f>
        <v>476.26063102781893</v>
      </c>
      <c r="J96" s="102">
        <f>CHOOSE(CASE,J99,J102)</f>
        <v>558.27822996981638</v>
      </c>
      <c r="K96" s="103">
        <f>CHOOSE(CASE,K99,K102)</f>
        <v>671.54754840780549</v>
      </c>
    </row>
    <row r="97" spans="1:13" x14ac:dyDescent="0.2">
      <c r="B97" s="81" t="s">
        <v>119</v>
      </c>
      <c r="C97" s="77"/>
      <c r="D97" s="97">
        <f>D94</f>
        <v>0.18324031449871669</v>
      </c>
      <c r="E97" s="97">
        <f t="shared" ref="E97:F97" si="64">E94</f>
        <v>0.1737999527074959</v>
      </c>
      <c r="F97" s="97">
        <f t="shared" si="64"/>
        <v>0.17768363839820944</v>
      </c>
      <c r="G97" s="78">
        <f t="shared" ref="G97" si="65">G96/G$56</f>
        <v>0.17379226699990391</v>
      </c>
      <c r="H97" s="78">
        <f t="shared" ref="H97" si="66">H96/H$56</f>
        <v>0.21329226699990389</v>
      </c>
      <c r="I97" s="78">
        <f t="shared" ref="I97" si="67">I96/I$56</f>
        <v>0.25279226699990387</v>
      </c>
      <c r="J97" s="78">
        <f t="shared" ref="J97" si="68">J96/J$56</f>
        <v>0.29229226699990385</v>
      </c>
      <c r="K97" s="79">
        <f t="shared" ref="K97" si="69">K96/K$56</f>
        <v>0.33179226699990388</v>
      </c>
    </row>
    <row r="99" spans="1:13" x14ac:dyDescent="0.2">
      <c r="B99" t="s">
        <v>142</v>
      </c>
      <c r="G99" s="53">
        <f>G71+G122</f>
        <v>447.34129525775268</v>
      </c>
      <c r="H99" s="53">
        <f t="shared" ref="H99:K99" si="70">H71+H122</f>
        <v>448.34034523379796</v>
      </c>
      <c r="I99" s="53">
        <f t="shared" si="70"/>
        <v>476.26063102781893</v>
      </c>
      <c r="J99" s="53">
        <f t="shared" si="70"/>
        <v>558.27822996981638</v>
      </c>
      <c r="K99" s="53">
        <f t="shared" si="70"/>
        <v>671.54754840780549</v>
      </c>
    </row>
    <row r="100" spans="1:13" x14ac:dyDescent="0.2">
      <c r="B100" s="80" t="s">
        <v>119</v>
      </c>
      <c r="G100" s="64">
        <f t="shared" ref="G100" si="71">G99/G$56</f>
        <v>0.17379226699990391</v>
      </c>
      <c r="H100" s="64">
        <f t="shared" ref="H100" si="72">H99/H$56</f>
        <v>0.21329226699990389</v>
      </c>
      <c r="I100" s="64">
        <f t="shared" ref="I100" si="73">I99/I$56</f>
        <v>0.25279226699990387</v>
      </c>
      <c r="J100" s="64">
        <f t="shared" ref="J100" si="74">J99/J$56</f>
        <v>0.29229226699990385</v>
      </c>
      <c r="K100" s="64">
        <f t="shared" ref="K100" si="75">K99/K$56</f>
        <v>0.33179226699990388</v>
      </c>
    </row>
    <row r="102" spans="1:13" x14ac:dyDescent="0.2">
      <c r="B102" t="s">
        <v>143</v>
      </c>
      <c r="G102" s="55">
        <v>464</v>
      </c>
      <c r="H102" s="55">
        <v>518</v>
      </c>
      <c r="I102" s="55">
        <v>563</v>
      </c>
      <c r="J102" s="55">
        <v>620</v>
      </c>
      <c r="K102" s="55">
        <v>685</v>
      </c>
    </row>
    <row r="103" spans="1:13" x14ac:dyDescent="0.2">
      <c r="B103" s="80" t="s">
        <v>119</v>
      </c>
      <c r="G103" s="64">
        <f t="shared" ref="G103" si="76">G102/G$56</f>
        <v>0.18026418026418026</v>
      </c>
      <c r="H103" s="64">
        <f t="shared" ref="H103" si="77">H102/H$56</f>
        <v>0.24643196955280686</v>
      </c>
      <c r="I103" s="64">
        <f t="shared" ref="I103" si="78">I102/I$56</f>
        <v>0.29883227176220806</v>
      </c>
      <c r="J103" s="64">
        <f t="shared" ref="J103" si="79">J102/J$56</f>
        <v>0.32460732984293195</v>
      </c>
      <c r="K103" s="64">
        <f t="shared" ref="K103" si="80">K102/K$56</f>
        <v>0.3384387351778656</v>
      </c>
    </row>
    <row r="105" spans="1:13" x14ac:dyDescent="0.2">
      <c r="A105" s="4" t="s">
        <v>1</v>
      </c>
      <c r="B105" s="9" t="s">
        <v>144</v>
      </c>
      <c r="C105" s="9"/>
      <c r="D105" s="56">
        <v>2008</v>
      </c>
      <c r="E105" s="56">
        <f>D105+1</f>
        <v>2009</v>
      </c>
      <c r="F105" s="56">
        <f t="shared" ref="F105:K105" si="81">E105+1</f>
        <v>2010</v>
      </c>
      <c r="G105" s="57">
        <f t="shared" si="81"/>
        <v>2011</v>
      </c>
      <c r="H105" s="57">
        <f t="shared" si="81"/>
        <v>2012</v>
      </c>
      <c r="I105" s="57">
        <f t="shared" si="81"/>
        <v>2013</v>
      </c>
      <c r="J105" s="57">
        <f t="shared" si="81"/>
        <v>2014</v>
      </c>
      <c r="K105" s="57">
        <f t="shared" si="81"/>
        <v>2015</v>
      </c>
    </row>
    <row r="106" spans="1:13" ht="5" customHeight="1" x14ac:dyDescent="0.2"/>
    <row r="107" spans="1:13" x14ac:dyDescent="0.2">
      <c r="B107" s="84" t="s">
        <v>145</v>
      </c>
    </row>
    <row r="108" spans="1:13" x14ac:dyDescent="0.2">
      <c r="B108" t="s">
        <v>146</v>
      </c>
      <c r="C108" s="66"/>
      <c r="D108" s="55">
        <v>8.6</v>
      </c>
      <c r="E108" s="55">
        <v>-2.1</v>
      </c>
      <c r="F108" s="55">
        <v>15.9</v>
      </c>
      <c r="M108" s="84" t="s">
        <v>152</v>
      </c>
    </row>
    <row r="109" spans="1:13" x14ac:dyDescent="0.2">
      <c r="B109" t="s">
        <v>147</v>
      </c>
      <c r="C109" s="66"/>
      <c r="D109" s="55">
        <v>-14.9</v>
      </c>
      <c r="E109" s="55">
        <v>35.4</v>
      </c>
      <c r="F109" s="55">
        <v>1.4</v>
      </c>
      <c r="M109" t="s">
        <v>153</v>
      </c>
    </row>
    <row r="110" spans="1:13" x14ac:dyDescent="0.2">
      <c r="M110" t="s">
        <v>154</v>
      </c>
    </row>
    <row r="111" spans="1:13" x14ac:dyDescent="0.2">
      <c r="B111" s="84" t="s">
        <v>151</v>
      </c>
      <c r="M111" t="s">
        <v>155</v>
      </c>
    </row>
    <row r="112" spans="1:13" x14ac:dyDescent="0.2">
      <c r="B112" t="s">
        <v>148</v>
      </c>
      <c r="C112" s="66"/>
      <c r="D112" s="55">
        <v>20.8</v>
      </c>
      <c r="E112" s="55">
        <v>3.3</v>
      </c>
      <c r="F112" s="55">
        <v>-20.8</v>
      </c>
      <c r="M112" t="s">
        <v>156</v>
      </c>
    </row>
    <row r="113" spans="2:13" x14ac:dyDescent="0.2">
      <c r="B113" t="s">
        <v>149</v>
      </c>
      <c r="C113" s="66"/>
      <c r="D113" s="55">
        <v>11.1</v>
      </c>
      <c r="E113" s="55">
        <v>-7.7</v>
      </c>
      <c r="F113" s="55">
        <v>6.4</v>
      </c>
    </row>
    <row r="114" spans="2:13" x14ac:dyDescent="0.2">
      <c r="B114" t="s">
        <v>150</v>
      </c>
      <c r="C114" s="66"/>
      <c r="D114" s="55">
        <v>-6.2</v>
      </c>
      <c r="E114" s="55">
        <v>-20.8</v>
      </c>
      <c r="F114" s="55">
        <v>-22.3</v>
      </c>
    </row>
    <row r="116" spans="2:13" x14ac:dyDescent="0.2">
      <c r="B116" s="71" t="s">
        <v>157</v>
      </c>
      <c r="C116" s="72"/>
      <c r="D116" s="74">
        <f>SUM(D108:D109)-SUM(D112:D114)</f>
        <v>-32</v>
      </c>
      <c r="E116" s="74">
        <f t="shared" ref="E116:F116" si="82">SUM(E108:E109)-SUM(E112:E114)</f>
        <v>58.5</v>
      </c>
      <c r="F116" s="74">
        <f t="shared" si="82"/>
        <v>54</v>
      </c>
      <c r="G116" s="74">
        <f>G117*G56</f>
        <v>27.112704111135937</v>
      </c>
      <c r="H116" s="74">
        <f t="shared" ref="H116:K116" si="83">H117*H56</f>
        <v>22.140988361152967</v>
      </c>
      <c r="I116" s="74">
        <f t="shared" si="83"/>
        <v>19.844729815609988</v>
      </c>
      <c r="J116" s="74">
        <f t="shared" si="83"/>
        <v>20.118595513702267</v>
      </c>
      <c r="K116" s="75">
        <f t="shared" si="83"/>
        <v>21.319391266876121</v>
      </c>
    </row>
    <row r="117" spans="2:13" x14ac:dyDescent="0.2">
      <c r="B117" s="81" t="s">
        <v>119</v>
      </c>
      <c r="C117" s="77"/>
      <c r="D117" s="78">
        <f t="shared" ref="D117" si="84">D116/D$56</f>
        <v>-1.3036216238236852E-2</v>
      </c>
      <c r="E117" s="78">
        <f t="shared" ref="E117" si="85">E116/E$56</f>
        <v>2.3055095767320878E-2</v>
      </c>
      <c r="F117" s="78">
        <f t="shared" ref="F117" si="86">F116/F$56</f>
        <v>2.158100871233315E-2</v>
      </c>
      <c r="G117" s="96">
        <f>AVERAGE(D117:F117)</f>
        <v>1.0533296080472392E-2</v>
      </c>
      <c r="H117" s="97">
        <f>G117</f>
        <v>1.0533296080472392E-2</v>
      </c>
      <c r="I117" s="97">
        <f t="shared" ref="I117:K117" si="87">H117</f>
        <v>1.0533296080472392E-2</v>
      </c>
      <c r="J117" s="97">
        <f t="shared" si="87"/>
        <v>1.0533296080472392E-2</v>
      </c>
      <c r="K117" s="98">
        <f t="shared" si="87"/>
        <v>1.0533296080472392E-2</v>
      </c>
    </row>
    <row r="119" spans="2:13" x14ac:dyDescent="0.2">
      <c r="B119" s="71" t="s">
        <v>139</v>
      </c>
      <c r="C119" s="72"/>
      <c r="D119" s="73">
        <v>95.6</v>
      </c>
      <c r="E119" s="73">
        <v>98.1</v>
      </c>
      <c r="F119" s="73">
        <v>111.7</v>
      </c>
      <c r="G119" s="74">
        <f>CHOOSE(CASE,G122,G125)</f>
        <v>104.88881344175103</v>
      </c>
      <c r="H119" s="74">
        <f>CHOOSE(CASE,H122,H125)</f>
        <v>85.655122709619519</v>
      </c>
      <c r="I119" s="74">
        <f>CHOOSE(CASE,I122,I125)</f>
        <v>76.771765549440147</v>
      </c>
      <c r="J119" s="74">
        <f>CHOOSE(CASE,J122,J125)</f>
        <v>77.831248513498238</v>
      </c>
      <c r="K119" s="75">
        <f>CHOOSE(CASE,K122,K125)</f>
        <v>82.476673817445246</v>
      </c>
    </row>
    <row r="120" spans="2:13" x14ac:dyDescent="0.2">
      <c r="B120" s="81" t="s">
        <v>119</v>
      </c>
      <c r="C120" s="77"/>
      <c r="D120" s="78">
        <f t="shared" ref="D120:F120" si="88">D119/D$56</f>
        <v>3.8945696011732596E-2</v>
      </c>
      <c r="E120" s="78">
        <f t="shared" si="88"/>
        <v>3.8661622132891933E-2</v>
      </c>
      <c r="F120" s="78">
        <f t="shared" si="88"/>
        <v>4.4640716169770604E-2</v>
      </c>
      <c r="G120" s="78">
        <f t="shared" ref="G120" si="89">G119/G$56</f>
        <v>4.0749344771465044E-2</v>
      </c>
      <c r="H120" s="78">
        <f t="shared" ref="H120" si="90">H119/H$56</f>
        <v>4.0749344771465044E-2</v>
      </c>
      <c r="I120" s="78">
        <f t="shared" ref="I120" si="91">I119/I$56</f>
        <v>4.0749344771465044E-2</v>
      </c>
      <c r="J120" s="78">
        <f t="shared" ref="J120" si="92">J119/J$56</f>
        <v>4.0749344771465044E-2</v>
      </c>
      <c r="K120" s="79">
        <f t="shared" ref="K120" si="93">K119/K$56</f>
        <v>4.0749344771465044E-2</v>
      </c>
    </row>
    <row r="122" spans="2:13" x14ac:dyDescent="0.2">
      <c r="B122" t="s">
        <v>158</v>
      </c>
      <c r="D122" s="55"/>
      <c r="E122" s="55"/>
      <c r="F122" s="55"/>
      <c r="G122" s="24">
        <f>G123*G56</f>
        <v>104.88881344175103</v>
      </c>
      <c r="H122" s="24">
        <f t="shared" ref="H122:K122" si="94">H123*H56</f>
        <v>85.655122709619519</v>
      </c>
      <c r="I122" s="24">
        <f t="shared" si="94"/>
        <v>76.771765549440147</v>
      </c>
      <c r="J122" s="24">
        <f t="shared" si="94"/>
        <v>77.831248513498238</v>
      </c>
      <c r="K122" s="24">
        <f t="shared" si="94"/>
        <v>82.476673817445246</v>
      </c>
    </row>
    <row r="123" spans="2:13" x14ac:dyDescent="0.2">
      <c r="B123" s="80" t="s">
        <v>119</v>
      </c>
      <c r="D123" s="64"/>
      <c r="E123" s="64"/>
      <c r="F123" s="64"/>
      <c r="G123" s="95">
        <f>AVERAGE(D120:F120)</f>
        <v>4.0749344771465044E-2</v>
      </c>
      <c r="H123" s="95">
        <f>G123</f>
        <v>4.0749344771465044E-2</v>
      </c>
      <c r="I123" s="95">
        <f t="shared" ref="I123:K123" si="95">H123</f>
        <v>4.0749344771465044E-2</v>
      </c>
      <c r="J123" s="95">
        <f t="shared" si="95"/>
        <v>4.0749344771465044E-2</v>
      </c>
      <c r="K123" s="95">
        <f t="shared" si="95"/>
        <v>4.0749344771465044E-2</v>
      </c>
    </row>
    <row r="125" spans="2:13" x14ac:dyDescent="0.2">
      <c r="B125" t="s">
        <v>159</v>
      </c>
      <c r="G125" s="24">
        <f>G102-G74</f>
        <v>113</v>
      </c>
      <c r="H125" s="24">
        <f t="shared" ref="H125:K125" si="96">H102-H74</f>
        <v>92</v>
      </c>
      <c r="I125" s="24">
        <f t="shared" si="96"/>
        <v>98</v>
      </c>
      <c r="J125" s="24">
        <f t="shared" si="96"/>
        <v>92</v>
      </c>
      <c r="K125" s="24">
        <f t="shared" si="96"/>
        <v>96</v>
      </c>
    </row>
    <row r="126" spans="2:13" x14ac:dyDescent="0.2">
      <c r="B126" s="80" t="s">
        <v>119</v>
      </c>
      <c r="D126" s="64"/>
      <c r="E126" s="64"/>
      <c r="F126" s="64"/>
      <c r="G126" s="64">
        <f t="shared" ref="G126" si="97">G125/G$56</f>
        <v>4.3900543900543904E-2</v>
      </c>
      <c r="H126" s="64">
        <f t="shared" ref="H126" si="98">H125/H$56</f>
        <v>4.3767840152235969E-2</v>
      </c>
      <c r="I126" s="64">
        <f t="shared" ref="I126" si="99">I125/I$56</f>
        <v>5.2016985138004249E-2</v>
      </c>
      <c r="J126" s="64">
        <f t="shared" ref="J126" si="100">J125/J$56</f>
        <v>4.8167539267015703E-2</v>
      </c>
      <c r="K126" s="64">
        <f t="shared" ref="K126" si="101">K125/K$56</f>
        <v>4.7430830039525688E-2</v>
      </c>
    </row>
    <row r="128" spans="2:13" x14ac:dyDescent="0.2">
      <c r="B128" s="71" t="s">
        <v>161</v>
      </c>
      <c r="C128" s="72"/>
      <c r="D128" s="73">
        <v>178.2</v>
      </c>
      <c r="E128" s="73">
        <v>204</v>
      </c>
      <c r="F128" s="73">
        <v>150.30000000000001</v>
      </c>
      <c r="G128" s="74">
        <f>G129*G56</f>
        <v>182.80533167533957</v>
      </c>
      <c r="H128" s="74">
        <f t="shared" ref="H128:K128" si="102">H129*H56</f>
        <v>149.2839188739564</v>
      </c>
      <c r="I128" s="74">
        <f t="shared" si="102"/>
        <v>133.80157143602943</v>
      </c>
      <c r="J128" s="74">
        <f t="shared" si="102"/>
        <v>135.64808993780053</v>
      </c>
      <c r="K128" s="75">
        <f t="shared" si="102"/>
        <v>143.74436336864309</v>
      </c>
      <c r="M128" s="59"/>
    </row>
    <row r="129" spans="1:11" x14ac:dyDescent="0.2">
      <c r="B129" s="81" t="s">
        <v>119</v>
      </c>
      <c r="C129" s="77"/>
      <c r="D129" s="78">
        <f t="shared" ref="D129" si="103">D128/D$56</f>
        <v>7.2595429176681464E-2</v>
      </c>
      <c r="E129" s="78">
        <f t="shared" ref="E129" si="104">E128/E$56</f>
        <v>8.0397257034759986E-2</v>
      </c>
      <c r="F129" s="78">
        <f t="shared" ref="F129" si="105">F128/F$56</f>
        <v>6.0067140915993932E-2</v>
      </c>
      <c r="G129" s="104">
        <f>AVERAGE(D129:F129)</f>
        <v>7.1019942375811801E-2</v>
      </c>
      <c r="H129" s="97">
        <f>G129</f>
        <v>7.1019942375811801E-2</v>
      </c>
      <c r="I129" s="97">
        <f t="shared" ref="I129:K129" si="106">H129</f>
        <v>7.1019942375811801E-2</v>
      </c>
      <c r="J129" s="97">
        <f t="shared" si="106"/>
        <v>7.1019942375811801E-2</v>
      </c>
      <c r="K129" s="98">
        <f t="shared" si="106"/>
        <v>7.1019942375811801E-2</v>
      </c>
    </row>
    <row r="131" spans="1:11" x14ac:dyDescent="0.2">
      <c r="A131" s="4" t="s">
        <v>1</v>
      </c>
      <c r="B131" s="9" t="s">
        <v>160</v>
      </c>
      <c r="C131" s="9"/>
      <c r="D131" s="56">
        <v>2008</v>
      </c>
      <c r="E131" s="56">
        <f>D131+1</f>
        <v>2009</v>
      </c>
      <c r="F131" s="56">
        <f t="shared" ref="F131:K131" si="107">E131+1</f>
        <v>2010</v>
      </c>
      <c r="G131" s="57">
        <f t="shared" si="107"/>
        <v>2011</v>
      </c>
      <c r="H131" s="57">
        <f t="shared" si="107"/>
        <v>2012</v>
      </c>
      <c r="I131" s="57">
        <f t="shared" si="107"/>
        <v>2013</v>
      </c>
      <c r="J131" s="57">
        <f t="shared" si="107"/>
        <v>2014</v>
      </c>
      <c r="K131" s="57">
        <f t="shared" si="107"/>
        <v>2015</v>
      </c>
    </row>
    <row r="132" spans="1:11" ht="5" customHeight="1" x14ac:dyDescent="0.2"/>
    <row r="133" spans="1:11" x14ac:dyDescent="0.2">
      <c r="B133" t="s">
        <v>130</v>
      </c>
      <c r="G133" s="54">
        <f>G86</f>
        <v>226.72149070042389</v>
      </c>
      <c r="H133" s="54">
        <f t="shared" ref="H133:K133" si="108">H86</f>
        <v>241.93005154819815</v>
      </c>
      <c r="I133" s="54">
        <f t="shared" si="108"/>
        <v>268.47745458386794</v>
      </c>
      <c r="J133" s="54">
        <f t="shared" si="108"/>
        <v>325.28778639676676</v>
      </c>
      <c r="K133" s="54">
        <f t="shared" si="108"/>
        <v>401.77720933742603</v>
      </c>
    </row>
    <row r="134" spans="1:11" x14ac:dyDescent="0.2">
      <c r="B134" t="s">
        <v>139</v>
      </c>
      <c r="G134" s="54">
        <f>G119</f>
        <v>104.88881344175103</v>
      </c>
      <c r="H134" s="54">
        <f t="shared" ref="H134:K134" si="109">H119</f>
        <v>85.655122709619519</v>
      </c>
      <c r="I134" s="54">
        <f t="shared" si="109"/>
        <v>76.771765549440147</v>
      </c>
      <c r="J134" s="54">
        <f t="shared" si="109"/>
        <v>77.831248513498238</v>
      </c>
      <c r="K134" s="54">
        <f t="shared" si="109"/>
        <v>82.476673817445246</v>
      </c>
    </row>
    <row r="135" spans="1:11" x14ac:dyDescent="0.2">
      <c r="B135" t="s">
        <v>161</v>
      </c>
      <c r="G135" s="54">
        <f>G128</f>
        <v>182.80533167533957</v>
      </c>
      <c r="H135" s="54">
        <f t="shared" ref="H135:K135" si="110">H128</f>
        <v>149.2839188739564</v>
      </c>
      <c r="I135" s="54">
        <f t="shared" si="110"/>
        <v>133.80157143602943</v>
      </c>
      <c r="J135" s="54">
        <f t="shared" si="110"/>
        <v>135.64808993780053</v>
      </c>
      <c r="K135" s="54">
        <f t="shared" si="110"/>
        <v>143.74436336864309</v>
      </c>
    </row>
    <row r="136" spans="1:11" x14ac:dyDescent="0.2">
      <c r="B136" t="s">
        <v>162</v>
      </c>
      <c r="G136" s="54">
        <f>G116</f>
        <v>27.112704111135937</v>
      </c>
      <c r="H136" s="54">
        <f t="shared" ref="H136:K136" si="111">H116</f>
        <v>22.140988361152967</v>
      </c>
      <c r="I136" s="54">
        <f t="shared" si="111"/>
        <v>19.844729815609988</v>
      </c>
      <c r="J136" s="54">
        <f t="shared" si="111"/>
        <v>20.118595513702267</v>
      </c>
      <c r="K136" s="54">
        <f t="shared" si="111"/>
        <v>21.319391266876121</v>
      </c>
    </row>
    <row r="137" spans="1:11" x14ac:dyDescent="0.2">
      <c r="B137" s="3" t="s">
        <v>163</v>
      </c>
      <c r="C137" s="3"/>
      <c r="D137" s="3"/>
      <c r="E137" s="3"/>
      <c r="F137" s="3"/>
      <c r="G137" s="85">
        <v>0</v>
      </c>
      <c r="H137" s="85">
        <v>0</v>
      </c>
      <c r="I137" s="85">
        <v>0</v>
      </c>
      <c r="J137" s="85">
        <v>0</v>
      </c>
      <c r="K137" s="85">
        <v>0</v>
      </c>
    </row>
    <row r="138" spans="1:11" x14ac:dyDescent="0.2">
      <c r="B138" s="10" t="s">
        <v>160</v>
      </c>
      <c r="C138" s="10"/>
      <c r="D138" s="10"/>
      <c r="E138" s="10"/>
      <c r="F138" s="10"/>
      <c r="G138" s="52">
        <f>G133+G134-G135-G136-G137</f>
        <v>121.69226835569941</v>
      </c>
      <c r="H138" s="52">
        <f t="shared" ref="H138:K138" si="112">H133+H134-H135-H136-H137</f>
        <v>156.16026702270833</v>
      </c>
      <c r="I138" s="52">
        <f t="shared" si="112"/>
        <v>191.60291888166867</v>
      </c>
      <c r="J138" s="52">
        <f t="shared" si="112"/>
        <v>247.35234945876218</v>
      </c>
      <c r="K138" s="52">
        <f t="shared" si="112"/>
        <v>319.19012851935213</v>
      </c>
    </row>
    <row r="140" spans="1:11" x14ac:dyDescent="0.2">
      <c r="A140" s="4" t="s">
        <v>1</v>
      </c>
      <c r="B140" s="5" t="s">
        <v>164</v>
      </c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5" customHeight="1" x14ac:dyDescent="0.2"/>
    <row r="142" spans="1:11" x14ac:dyDescent="0.2">
      <c r="B142" s="9" t="s">
        <v>165</v>
      </c>
      <c r="C142" s="9"/>
      <c r="D142" s="56">
        <v>2008</v>
      </c>
      <c r="E142" s="56">
        <f>D142+1</f>
        <v>2009</v>
      </c>
      <c r="F142" s="56">
        <f t="shared" ref="F142:K142" si="113">E142+1</f>
        <v>2010</v>
      </c>
      <c r="G142" s="57">
        <f t="shared" si="113"/>
        <v>2011</v>
      </c>
      <c r="H142" s="57">
        <f t="shared" si="113"/>
        <v>2012</v>
      </c>
      <c r="I142" s="57">
        <f t="shared" si="113"/>
        <v>2013</v>
      </c>
      <c r="J142" s="57">
        <f t="shared" si="113"/>
        <v>2014</v>
      </c>
      <c r="K142" s="57">
        <f t="shared" si="113"/>
        <v>2015</v>
      </c>
    </row>
    <row r="143" spans="1:11" x14ac:dyDescent="0.2">
      <c r="B143" s="84" t="s">
        <v>69</v>
      </c>
    </row>
    <row r="144" spans="1:11" x14ac:dyDescent="0.2">
      <c r="B144" s="11" t="s">
        <v>166</v>
      </c>
      <c r="G144" s="115">
        <f>E22</f>
        <v>118.19999999999999</v>
      </c>
      <c r="H144" s="54">
        <f t="shared" ref="H144:K144" si="114">G146</f>
        <v>118.19999999999999</v>
      </c>
      <c r="I144" s="54">
        <f t="shared" si="114"/>
        <v>118.19999999999999</v>
      </c>
      <c r="J144" s="54">
        <f t="shared" si="114"/>
        <v>118.19999999999999</v>
      </c>
      <c r="K144" s="54">
        <f t="shared" si="114"/>
        <v>118.19999999999999</v>
      </c>
    </row>
    <row r="145" spans="2:11" x14ac:dyDescent="0.2">
      <c r="B145" s="11" t="s">
        <v>167</v>
      </c>
      <c r="G145" s="55">
        <v>0</v>
      </c>
      <c r="H145" s="55">
        <v>0</v>
      </c>
      <c r="I145" s="55">
        <v>0</v>
      </c>
      <c r="J145" s="55">
        <v>0</v>
      </c>
      <c r="K145" s="55">
        <v>0</v>
      </c>
    </row>
    <row r="146" spans="2:11" x14ac:dyDescent="0.2">
      <c r="B146" s="105" t="s">
        <v>168</v>
      </c>
      <c r="F146" s="94">
        <f>E21</f>
        <v>187.6</v>
      </c>
      <c r="G146" s="52">
        <f>G144+G145</f>
        <v>118.19999999999999</v>
      </c>
      <c r="H146" s="52">
        <f t="shared" ref="H146:K146" si="115">H144+H145</f>
        <v>118.19999999999999</v>
      </c>
      <c r="I146" s="52">
        <f t="shared" si="115"/>
        <v>118.19999999999999</v>
      </c>
      <c r="J146" s="52">
        <f t="shared" si="115"/>
        <v>118.19999999999999</v>
      </c>
      <c r="K146" s="52">
        <f t="shared" si="115"/>
        <v>118.19999999999999</v>
      </c>
    </row>
    <row r="148" spans="2:11" x14ac:dyDescent="0.2">
      <c r="B148" s="84" t="str">
        <f>B37</f>
        <v>Secured term loan - USD tranche</v>
      </c>
    </row>
    <row r="149" spans="2:11" x14ac:dyDescent="0.2">
      <c r="B149" s="11" t="s">
        <v>166</v>
      </c>
      <c r="G149" s="54">
        <f>F151</f>
        <v>1510</v>
      </c>
      <c r="H149" s="54">
        <f t="shared" ref="H149:K149" si="116">G151</f>
        <v>1388.3077316443005</v>
      </c>
      <c r="I149" s="54">
        <f t="shared" si="116"/>
        <v>1232.1474646215922</v>
      </c>
      <c r="J149" s="54">
        <f t="shared" si="116"/>
        <v>1040.5445457399235</v>
      </c>
      <c r="K149" s="54">
        <f t="shared" si="116"/>
        <v>793.19219628116127</v>
      </c>
    </row>
    <row r="150" spans="2:11" x14ac:dyDescent="0.2">
      <c r="B150" s="11" t="s">
        <v>169</v>
      </c>
      <c r="G150" s="24">
        <f>IF(G138&lt;0,0,MIN(G138,G149))</f>
        <v>121.69226835569941</v>
      </c>
      <c r="H150" s="24">
        <f t="shared" ref="H150:K150" si="117">IF(H138&lt;0,0,MIN(H138,H149))</f>
        <v>156.16026702270833</v>
      </c>
      <c r="I150" s="24">
        <f t="shared" si="117"/>
        <v>191.60291888166867</v>
      </c>
      <c r="J150" s="24">
        <f t="shared" si="117"/>
        <v>247.35234945876218</v>
      </c>
      <c r="K150" s="24">
        <f t="shared" si="117"/>
        <v>319.19012851935213</v>
      </c>
    </row>
    <row r="151" spans="2:11" x14ac:dyDescent="0.2">
      <c r="B151" s="105" t="s">
        <v>168</v>
      </c>
      <c r="F151" s="94">
        <f>E27</f>
        <v>1510</v>
      </c>
      <c r="G151" s="52">
        <f>G149-G150</f>
        <v>1388.3077316443005</v>
      </c>
      <c r="H151" s="52">
        <f t="shared" ref="H151:K151" si="118">H149-H150</f>
        <v>1232.1474646215922</v>
      </c>
      <c r="I151" s="52">
        <f t="shared" si="118"/>
        <v>1040.5445457399235</v>
      </c>
      <c r="J151" s="52">
        <f t="shared" si="118"/>
        <v>793.19219628116127</v>
      </c>
      <c r="K151" s="52">
        <f t="shared" si="118"/>
        <v>474.00206776180914</v>
      </c>
    </row>
    <row r="152" spans="2:11" x14ac:dyDescent="0.2">
      <c r="B152" s="10"/>
    </row>
    <row r="153" spans="2:11" x14ac:dyDescent="0.2">
      <c r="B153" s="84" t="str">
        <f>B38</f>
        <v>Secured term loan - EUR tranche</v>
      </c>
    </row>
    <row r="154" spans="2:11" x14ac:dyDescent="0.2">
      <c r="B154" s="11" t="s">
        <v>166</v>
      </c>
      <c r="G154" s="54">
        <f>F156</f>
        <v>334.2</v>
      </c>
      <c r="H154" s="54">
        <f t="shared" ref="H154:K154" si="119">G156</f>
        <v>334.2</v>
      </c>
      <c r="I154" s="54">
        <f t="shared" si="119"/>
        <v>334.2</v>
      </c>
      <c r="J154" s="54">
        <f t="shared" si="119"/>
        <v>334.2</v>
      </c>
      <c r="K154" s="54">
        <f t="shared" si="119"/>
        <v>334.2</v>
      </c>
    </row>
    <row r="155" spans="2:11" x14ac:dyDescent="0.2">
      <c r="B155" s="11" t="s">
        <v>169</v>
      </c>
      <c r="G155" s="24">
        <f>IF(G138&lt;0,0,MIN(G154,G138-G150))</f>
        <v>0</v>
      </c>
      <c r="H155" s="24">
        <f t="shared" ref="H155:K155" si="120">IF(H138&lt;0,0,MIN(H154,H138-H150))</f>
        <v>0</v>
      </c>
      <c r="I155" s="24">
        <f t="shared" si="120"/>
        <v>0</v>
      </c>
      <c r="J155" s="24">
        <f t="shared" si="120"/>
        <v>0</v>
      </c>
      <c r="K155" s="24">
        <f t="shared" si="120"/>
        <v>0</v>
      </c>
    </row>
    <row r="156" spans="2:11" x14ac:dyDescent="0.2">
      <c r="B156" s="105" t="s">
        <v>168</v>
      </c>
      <c r="F156" s="94">
        <f>E28</f>
        <v>334.2</v>
      </c>
      <c r="G156" s="52">
        <f>G154-G155</f>
        <v>334.2</v>
      </c>
      <c r="H156" s="52">
        <f t="shared" ref="H156:K156" si="121">H154-H155</f>
        <v>334.2</v>
      </c>
      <c r="I156" s="52">
        <f t="shared" si="121"/>
        <v>334.2</v>
      </c>
      <c r="J156" s="52">
        <f t="shared" si="121"/>
        <v>334.2</v>
      </c>
      <c r="K156" s="52">
        <f t="shared" si="121"/>
        <v>334.2</v>
      </c>
    </row>
    <row r="158" spans="2:11" x14ac:dyDescent="0.2">
      <c r="B158" s="84" t="str">
        <f>B39</f>
        <v>Senior notes</v>
      </c>
    </row>
    <row r="159" spans="2:11" x14ac:dyDescent="0.2">
      <c r="B159" s="11" t="s">
        <v>166</v>
      </c>
      <c r="G159" s="54">
        <f>F161</f>
        <v>800</v>
      </c>
      <c r="H159" s="54">
        <f t="shared" ref="H159:K159" si="122">G161</f>
        <v>800</v>
      </c>
      <c r="I159" s="54">
        <f t="shared" si="122"/>
        <v>800</v>
      </c>
      <c r="J159" s="54">
        <f t="shared" si="122"/>
        <v>800</v>
      </c>
      <c r="K159" s="54">
        <f t="shared" si="122"/>
        <v>800</v>
      </c>
    </row>
    <row r="160" spans="2:11" x14ac:dyDescent="0.2">
      <c r="B160" s="11" t="s">
        <v>169</v>
      </c>
      <c r="G160" s="24">
        <f>IF(G138&lt;0,0,MIN(G159,G138-G150-G155))</f>
        <v>0</v>
      </c>
      <c r="H160" s="24">
        <f t="shared" ref="H160:K160" si="123">IF(H138&lt;0,0,MIN(H159,H138-H150-H155))</f>
        <v>0</v>
      </c>
      <c r="I160" s="24">
        <f t="shared" si="123"/>
        <v>0</v>
      </c>
      <c r="J160" s="24">
        <f t="shared" si="123"/>
        <v>0</v>
      </c>
      <c r="K160" s="24">
        <f t="shared" si="123"/>
        <v>0</v>
      </c>
    </row>
    <row r="161" spans="1:11" x14ac:dyDescent="0.2">
      <c r="B161" s="105" t="s">
        <v>168</v>
      </c>
      <c r="F161" s="94">
        <f>E29</f>
        <v>800</v>
      </c>
      <c r="G161" s="52">
        <f>G159-G160</f>
        <v>800</v>
      </c>
      <c r="H161" s="52">
        <f t="shared" ref="H161:K161" si="124">H159-H160</f>
        <v>800</v>
      </c>
      <c r="I161" s="52">
        <f t="shared" si="124"/>
        <v>800</v>
      </c>
      <c r="J161" s="52">
        <f t="shared" si="124"/>
        <v>800</v>
      </c>
      <c r="K161" s="52">
        <f t="shared" si="124"/>
        <v>800</v>
      </c>
    </row>
    <row r="163" spans="1:11" x14ac:dyDescent="0.2">
      <c r="B163" s="106" t="s">
        <v>170</v>
      </c>
      <c r="C163" s="82"/>
      <c r="D163" s="82"/>
      <c r="E163" s="82"/>
      <c r="F163" s="82"/>
      <c r="G163" s="82"/>
      <c r="H163" s="82"/>
      <c r="I163" s="82"/>
      <c r="J163" s="82"/>
      <c r="K163" s="99"/>
    </row>
    <row r="164" spans="1:11" x14ac:dyDescent="0.2">
      <c r="B164" s="107" t="s">
        <v>166</v>
      </c>
      <c r="C164" s="108"/>
      <c r="D164" s="108"/>
      <c r="E164" s="108"/>
      <c r="F164" s="108"/>
      <c r="G164" s="109">
        <f>G149+G154+G159</f>
        <v>2644.2</v>
      </c>
      <c r="H164" s="109">
        <f t="shared" ref="H164:K164" si="125">H149+H154+H159</f>
        <v>2522.5077316443003</v>
      </c>
      <c r="I164" s="109">
        <f t="shared" si="125"/>
        <v>2366.3474646215923</v>
      </c>
      <c r="J164" s="109">
        <f t="shared" si="125"/>
        <v>2174.7445457399235</v>
      </c>
      <c r="K164" s="110">
        <f t="shared" si="125"/>
        <v>1927.3921962811612</v>
      </c>
    </row>
    <row r="165" spans="1:11" x14ac:dyDescent="0.2">
      <c r="B165" s="107" t="s">
        <v>169</v>
      </c>
      <c r="C165" s="108"/>
      <c r="D165" s="108"/>
      <c r="E165" s="108"/>
      <c r="F165" s="108"/>
      <c r="G165" s="109">
        <f>G150+G155+G160</f>
        <v>121.69226835569941</v>
      </c>
      <c r="H165" s="109">
        <f t="shared" ref="H165:K165" si="126">H150+H155+H160</f>
        <v>156.16026702270833</v>
      </c>
      <c r="I165" s="109">
        <f t="shared" si="126"/>
        <v>191.60291888166867</v>
      </c>
      <c r="J165" s="109">
        <f t="shared" si="126"/>
        <v>247.35234945876218</v>
      </c>
      <c r="K165" s="110">
        <f t="shared" si="126"/>
        <v>319.19012851935213</v>
      </c>
    </row>
    <row r="166" spans="1:11" x14ac:dyDescent="0.2">
      <c r="B166" s="76" t="s">
        <v>168</v>
      </c>
      <c r="C166" s="83"/>
      <c r="D166" s="83"/>
      <c r="E166" s="83"/>
      <c r="F166" s="111">
        <f>F151+F156+F161</f>
        <v>2644.2</v>
      </c>
      <c r="G166" s="111">
        <f t="shared" ref="G166:K166" si="127">G151+G156+G161</f>
        <v>2522.5077316443003</v>
      </c>
      <c r="H166" s="111">
        <f t="shared" si="127"/>
        <v>2366.3474646215923</v>
      </c>
      <c r="I166" s="111">
        <f t="shared" si="127"/>
        <v>2174.7445457399235</v>
      </c>
      <c r="J166" s="111">
        <f t="shared" si="127"/>
        <v>1927.3921962811612</v>
      </c>
      <c r="K166" s="112">
        <f t="shared" si="127"/>
        <v>1608.2020677618091</v>
      </c>
    </row>
    <row r="167" spans="1:11" x14ac:dyDescent="0.2">
      <c r="B167" s="113" t="s">
        <v>171</v>
      </c>
      <c r="C167" s="113"/>
      <c r="D167" s="113"/>
      <c r="E167" s="113"/>
      <c r="F167" s="113"/>
      <c r="G167" s="114" t="b">
        <f>G164-G165=G166</f>
        <v>1</v>
      </c>
      <c r="H167" s="114" t="b">
        <f t="shared" ref="H167:K167" si="128">H164-H165=H166</f>
        <v>1</v>
      </c>
      <c r="I167" s="114" t="b">
        <f t="shared" si="128"/>
        <v>1</v>
      </c>
      <c r="J167" s="114" t="b">
        <f t="shared" si="128"/>
        <v>1</v>
      </c>
      <c r="K167" s="114" t="b">
        <f t="shared" si="128"/>
        <v>1</v>
      </c>
    </row>
    <row r="169" spans="1:11" x14ac:dyDescent="0.2">
      <c r="A169" s="4" t="s">
        <v>1</v>
      </c>
      <c r="B169" s="9" t="s">
        <v>172</v>
      </c>
      <c r="C169" s="9"/>
      <c r="D169" s="56">
        <v>2008</v>
      </c>
      <c r="E169" s="56">
        <f>D169+1</f>
        <v>2009</v>
      </c>
      <c r="F169" s="56">
        <f t="shared" ref="F169:K169" si="129">E169+1</f>
        <v>2010</v>
      </c>
      <c r="G169" s="57">
        <f t="shared" si="129"/>
        <v>2011</v>
      </c>
      <c r="H169" s="57">
        <f t="shared" si="129"/>
        <v>2012</v>
      </c>
      <c r="I169" s="57">
        <f t="shared" si="129"/>
        <v>2013</v>
      </c>
      <c r="J169" s="57">
        <f t="shared" si="129"/>
        <v>2014</v>
      </c>
      <c r="K169" s="57">
        <f t="shared" si="129"/>
        <v>2015</v>
      </c>
    </row>
    <row r="170" spans="1:11" x14ac:dyDescent="0.2">
      <c r="B170" t="s">
        <v>69</v>
      </c>
      <c r="F170" s="54">
        <f>F78</f>
        <v>1</v>
      </c>
      <c r="G170" s="53">
        <f>IF(CIRC="OFF",AVERAGE(G144,G146)*G171,0)</f>
        <v>0</v>
      </c>
      <c r="H170" s="53">
        <f>IF(CIRC="OFF",AVERAGE(H144,H146)*H171,0)</f>
        <v>0</v>
      </c>
      <c r="I170" s="53">
        <f>IF(CIRC="OFF",AVERAGE(I144,I146)*I171,0)</f>
        <v>0</v>
      </c>
      <c r="J170" s="53">
        <f>IF(CIRC="OFF",AVERAGE(J144,J146)*J171,0)</f>
        <v>0</v>
      </c>
      <c r="K170" s="53">
        <f>IF(CIRC="OFF",AVERAGE(K144,K146)*K171,0)</f>
        <v>0</v>
      </c>
    </row>
    <row r="171" spans="1:11" x14ac:dyDescent="0.2">
      <c r="B171" s="80" t="s">
        <v>173</v>
      </c>
      <c r="F171" s="21">
        <f>F170/F146</f>
        <v>5.3304904051172707E-3</v>
      </c>
      <c r="G171" s="116">
        <f>F171</f>
        <v>5.3304904051172707E-3</v>
      </c>
      <c r="H171" s="116">
        <f t="shared" ref="H171:K171" si="130">G171</f>
        <v>5.3304904051172707E-3</v>
      </c>
      <c r="I171" s="116">
        <f t="shared" si="130"/>
        <v>5.3304904051172707E-3</v>
      </c>
      <c r="J171" s="116">
        <f t="shared" si="130"/>
        <v>5.3304904051172707E-3</v>
      </c>
      <c r="K171" s="116">
        <f t="shared" si="130"/>
        <v>5.3304904051172707E-3</v>
      </c>
    </row>
    <row r="173" spans="1:11" x14ac:dyDescent="0.2">
      <c r="B173" t="str">
        <f>B27</f>
        <v>Secured term loan - USD tranche</v>
      </c>
      <c r="G173" s="53">
        <f>IF(CIRC="OFF",G174*AVERAGE(G149,G151),0)</f>
        <v>0</v>
      </c>
      <c r="H173" s="53">
        <f>IF(CIRC="OFF",H174*AVERAGE(H149,H151),0)</f>
        <v>0</v>
      </c>
      <c r="I173" s="53">
        <f>IF(CIRC="OFF",I174*AVERAGE(I149,I151),0)</f>
        <v>0</v>
      </c>
      <c r="J173" s="53">
        <f>IF(CIRC="OFF",J174*AVERAGE(J149,J151),0)</f>
        <v>0</v>
      </c>
      <c r="K173" s="53">
        <f>IF(CIRC="OFF",K174*AVERAGE(K149,K151),0)</f>
        <v>0</v>
      </c>
    </row>
    <row r="174" spans="1:11" x14ac:dyDescent="0.2">
      <c r="B174" s="80" t="s">
        <v>174</v>
      </c>
      <c r="F174" s="116"/>
      <c r="G174" s="116">
        <f t="shared" ref="G174:K174" si="131">$G$27</f>
        <v>6.8199999999999997E-2</v>
      </c>
      <c r="H174" s="116">
        <f t="shared" si="131"/>
        <v>6.8199999999999997E-2</v>
      </c>
      <c r="I174" s="116">
        <f t="shared" si="131"/>
        <v>6.8199999999999997E-2</v>
      </c>
      <c r="J174" s="116">
        <f t="shared" si="131"/>
        <v>6.8199999999999997E-2</v>
      </c>
      <c r="K174" s="116">
        <f t="shared" si="131"/>
        <v>6.8199999999999997E-2</v>
      </c>
    </row>
    <row r="176" spans="1:11" x14ac:dyDescent="0.2">
      <c r="B176" t="str">
        <f>B28</f>
        <v>Secured term loan - EUR tranche</v>
      </c>
      <c r="G176" s="53">
        <f>IF(CIRC="OFF",G177*AVERAGE(G154,G156),0)</f>
        <v>0</v>
      </c>
      <c r="H176" s="53">
        <f>IF(CIRC="OFF",H177*AVERAGE(H154,H156),0)</f>
        <v>0</v>
      </c>
      <c r="I176" s="53">
        <f>IF(CIRC="OFF",I177*AVERAGE(I154,I156),0)</f>
        <v>0</v>
      </c>
      <c r="J176" s="53">
        <f>IF(CIRC="OFF",J177*AVERAGE(J154,J156),0)</f>
        <v>0</v>
      </c>
      <c r="K176" s="53">
        <f>IF(CIRC="OFF",K177*AVERAGE(K154,K156),0)</f>
        <v>0</v>
      </c>
    </row>
    <row r="177" spans="1:11" x14ac:dyDescent="0.2">
      <c r="B177" s="80" t="s">
        <v>174</v>
      </c>
      <c r="F177" s="116"/>
      <c r="G177" s="116">
        <f t="shared" ref="G177:K177" si="132">$G$28</f>
        <v>7.1099999999999997E-2</v>
      </c>
      <c r="H177" s="116">
        <f t="shared" si="132"/>
        <v>7.1099999999999997E-2</v>
      </c>
      <c r="I177" s="116">
        <f t="shared" si="132"/>
        <v>7.1099999999999997E-2</v>
      </c>
      <c r="J177" s="116">
        <f t="shared" si="132"/>
        <v>7.1099999999999997E-2</v>
      </c>
      <c r="K177" s="116">
        <f t="shared" si="132"/>
        <v>7.1099999999999997E-2</v>
      </c>
    </row>
    <row r="179" spans="1:11" x14ac:dyDescent="0.2">
      <c r="B179" t="str">
        <f>B29</f>
        <v>Senior notes</v>
      </c>
      <c r="G179" s="53">
        <f>IF(CIRC="OFF",G180*AVERAGE(G159,G161),0)</f>
        <v>0</v>
      </c>
      <c r="H179" s="53">
        <f>IF(CIRC="OFF",H180*AVERAGE(H159,H161),0)</f>
        <v>0</v>
      </c>
      <c r="I179" s="53">
        <f>IF(CIRC="OFF",I180*AVERAGE(I159,I161),0)</f>
        <v>0</v>
      </c>
      <c r="J179" s="53">
        <f>IF(CIRC="OFF",J180*AVERAGE(J159,J161),0)</f>
        <v>0</v>
      </c>
      <c r="K179" s="53">
        <f>IF(CIRC="OFF",K180*AVERAGE(K159,K161),0)</f>
        <v>0</v>
      </c>
    </row>
    <row r="180" spans="1:11" x14ac:dyDescent="0.2">
      <c r="B180" s="80" t="s">
        <v>174</v>
      </c>
      <c r="F180" s="116"/>
      <c r="G180" s="116">
        <f t="shared" ref="G180:K180" si="133">$G$29</f>
        <v>0.1019</v>
      </c>
      <c r="H180" s="116">
        <f t="shared" si="133"/>
        <v>0.1019</v>
      </c>
      <c r="I180" s="116">
        <f t="shared" si="133"/>
        <v>0.1019</v>
      </c>
      <c r="J180" s="116">
        <f t="shared" si="133"/>
        <v>0.1019</v>
      </c>
      <c r="K180" s="116">
        <f t="shared" si="133"/>
        <v>0.1019</v>
      </c>
    </row>
    <row r="182" spans="1:11" x14ac:dyDescent="0.2">
      <c r="B182" t="s">
        <v>175</v>
      </c>
      <c r="G182" s="24">
        <f>G173+G176+G179</f>
        <v>0</v>
      </c>
      <c r="H182" s="24">
        <f t="shared" ref="H182:K182" si="134">H173+H176+H179</f>
        <v>0</v>
      </c>
      <c r="I182" s="24">
        <f t="shared" si="134"/>
        <v>0</v>
      </c>
      <c r="J182" s="24">
        <f t="shared" si="134"/>
        <v>0</v>
      </c>
      <c r="K182" s="24">
        <f t="shared" si="134"/>
        <v>0</v>
      </c>
    </row>
    <row r="183" spans="1:11" x14ac:dyDescent="0.2">
      <c r="B183" s="80" t="s">
        <v>176</v>
      </c>
      <c r="G183" s="13">
        <f>G182/AVERAGE(G166,G164)</f>
        <v>0</v>
      </c>
      <c r="H183" s="13">
        <f t="shared" ref="H183:K183" si="135">H182/AVERAGE(H166,H164)</f>
        <v>0</v>
      </c>
      <c r="I183" s="13">
        <f t="shared" si="135"/>
        <v>0</v>
      </c>
      <c r="J183" s="13">
        <f t="shared" si="135"/>
        <v>0</v>
      </c>
      <c r="K183" s="13">
        <f t="shared" si="135"/>
        <v>0</v>
      </c>
    </row>
    <row r="185" spans="1:11" x14ac:dyDescent="0.2">
      <c r="A185" s="4" t="s">
        <v>1</v>
      </c>
      <c r="B185" s="5" t="s">
        <v>177</v>
      </c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5" customHeight="1" x14ac:dyDescent="0.2"/>
    <row r="187" spans="1:11" x14ac:dyDescent="0.2">
      <c r="B187" t="s">
        <v>178</v>
      </c>
      <c r="K187" s="54">
        <f>K96</f>
        <v>671.54754840780549</v>
      </c>
    </row>
    <row r="188" spans="1:11" x14ac:dyDescent="0.2">
      <c r="B188" s="3" t="s">
        <v>75</v>
      </c>
      <c r="C188" s="3"/>
      <c r="D188" s="3"/>
      <c r="E188" s="3"/>
      <c r="F188" s="3"/>
      <c r="G188" s="3"/>
      <c r="H188" s="3"/>
      <c r="I188" s="3"/>
      <c r="J188" s="3"/>
      <c r="K188" s="120">
        <f>E23</f>
        <v>8.7567148178137728</v>
      </c>
    </row>
    <row r="189" spans="1:11" x14ac:dyDescent="0.2">
      <c r="B189" s="10" t="s">
        <v>70</v>
      </c>
      <c r="C189" s="10"/>
      <c r="D189" s="10"/>
      <c r="E189" s="10"/>
      <c r="F189" s="10"/>
      <c r="G189" s="10"/>
      <c r="H189" s="10"/>
      <c r="I189" s="10"/>
      <c r="J189" s="10"/>
      <c r="K189" s="101">
        <f>K187*K188</f>
        <v>5880.5503680091424</v>
      </c>
    </row>
    <row r="190" spans="1:11" x14ac:dyDescent="0.2">
      <c r="B190" t="s">
        <v>179</v>
      </c>
      <c r="K190" s="24">
        <f>K166-K146</f>
        <v>1490.002067761809</v>
      </c>
    </row>
    <row r="191" spans="1:11" x14ac:dyDescent="0.2">
      <c r="B191" s="121" t="s">
        <v>180</v>
      </c>
      <c r="C191" s="122"/>
      <c r="D191" s="122"/>
      <c r="E191" s="122"/>
      <c r="F191" s="122"/>
      <c r="G191" s="122"/>
      <c r="H191" s="122"/>
      <c r="I191" s="122"/>
      <c r="J191" s="122"/>
      <c r="K191" s="123">
        <f>K189-K190</f>
        <v>4390.5483002473338</v>
      </c>
    </row>
    <row r="193" spans="1:11" x14ac:dyDescent="0.2">
      <c r="B193" t="s">
        <v>181</v>
      </c>
      <c r="K193" s="54">
        <f>D41</f>
        <v>1560.0000000000005</v>
      </c>
    </row>
    <row r="195" spans="1:11" x14ac:dyDescent="0.2">
      <c r="B195" s="71" t="s">
        <v>182</v>
      </c>
      <c r="C195" s="72"/>
      <c r="D195" s="72"/>
      <c r="E195" s="72"/>
      <c r="F195" s="72"/>
      <c r="G195" s="72"/>
      <c r="H195" s="72"/>
      <c r="I195" s="72"/>
      <c r="J195" s="72"/>
      <c r="K195" s="117">
        <f>K191/K193</f>
        <v>2.8144540386200849</v>
      </c>
    </row>
    <row r="196" spans="1:11" x14ac:dyDescent="0.2">
      <c r="A196" s="4" t="s">
        <v>1</v>
      </c>
      <c r="B196" s="118" t="s">
        <v>183</v>
      </c>
      <c r="C196" s="77"/>
      <c r="D196" s="77"/>
      <c r="E196" s="77"/>
      <c r="F196" s="77"/>
      <c r="G196" s="77"/>
      <c r="H196" s="77"/>
      <c r="I196" s="77"/>
      <c r="J196" s="77"/>
      <c r="K196" s="119">
        <f>K195^(1/5)-1</f>
        <v>0.22992557462105001</v>
      </c>
    </row>
  </sheetData>
  <dataValidations count="2">
    <dataValidation type="list" allowBlank="1" showInputMessage="1" showErrorMessage="1" sqref="E6" xr:uid="{66739EFC-809F-4C33-9AFE-86427650DF57}">
      <formula1>"ON,OFF"</formula1>
    </dataValidation>
    <dataValidation type="list" allowBlank="1" showInputMessage="1" showErrorMessage="1" sqref="E7" xr:uid="{71A12444-62F9-49E8-B51F-B2C690AB3ABE}">
      <formula1>"1,2"</formula1>
    </dataValidation>
  </dataValidations>
  <pageMargins left="0.7" right="0.7" top="0.75" bottom="0.75" header="0.3" footer="0.3"/>
  <ignoredErrors>
    <ignoredError sqref="F27:F29" evalError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C531F-2658-495D-9460-CA708F56769D}">
  <dimension ref="A2:G32"/>
  <sheetViews>
    <sheetView showGridLines="0" zoomScaleNormal="100" workbookViewId="0"/>
  </sheetViews>
  <sheetFormatPr baseColWidth="10" defaultColWidth="8.83203125" defaultRowHeight="15" x14ac:dyDescent="0.2"/>
  <cols>
    <col min="1" max="1" width="3.6640625" style="4" customWidth="1"/>
    <col min="2" max="2" width="36.5" bestFit="1" customWidth="1"/>
    <col min="3" max="5" width="15.83203125" customWidth="1"/>
  </cols>
  <sheetData>
    <row r="2" spans="1:5" s="3" customFormat="1" ht="21" x14ac:dyDescent="0.25">
      <c r="A2" s="1"/>
      <c r="B2" s="2" t="s">
        <v>88</v>
      </c>
    </row>
    <row r="3" spans="1:5" x14ac:dyDescent="0.2">
      <c r="B3" s="11"/>
    </row>
    <row r="4" spans="1:5" x14ac:dyDescent="0.2">
      <c r="A4" s="4" t="s">
        <v>1</v>
      </c>
      <c r="B4" s="25" t="s">
        <v>89</v>
      </c>
      <c r="C4" s="26"/>
      <c r="D4" s="26"/>
      <c r="E4" s="26"/>
    </row>
    <row r="5" spans="1:5" ht="5" customHeight="1" x14ac:dyDescent="0.2">
      <c r="B5" s="27"/>
      <c r="C5" s="28"/>
      <c r="D5" s="28"/>
      <c r="E5" s="28"/>
    </row>
    <row r="6" spans="1:5" x14ac:dyDescent="0.2">
      <c r="B6" s="29" t="s">
        <v>90</v>
      </c>
      <c r="E6" s="46">
        <f>'LBO - Complete'!K12</f>
        <v>24</v>
      </c>
    </row>
    <row r="7" spans="1:5" x14ac:dyDescent="0.2">
      <c r="B7" s="30" t="s">
        <v>91</v>
      </c>
      <c r="E7" s="16">
        <v>136.55564200000001</v>
      </c>
    </row>
    <row r="8" spans="1:5" x14ac:dyDescent="0.2">
      <c r="B8" s="29" t="s">
        <v>92</v>
      </c>
      <c r="E8" s="31">
        <f>E32</f>
        <v>7.4211999999999998</v>
      </c>
    </row>
    <row r="9" spans="1:5" x14ac:dyDescent="0.2">
      <c r="B9" s="29" t="s">
        <v>93</v>
      </c>
      <c r="E9" s="32">
        <f>SUMPRODUCT(D21:D30,E21:E30)</f>
        <v>129.351516</v>
      </c>
    </row>
    <row r="10" spans="1:5" x14ac:dyDescent="0.2">
      <c r="B10" s="29" t="s">
        <v>94</v>
      </c>
      <c r="E10" s="32">
        <f>E9/E6</f>
        <v>5.3896465000000005</v>
      </c>
    </row>
    <row r="11" spans="1:5" x14ac:dyDescent="0.2">
      <c r="B11" s="29" t="s">
        <v>95</v>
      </c>
      <c r="E11" s="32">
        <f>E8-E10</f>
        <v>2.0315534999999993</v>
      </c>
    </row>
    <row r="12" spans="1:5" x14ac:dyDescent="0.2">
      <c r="B12" s="29" t="s">
        <v>96</v>
      </c>
      <c r="E12" s="16">
        <v>1.7296</v>
      </c>
    </row>
    <row r="13" spans="1:5" x14ac:dyDescent="0.2">
      <c r="B13" s="29"/>
      <c r="E13" s="33"/>
    </row>
    <row r="14" spans="1:5" x14ac:dyDescent="0.2">
      <c r="B14" s="29" t="s">
        <v>97</v>
      </c>
      <c r="E14" s="16">
        <f>48.1/E6</f>
        <v>2.0041666666666669</v>
      </c>
    </row>
    <row r="15" spans="1:5" x14ac:dyDescent="0.2">
      <c r="B15" s="11"/>
      <c r="E15" s="33"/>
    </row>
    <row r="16" spans="1:5" x14ac:dyDescent="0.2">
      <c r="B16" s="34" t="s">
        <v>98</v>
      </c>
      <c r="D16" s="35"/>
      <c r="E16" s="36">
        <f>E7+E14</f>
        <v>138.55980866666667</v>
      </c>
    </row>
    <row r="17" spans="1:7" x14ac:dyDescent="0.2">
      <c r="B17" s="34"/>
      <c r="D17" s="35"/>
      <c r="E17" s="32"/>
    </row>
    <row r="18" spans="1:7" x14ac:dyDescent="0.2">
      <c r="A18" s="4" t="s">
        <v>1</v>
      </c>
      <c r="B18" s="25" t="s">
        <v>99</v>
      </c>
      <c r="C18" s="26"/>
      <c r="D18" s="26"/>
      <c r="E18" s="26"/>
    </row>
    <row r="19" spans="1:7" ht="5" customHeight="1" x14ac:dyDescent="0.2">
      <c r="B19" s="27"/>
      <c r="C19" s="28"/>
      <c r="D19" s="28"/>
      <c r="E19" s="28"/>
    </row>
    <row r="20" spans="1:7" x14ac:dyDescent="0.2">
      <c r="C20" s="18" t="s">
        <v>100</v>
      </c>
      <c r="D20" s="18" t="s">
        <v>101</v>
      </c>
      <c r="E20" s="18" t="s">
        <v>102</v>
      </c>
    </row>
    <row r="21" spans="1:7" x14ac:dyDescent="0.2">
      <c r="B21" s="37">
        <v>1</v>
      </c>
      <c r="C21" s="16">
        <v>7.4211999999999998</v>
      </c>
      <c r="D21" s="14">
        <v>17.43</v>
      </c>
      <c r="E21" s="38">
        <f>IF(D21&lt;$E$6,C21)</f>
        <v>7.4211999999999998</v>
      </c>
      <c r="G21" s="47"/>
    </row>
    <row r="22" spans="1:7" x14ac:dyDescent="0.2">
      <c r="B22" s="37">
        <f t="shared" ref="B22:B30" si="0">B21+1</f>
        <v>2</v>
      </c>
      <c r="C22" s="16"/>
      <c r="D22" s="16"/>
      <c r="E22" s="39">
        <f t="shared" ref="E22:E30" si="1">IF(D22&lt;$E$6,C22)</f>
        <v>0</v>
      </c>
    </row>
    <row r="23" spans="1:7" x14ac:dyDescent="0.2">
      <c r="B23" s="37">
        <f t="shared" si="0"/>
        <v>3</v>
      </c>
      <c r="C23" s="16"/>
      <c r="D23" s="16"/>
      <c r="E23" s="39">
        <f t="shared" si="1"/>
        <v>0</v>
      </c>
    </row>
    <row r="24" spans="1:7" x14ac:dyDescent="0.2">
      <c r="B24" s="37">
        <f t="shared" si="0"/>
        <v>4</v>
      </c>
      <c r="C24" s="16"/>
      <c r="D24" s="16"/>
      <c r="E24" s="39">
        <f t="shared" si="1"/>
        <v>0</v>
      </c>
    </row>
    <row r="25" spans="1:7" x14ac:dyDescent="0.2">
      <c r="B25" s="37">
        <f t="shared" si="0"/>
        <v>5</v>
      </c>
      <c r="C25" s="16"/>
      <c r="D25" s="16"/>
      <c r="E25" s="39">
        <f t="shared" si="1"/>
        <v>0</v>
      </c>
    </row>
    <row r="26" spans="1:7" x14ac:dyDescent="0.2">
      <c r="B26" s="37">
        <f t="shared" si="0"/>
        <v>6</v>
      </c>
      <c r="C26" s="16"/>
      <c r="D26" s="16"/>
      <c r="E26" s="39">
        <f t="shared" si="1"/>
        <v>0</v>
      </c>
    </row>
    <row r="27" spans="1:7" x14ac:dyDescent="0.2">
      <c r="B27" s="37">
        <f t="shared" si="0"/>
        <v>7</v>
      </c>
      <c r="C27" s="16"/>
      <c r="D27" s="16"/>
      <c r="E27" s="39">
        <f t="shared" si="1"/>
        <v>0</v>
      </c>
    </row>
    <row r="28" spans="1:7" x14ac:dyDescent="0.2">
      <c r="B28" s="37">
        <f t="shared" si="0"/>
        <v>8</v>
      </c>
      <c r="C28" s="16"/>
      <c r="D28" s="16"/>
      <c r="E28" s="39">
        <f t="shared" si="1"/>
        <v>0</v>
      </c>
    </row>
    <row r="29" spans="1:7" x14ac:dyDescent="0.2">
      <c r="B29" s="37">
        <f t="shared" si="0"/>
        <v>9</v>
      </c>
      <c r="C29" s="16"/>
      <c r="D29" s="16"/>
      <c r="E29" s="39">
        <f t="shared" si="1"/>
        <v>0</v>
      </c>
    </row>
    <row r="30" spans="1:7" x14ac:dyDescent="0.2">
      <c r="B30" s="37">
        <f t="shared" si="0"/>
        <v>10</v>
      </c>
      <c r="C30" s="16"/>
      <c r="D30" s="16"/>
      <c r="E30" s="39">
        <f t="shared" si="1"/>
        <v>0</v>
      </c>
    </row>
    <row r="31" spans="1:7" ht="5" customHeight="1" x14ac:dyDescent="0.2">
      <c r="B31" s="40"/>
      <c r="C31" s="41"/>
      <c r="D31" s="41"/>
      <c r="E31" s="42"/>
    </row>
    <row r="32" spans="1:7" x14ac:dyDescent="0.2">
      <c r="A32" s="4" t="s">
        <v>1</v>
      </c>
      <c r="B32" s="43" t="s">
        <v>87</v>
      </c>
      <c r="C32" s="44"/>
      <c r="D32" s="44"/>
      <c r="E32" s="45">
        <f>SUM(E21:E30)</f>
        <v>7.4211999999999998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Cover</vt:lpstr>
      <vt:lpstr>LBO - Blank</vt:lpstr>
      <vt:lpstr>LBO - Complete</vt:lpstr>
      <vt:lpstr>Shares</vt:lpstr>
      <vt:lpstr>'LBO - Blank'!CASE</vt:lpstr>
      <vt:lpstr>CASE</vt:lpstr>
      <vt:lpstr>'LBO - Blank'!CIRC</vt:lpstr>
      <vt:lpstr>CIRC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Meraj Alam</dc:creator>
  <cp:lastModifiedBy>BC</cp:lastModifiedBy>
  <dcterms:created xsi:type="dcterms:W3CDTF">2024-07-17T20:30:35Z</dcterms:created>
  <dcterms:modified xsi:type="dcterms:W3CDTF">2024-07-18T05:31:27Z</dcterms:modified>
</cp:coreProperties>
</file>