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56" yWindow="132" windowWidth="22188" windowHeight="9408" tabRatio="910"/>
  </bookViews>
  <sheets>
    <sheet name="Заявка" sheetId="10" r:id="rId1"/>
    <sheet name="СНЕГ" sheetId="11" r:id="rId2"/>
    <sheet name="Толщина  " sheetId="13" r:id="rId3"/>
    <sheet name="Длина панелей" sheetId="14" r:id="rId4"/>
    <sheet name="РАСЧЕТЫ" sheetId="12" r:id="rId5"/>
    <sheet name="Фундамент" sheetId="3" r:id="rId6"/>
    <sheet name="Прибыль" sheetId="4" r:id="rId7"/>
    <sheet name="График работ" sheetId="7" r:id="rId8"/>
    <sheet name="Стоимость работ" sheetId="8" r:id="rId9"/>
    <sheet name="Перебазировка" sheetId="9" r:id="rId10"/>
    <sheet name="КП итог " sheetId="5" r:id="rId11"/>
  </sheets>
  <externalReferences>
    <externalReference r:id="rId12"/>
  </externalReferences>
  <definedNames>
    <definedName name="_xlnm.Print_Area" localSheetId="7">'График работ'!$A$1:$AQ$44</definedName>
    <definedName name="_xlnm.Print_Area" localSheetId="10">'КП итог '!$A$1:$I$64</definedName>
  </definedNames>
  <calcPr calcId="125725"/>
</workbook>
</file>

<file path=xl/calcChain.xml><?xml version="1.0" encoding="utf-8"?>
<calcChain xmlns="http://schemas.openxmlformats.org/spreadsheetml/2006/main">
  <c r="H16" i="5"/>
  <c r="B23" i="12"/>
  <c r="F17"/>
  <c r="E17"/>
  <c r="D17"/>
  <c r="C17"/>
  <c r="G38" i="5"/>
  <c r="E38"/>
  <c r="D38"/>
  <c r="D42"/>
  <c r="G45"/>
  <c r="G44"/>
  <c r="G43"/>
  <c r="C94" i="12"/>
  <c r="B5"/>
  <c r="B6"/>
  <c r="C93" s="1"/>
  <c r="C43"/>
  <c r="C42"/>
  <c r="B18"/>
  <c r="B17"/>
  <c r="E47" i="5"/>
  <c r="B40" i="12"/>
  <c r="D40"/>
  <c r="H14" i="5"/>
  <c r="D87" i="12" l="1"/>
  <c r="D81"/>
  <c r="D75"/>
  <c r="D69"/>
  <c r="D63"/>
  <c r="D86" l="1"/>
  <c r="D80"/>
  <c r="D74"/>
  <c r="D68"/>
  <c r="D62"/>
  <c r="F50"/>
  <c r="G39" i="5" l="1"/>
  <c r="E39"/>
  <c r="F70" i="12"/>
  <c r="G70"/>
  <c r="E59" i="3"/>
  <c r="B59" s="1"/>
  <c r="B58"/>
  <c r="B57"/>
  <c r="B56"/>
  <c r="B55"/>
  <c r="B54"/>
  <c r="E53"/>
  <c r="B53"/>
  <c r="B60" s="1"/>
  <c r="E66"/>
  <c r="E65"/>
  <c r="E64"/>
  <c r="B64" s="1"/>
  <c r="E9"/>
  <c r="E69"/>
  <c r="B69" s="1"/>
  <c r="E68"/>
  <c r="E67"/>
  <c r="B67" s="1"/>
  <c r="E63"/>
  <c r="B63" s="1"/>
  <c r="J65"/>
  <c r="B68"/>
  <c r="B66"/>
  <c r="C65"/>
  <c r="B65" s="1"/>
  <c r="C63"/>
  <c r="F69" i="12"/>
  <c r="C45" i="3"/>
  <c r="B45" s="1"/>
  <c r="J39"/>
  <c r="J38"/>
  <c r="B48"/>
  <c r="B47"/>
  <c r="B46"/>
  <c r="B41"/>
  <c r="B40"/>
  <c r="B39"/>
  <c r="B38"/>
  <c r="B37"/>
  <c r="B36"/>
  <c r="AJ33" i="7"/>
  <c r="AI27"/>
  <c r="AI26"/>
  <c r="AI28"/>
  <c r="AI31"/>
  <c r="AI25"/>
  <c r="AI18"/>
  <c r="D32"/>
  <c r="E3" i="3"/>
  <c r="C15"/>
  <c r="B15" s="1"/>
  <c r="C13"/>
  <c r="B16"/>
  <c r="B31"/>
  <c r="E30"/>
  <c r="B30" s="1"/>
  <c r="E29"/>
  <c r="B29" s="1"/>
  <c r="E26"/>
  <c r="B26" s="1"/>
  <c r="B25"/>
  <c r="G51" i="5"/>
  <c r="E51"/>
  <c r="C65" i="12"/>
  <c r="C66"/>
  <c r="C71"/>
  <c r="C72"/>
  <c r="C77"/>
  <c r="C78"/>
  <c r="C84"/>
  <c r="C83"/>
  <c r="D48" i="5"/>
  <c r="D46"/>
  <c r="D29" i="7" s="1"/>
  <c r="G23" i="12"/>
  <c r="F23"/>
  <c r="E23"/>
  <c r="D23"/>
  <c r="H17" i="5" l="1"/>
  <c r="E48"/>
  <c r="B70" i="3"/>
  <c r="H62" s="1"/>
  <c r="B49"/>
  <c r="B42"/>
  <c r="D31" i="7"/>
  <c r="AH31" s="1"/>
  <c r="AJ31" s="1"/>
  <c r="B32" i="3"/>
  <c r="B27"/>
  <c r="G48" i="5"/>
  <c r="H44" i="3" l="1"/>
  <c r="H28"/>
  <c r="C88" i="12"/>
  <c r="C82"/>
  <c r="C76"/>
  <c r="C70"/>
  <c r="C64"/>
  <c r="C23" s="1"/>
  <c r="H70" i="5"/>
  <c r="C45" i="12" l="1"/>
  <c r="I70" i="5"/>
  <c r="C5" i="9"/>
  <c r="C8" s="1"/>
  <c r="B6" i="8"/>
  <c r="B5"/>
  <c r="B4"/>
  <c r="C51" i="12" l="1"/>
  <c r="C57"/>
  <c r="C46"/>
  <c r="C52" s="1"/>
  <c r="C24"/>
  <c r="G24"/>
  <c r="D24"/>
  <c r="E24"/>
  <c r="F24"/>
  <c r="D36"/>
  <c r="B36"/>
  <c r="B4" i="4"/>
  <c r="H14" i="9"/>
  <c r="C53" i="12" l="1"/>
  <c r="B22" s="1"/>
  <c r="C47"/>
  <c r="C58"/>
  <c r="C59" s="1"/>
  <c r="F56" s="1"/>
  <c r="C30"/>
  <c r="B30"/>
  <c r="D30" s="1"/>
  <c r="D29"/>
  <c r="C29"/>
  <c r="B29"/>
  <c r="D28"/>
  <c r="C28"/>
  <c r="B28"/>
  <c r="C33" i="8"/>
  <c r="D33" s="1"/>
  <c r="C32"/>
  <c r="D32" s="1"/>
  <c r="C31"/>
  <c r="D31" s="1"/>
  <c r="C30"/>
  <c r="D30" s="1"/>
  <c r="B29"/>
  <c r="D29" s="1"/>
  <c r="C27"/>
  <c r="C28" s="1"/>
  <c r="D28" s="1"/>
  <c r="B27"/>
  <c r="D26"/>
  <c r="C19"/>
  <c r="D19" s="1"/>
  <c r="C18"/>
  <c r="D18" s="1"/>
  <c r="C17"/>
  <c r="D17" s="1"/>
  <c r="C16"/>
  <c r="D16" s="1"/>
  <c r="D15"/>
  <c r="C10"/>
  <c r="D10" s="1"/>
  <c r="C9"/>
  <c r="D9" s="1"/>
  <c r="C8"/>
  <c r="D8" s="1"/>
  <c r="D14" i="9"/>
  <c r="F39" i="12" l="1"/>
  <c r="D47" i="5" s="1"/>
  <c r="D30" i="7" s="1"/>
  <c r="I40" i="12"/>
  <c r="J40" s="1"/>
  <c r="F40"/>
  <c r="D27" i="8"/>
  <c r="D34" s="1"/>
  <c r="F57" i="12"/>
  <c r="D45" i="5" s="1"/>
  <c r="D28" i="7" s="1"/>
  <c r="F38" i="12"/>
  <c r="D51" i="5" s="1"/>
  <c r="D20" i="8"/>
  <c r="I41" i="12" l="1"/>
  <c r="F51"/>
  <c r="F52" s="1"/>
  <c r="F58"/>
  <c r="H11" i="5"/>
  <c r="H9"/>
  <c r="H10"/>
  <c r="AF16" i="7"/>
  <c r="AF15"/>
  <c r="AF14"/>
  <c r="AF13"/>
  <c r="AF12"/>
  <c r="AF6"/>
  <c r="D39"/>
  <c r="AF39" s="1"/>
  <c r="D38"/>
  <c r="AF38" s="1"/>
  <c r="D37"/>
  <c r="AF37" s="1"/>
  <c r="D36"/>
  <c r="AF36" s="1"/>
  <c r="D44" i="5" l="1"/>
  <c r="D27" i="7" s="1"/>
  <c r="E4" i="8"/>
  <c r="E5"/>
  <c r="E6"/>
  <c r="G15" i="9"/>
  <c r="H13" i="5"/>
  <c r="H12"/>
  <c r="F51"/>
  <c r="D39" i="12"/>
  <c r="D38"/>
  <c r="C39"/>
  <c r="C38"/>
  <c r="AF29" i="7"/>
  <c r="H15" i="9" l="1"/>
  <c r="G16"/>
  <c r="H16" s="1"/>
  <c r="B24" i="12" l="1"/>
  <c r="F48" i="5"/>
  <c r="AF31" i="7"/>
  <c r="AE28" l="1"/>
  <c r="B19" i="12"/>
  <c r="D43" i="5" s="1"/>
  <c r="D26" i="7" l="1"/>
  <c r="AF28"/>
  <c r="AD27"/>
  <c r="AE27"/>
  <c r="AF30"/>
  <c r="AF27" l="1"/>
  <c r="B12" i="10"/>
  <c r="B11"/>
  <c r="D16" i="9"/>
  <c r="F16" s="1"/>
  <c r="D15"/>
  <c r="F14"/>
  <c r="D9"/>
  <c r="D8"/>
  <c r="D7"/>
  <c r="D6"/>
  <c r="D5"/>
  <c r="D4"/>
  <c r="AH28" i="7" l="1"/>
  <c r="AH27"/>
  <c r="AH26"/>
  <c r="AF26"/>
  <c r="D9"/>
  <c r="AF9" s="1"/>
  <c r="D10"/>
  <c r="AF10" s="1"/>
  <c r="D17" i="9"/>
  <c r="D10"/>
  <c r="F15"/>
  <c r="F17" s="1"/>
  <c r="D39" i="5" l="1"/>
  <c r="AJ28" i="7"/>
  <c r="AJ27"/>
  <c r="AJ26"/>
  <c r="AK26" s="1"/>
  <c r="C7" i="8"/>
  <c r="D7" s="1"/>
  <c r="H19" i="9"/>
  <c r="J27" i="5"/>
  <c r="H27" s="1"/>
  <c r="H59"/>
  <c r="H58"/>
  <c r="H57"/>
  <c r="H56"/>
  <c r="J25"/>
  <c r="J42" s="1"/>
  <c r="J43" s="1"/>
  <c r="J44" s="1"/>
  <c r="D25" i="7" l="1"/>
  <c r="AH25" s="1"/>
  <c r="AJ25" s="1"/>
  <c r="F66" i="5" s="1"/>
  <c r="D40"/>
  <c r="F40" s="1"/>
  <c r="D50"/>
  <c r="D33" i="7" s="1"/>
  <c r="F39" i="5"/>
  <c r="D18" i="7"/>
  <c r="AH18" s="1"/>
  <c r="AF32"/>
  <c r="AF20"/>
  <c r="F59" i="5"/>
  <c r="F58"/>
  <c r="F57"/>
  <c r="F56"/>
  <c r="F33"/>
  <c r="F28"/>
  <c r="I27"/>
  <c r="F27"/>
  <c r="F46"/>
  <c r="F47"/>
  <c r="F43"/>
  <c r="F44"/>
  <c r="F45"/>
  <c r="F42"/>
  <c r="E19" i="3"/>
  <c r="B9"/>
  <c r="E18"/>
  <c r="B18" s="1"/>
  <c r="E17"/>
  <c r="B17" s="1"/>
  <c r="B19"/>
  <c r="E36" i="5"/>
  <c r="B14" i="3"/>
  <c r="B13"/>
  <c r="B4"/>
  <c r="B5"/>
  <c r="B6"/>
  <c r="G36" i="5" s="1"/>
  <c r="B7" i="3"/>
  <c r="B8"/>
  <c r="B3"/>
  <c r="G33" i="5" s="1"/>
  <c r="AC25" i="7" l="1"/>
  <c r="AF25" s="1"/>
  <c r="AH29"/>
  <c r="AF18"/>
  <c r="AJ18"/>
  <c r="G37" i="5"/>
  <c r="E37"/>
  <c r="F37" s="1"/>
  <c r="E50"/>
  <c r="F50" s="1"/>
  <c r="G50"/>
  <c r="G35"/>
  <c r="E35"/>
  <c r="F35" s="1"/>
  <c r="E29"/>
  <c r="F36"/>
  <c r="J28"/>
  <c r="H42"/>
  <c r="I42" s="1"/>
  <c r="E60"/>
  <c r="B10" i="3"/>
  <c r="B20"/>
  <c r="AJ32" i="7" l="1"/>
  <c r="C4" i="8" s="1"/>
  <c r="D4" s="1"/>
  <c r="F65" i="5"/>
  <c r="F68" s="1"/>
  <c r="H12" i="3"/>
  <c r="G69" i="12"/>
  <c r="G67"/>
  <c r="G68"/>
  <c r="F67"/>
  <c r="F68"/>
  <c r="AF21" i="7"/>
  <c r="H28" i="5"/>
  <c r="I28" s="1"/>
  <c r="J33"/>
  <c r="C5" i="8" l="1"/>
  <c r="D5" s="1"/>
  <c r="C6"/>
  <c r="D6" s="1"/>
  <c r="L77" i="5"/>
  <c r="AJ34" i="7"/>
  <c r="F38" i="5"/>
  <c r="E52" s="1"/>
  <c r="H29"/>
  <c r="I30" s="1"/>
  <c r="AF22" i="7"/>
  <c r="AF23"/>
  <c r="H33" i="5"/>
  <c r="J35"/>
  <c r="H43"/>
  <c r="H76" l="1"/>
  <c r="D11" i="8"/>
  <c r="D22" s="1"/>
  <c r="I33" i="5"/>
  <c r="J36"/>
  <c r="H35"/>
  <c r="I35" s="1"/>
  <c r="J45"/>
  <c r="H44"/>
  <c r="J77" l="1"/>
  <c r="H36"/>
  <c r="J37"/>
  <c r="J38" s="1"/>
  <c r="J39" s="1"/>
  <c r="J40" s="1"/>
  <c r="J41" s="1"/>
  <c r="J46" s="1"/>
  <c r="H45"/>
  <c r="H39" l="1"/>
  <c r="I39" s="1"/>
  <c r="I36"/>
  <c r="H37"/>
  <c r="I37" s="1"/>
  <c r="H46" l="1"/>
  <c r="H38" l="1"/>
  <c r="I38" s="1"/>
  <c r="H40"/>
  <c r="J47"/>
  <c r="I43"/>
  <c r="H47" l="1"/>
  <c r="J48"/>
  <c r="I40"/>
  <c r="I44"/>
  <c r="H48" l="1"/>
  <c r="I48" s="1"/>
  <c r="M78" s="1"/>
  <c r="J50"/>
  <c r="I45"/>
  <c r="J51" l="1"/>
  <c r="H51" s="1"/>
  <c r="I51" s="1"/>
  <c r="H50"/>
  <c r="I46"/>
  <c r="I47" l="1"/>
  <c r="I50" l="1"/>
  <c r="H52" l="1"/>
  <c r="H63" s="1"/>
  <c r="I56"/>
  <c r="M76" l="1"/>
  <c r="H79"/>
  <c r="I53"/>
  <c r="H78"/>
  <c r="I57"/>
  <c r="I58" l="1"/>
  <c r="I59" l="1"/>
  <c r="H60" s="1"/>
  <c r="I61" l="1"/>
  <c r="H77"/>
  <c r="M77" s="1"/>
</calcChain>
</file>

<file path=xl/sharedStrings.xml><?xml version="1.0" encoding="utf-8"?>
<sst xmlns="http://schemas.openxmlformats.org/spreadsheetml/2006/main" count="845" uniqueCount="519">
  <si>
    <t>мп</t>
  </si>
  <si>
    <t>кг</t>
  </si>
  <si>
    <t>Цена за 1 мп</t>
  </si>
  <si>
    <t>Работы по фундаменту</t>
  </si>
  <si>
    <t>Устройство траншеи под фундамент</t>
  </si>
  <si>
    <t>Стоимость работ</t>
  </si>
  <si>
    <t>Подготовка основания для фундамента</t>
  </si>
  <si>
    <t>Монтаж опалубки под заливку фундамента</t>
  </si>
  <si>
    <t>Укладка арматуры</t>
  </si>
  <si>
    <t>Заливка фундамента бетоном</t>
  </si>
  <si>
    <t>размеры</t>
  </si>
  <si>
    <t>100*1000</t>
  </si>
  <si>
    <t>Монтаж опалубки под заливку стяжки</t>
  </si>
  <si>
    <t>100*600*1000</t>
  </si>
  <si>
    <t>количество на 1 пм</t>
  </si>
  <si>
    <t>Укладка закладных деталей</t>
  </si>
  <si>
    <t>м3</t>
  </si>
  <si>
    <t>Цена за ед</t>
  </si>
  <si>
    <t>400*1000</t>
  </si>
  <si>
    <t>м2</t>
  </si>
  <si>
    <t>шт</t>
  </si>
  <si>
    <t>600*400*1000</t>
  </si>
  <si>
    <t>Стоимость бетона В7,5 для подготовки основания</t>
  </si>
  <si>
    <t>Стоимость закладных деталей</t>
  </si>
  <si>
    <t>Стоимость бетона для фундамента</t>
  </si>
  <si>
    <t>Стоимость арматуры Ду6</t>
  </si>
  <si>
    <t>Стоимость арматуры Ду10</t>
  </si>
  <si>
    <t>Стоимость материалов для фундамента 600*400мм</t>
  </si>
  <si>
    <t>№</t>
  </si>
  <si>
    <t>Наименование работ</t>
  </si>
  <si>
    <t>Ед. Изм.</t>
  </si>
  <si>
    <t>Кол-во</t>
  </si>
  <si>
    <t>Материалы и изделия</t>
  </si>
  <si>
    <t>цена за ед.</t>
  </si>
  <si>
    <t>Рабочие</t>
  </si>
  <si>
    <t>400*400*1000</t>
  </si>
  <si>
    <t xml:space="preserve">Установка металлической направляющей периметру основания </t>
  </si>
  <si>
    <t>Монтаж окон</t>
  </si>
  <si>
    <t>Монтаж дверей</t>
  </si>
  <si>
    <t>Устройство отмостки по периметру ангара (ширина 0,8м)</t>
  </si>
  <si>
    <t>тонн</t>
  </si>
  <si>
    <t>Раздел № I. ПОДГОТОВИТЕЛЬНЫЕ РАБОТЫ</t>
  </si>
  <si>
    <t>Расчитка площадки под ангар</t>
  </si>
  <si>
    <t>Планировка площадки под ангар</t>
  </si>
  <si>
    <t>Земляные работы</t>
  </si>
  <si>
    <t>Подготовка территории</t>
  </si>
  <si>
    <t xml:space="preserve">Устройство ленточного фундамента </t>
  </si>
  <si>
    <t>Раздел № II. СТРОИТЕЛЬНЫЕ РАБОТЫ</t>
  </si>
  <si>
    <t>Монтажные работы</t>
  </si>
  <si>
    <t>Работы</t>
  </si>
  <si>
    <t>Раздел № III. ИНЖЕНЕРНЫЕ СЕТИ</t>
  </si>
  <si>
    <t>IV. ВНУТРЕННИЕ ИНЖЕНЕРНЫЕ СЕТИ</t>
  </si>
  <si>
    <t>Монтаж инженерных сетей</t>
  </si>
  <si>
    <t>Монтаж электросети</t>
  </si>
  <si>
    <t>комплекс</t>
  </si>
  <si>
    <t>Монтаж системы водопровода</t>
  </si>
  <si>
    <t>Монтаж системы канализации</t>
  </si>
  <si>
    <t>Монтаж системы отопления</t>
  </si>
  <si>
    <t>Итого по подразделам:</t>
  </si>
  <si>
    <t>Итого по разделу I:</t>
  </si>
  <si>
    <t>Итого по разделу II:</t>
  </si>
  <si>
    <t>Итого по разделу III:</t>
  </si>
  <si>
    <t>В том числе работы:</t>
  </si>
  <si>
    <t>В том числе материалы и изделия:</t>
  </si>
  <si>
    <t>м/п</t>
  </si>
  <si>
    <t>Тип ангара</t>
  </si>
  <si>
    <t>Высота здания</t>
  </si>
  <si>
    <t>Ширина здания</t>
  </si>
  <si>
    <t>Длина здания</t>
  </si>
  <si>
    <t>Площадь здания</t>
  </si>
  <si>
    <t>Периметр здания</t>
  </si>
  <si>
    <t>Монтаж ворот 2*4 с установкой металлических колонн</t>
  </si>
  <si>
    <r>
      <t xml:space="preserve">Изготовление и монтаж прямых металлических панелей на торцевую стену </t>
    </r>
    <r>
      <rPr>
        <b/>
        <i/>
        <sz val="10"/>
        <rFont val="Arial Cyr"/>
        <charset val="204"/>
      </rPr>
      <t>№1</t>
    </r>
    <r>
      <rPr>
        <i/>
        <sz val="10"/>
        <rFont val="Arial Cyr"/>
        <charset val="204"/>
      </rPr>
      <t xml:space="preserve"> (ширина панели 0,3м)оцинкованная сталь 0,8 мм без ЛКП</t>
    </r>
  </si>
  <si>
    <r>
      <t xml:space="preserve">Изготовление и монтаж прямых металлических панелей на торцевую стену </t>
    </r>
    <r>
      <rPr>
        <b/>
        <i/>
        <sz val="10"/>
        <rFont val="Arial Cyr"/>
        <charset val="204"/>
      </rPr>
      <t xml:space="preserve">№2 </t>
    </r>
    <r>
      <rPr>
        <i/>
        <sz val="10"/>
        <rFont val="Arial Cyr"/>
        <charset val="204"/>
      </rPr>
      <t>(ширина панели 0,3м)оцинкованная сталь 0,8 мм без ЛКП</t>
    </r>
  </si>
  <si>
    <t>Изготовление и монтаж арочных металлических панелей (ширина панели 0,3м)оцинкованная сталь 0,8 мм без ЛКП</t>
  </si>
  <si>
    <t>-</t>
  </si>
  <si>
    <t>ИТОГО по всем разделам, с НДС 18%:</t>
  </si>
  <si>
    <t>Минимальная прибыль за 1 месяц</t>
  </si>
  <si>
    <t>Прибыль</t>
  </si>
  <si>
    <t>21 рабочий/  день</t>
  </si>
  <si>
    <t>График производства работ</t>
  </si>
  <si>
    <t>День 1</t>
  </si>
  <si>
    <t>День 2</t>
  </si>
  <si>
    <t>День 3</t>
  </si>
  <si>
    <t>День 4</t>
  </si>
  <si>
    <t>День 5</t>
  </si>
  <si>
    <t>День 6</t>
  </si>
  <si>
    <t>День 7</t>
  </si>
  <si>
    <t>День 8</t>
  </si>
  <si>
    <t>День 9</t>
  </si>
  <si>
    <t>День 10</t>
  </si>
  <si>
    <t>День 11</t>
  </si>
  <si>
    <t>День 12</t>
  </si>
  <si>
    <t>День 14</t>
  </si>
  <si>
    <t>установка колонн</t>
  </si>
  <si>
    <t>Остаток</t>
  </si>
  <si>
    <t>Автокран</t>
  </si>
  <si>
    <t>Подготовка для установки колонн</t>
  </si>
  <si>
    <t>за час.</t>
  </si>
  <si>
    <t>Стоимость</t>
  </si>
  <si>
    <t>Работа автокрана</t>
  </si>
  <si>
    <t>Работа Эскаватора</t>
  </si>
  <si>
    <t>Работа бульдозера</t>
  </si>
  <si>
    <t>ВСЕГО</t>
  </si>
  <si>
    <t>Эскаватор</t>
  </si>
  <si>
    <t>Бульдозер</t>
  </si>
  <si>
    <t>Миксер с бетоном</t>
  </si>
  <si>
    <t>Бригада 4 человека</t>
  </si>
  <si>
    <t>Работа Миксера с бетоном</t>
  </si>
  <si>
    <t xml:space="preserve">СТОИМОСТЬ РАБОТ ЛЮДЕЙ И ТЕХНИКИ </t>
  </si>
  <si>
    <t>Выдержка бетона</t>
  </si>
  <si>
    <t>ПЕРЕБАЗИРОВКА МАШИН И МЕХАНИЗМОВ</t>
  </si>
  <si>
    <t>Питер - Псковская обл</t>
  </si>
  <si>
    <t>за ед.</t>
  </si>
  <si>
    <t>Погрузка техники на атомобили автокраном на базе, 1 смена</t>
  </si>
  <si>
    <t>Перебазировка техники на объект, км</t>
  </si>
  <si>
    <t>Разгрузка техники с атомобилей автокраном на объекте, 1 смена</t>
  </si>
  <si>
    <t>Погрузка техники на атомобили автокраном на объекте, 1 смена</t>
  </si>
  <si>
    <t>Перебазировка техники на базу, км</t>
  </si>
  <si>
    <t>Разгрузка техники с атомобилей автокраном на базе, 1 смена</t>
  </si>
  <si>
    <t>ПРОЖИВАНИЕ РАБОТНИКОВ</t>
  </si>
  <si>
    <t>Цена за ед.</t>
  </si>
  <si>
    <t>кол-во на одного работника</t>
  </si>
  <si>
    <t>Кол-во работников</t>
  </si>
  <si>
    <t>Всего</t>
  </si>
  <si>
    <t>Проживание работников за 1 сутки</t>
  </si>
  <si>
    <t>Суточные</t>
  </si>
  <si>
    <t>Наименование</t>
  </si>
  <si>
    <t>Место строительства</t>
  </si>
  <si>
    <t>Окна</t>
  </si>
  <si>
    <t>Город, область</t>
  </si>
  <si>
    <t>город</t>
  </si>
  <si>
    <t>ветровой район</t>
  </si>
  <si>
    <t>снеговой район</t>
  </si>
  <si>
    <t>Ангарск</t>
  </si>
  <si>
    <t>Арзамас</t>
  </si>
  <si>
    <t>Артем</t>
  </si>
  <si>
    <t>Архангельск</t>
  </si>
  <si>
    <t> 2</t>
  </si>
  <si>
    <t>Астрахань</t>
  </si>
  <si>
    <t>Ачинск</t>
  </si>
  <si>
    <t>Балаково</t>
  </si>
  <si>
    <t>Балашиха</t>
  </si>
  <si>
    <t>Барнаул</t>
  </si>
  <si>
    <t> 3</t>
  </si>
  <si>
    <t>Батайск</t>
  </si>
  <si>
    <t>Белгород</t>
  </si>
  <si>
    <t>Бийск</t>
  </si>
  <si>
    <t>Благовещенск</t>
  </si>
  <si>
    <t>Братск</t>
  </si>
  <si>
    <t>Брянск</t>
  </si>
  <si>
    <t>Великие Луки</t>
  </si>
  <si>
    <t>Великий Новгород</t>
  </si>
  <si>
    <t>Владивосток</t>
  </si>
  <si>
    <t>Владимир</t>
  </si>
  <si>
    <t>Владикавказ</t>
  </si>
  <si>
    <t>Волгоград</t>
  </si>
  <si>
    <t>Волжский Волгогр. Обл</t>
  </si>
  <si>
    <t>Волжский Самарск. Обл</t>
  </si>
  <si>
    <t>Волгодонск</t>
  </si>
  <si>
    <t>Вологда</t>
  </si>
  <si>
    <t>Воронеж</t>
  </si>
  <si>
    <t>Грозный</t>
  </si>
  <si>
    <t>Дербент</t>
  </si>
  <si>
    <t>Дзержинск</t>
  </si>
  <si>
    <t>Димитровград</t>
  </si>
  <si>
    <t>Екатеринбург</t>
  </si>
  <si>
    <t>Елец</t>
  </si>
  <si>
    <t>Железнодорожный</t>
  </si>
  <si>
    <t>Жуковский</t>
  </si>
  <si>
    <t>Златоуст</t>
  </si>
  <si>
    <t>Иваново</t>
  </si>
  <si>
    <t>Ижевск</t>
  </si>
  <si>
    <t>Йошкар-Ола</t>
  </si>
  <si>
    <t>Иркутск</t>
  </si>
  <si>
    <t>Казань</t>
  </si>
  <si>
    <t>Калининград</t>
  </si>
  <si>
    <t>Каменск-Уральский</t>
  </si>
  <si>
    <t>Калуга</t>
  </si>
  <si>
    <t>Камышин</t>
  </si>
  <si>
    <t>Кемерово</t>
  </si>
  <si>
    <t>Киров</t>
  </si>
  <si>
    <t>Киселевск</t>
  </si>
  <si>
    <t>Ковров</t>
  </si>
  <si>
    <t>Коломна</t>
  </si>
  <si>
    <t>Комсомольск-на-Амуре</t>
  </si>
  <si>
    <t>Копейск</t>
  </si>
  <si>
    <t>Красногорск</t>
  </si>
  <si>
    <t>Краснодар</t>
  </si>
  <si>
    <t>Красноярск</t>
  </si>
  <si>
    <t>Курган</t>
  </si>
  <si>
    <t>Курск</t>
  </si>
  <si>
    <t>Кызыл</t>
  </si>
  <si>
    <t>Ленинск-Кузнецкий</t>
  </si>
  <si>
    <t>Липецк</t>
  </si>
  <si>
    <t>Люберцы</t>
  </si>
  <si>
    <t>Магадан</t>
  </si>
  <si>
    <t>Магнитогорск</t>
  </si>
  <si>
    <t>Майкоп</t>
  </si>
  <si>
    <t>Махачкала</t>
  </si>
  <si>
    <t>Миасс</t>
  </si>
  <si>
    <t>Москва</t>
  </si>
  <si>
    <t>Мурманск</t>
  </si>
  <si>
    <t>Муром</t>
  </si>
  <si>
    <t>Мытищи</t>
  </si>
  <si>
    <t>Набережные Челны</t>
  </si>
  <si>
    <t>Находка</t>
  </si>
  <si>
    <t>Невинномысск</t>
  </si>
  <si>
    <t>Нефтекамск</t>
  </si>
  <si>
    <t>Нефтеюганск</t>
  </si>
  <si>
    <t>Нижневартовск</t>
  </si>
  <si>
    <t>Нижнекамск</t>
  </si>
  <si>
    <t>Нижний Новгород</t>
  </si>
  <si>
    <t>Нижний Тагил</t>
  </si>
  <si>
    <t>Новокузнецк</t>
  </si>
  <si>
    <t>Новокуйбышевск</t>
  </si>
  <si>
    <t>Новомосковск</t>
  </si>
  <si>
    <t>Новороссийск</t>
  </si>
  <si>
    <t>Новосибирск</t>
  </si>
  <si>
    <t>Новочебоксарск</t>
  </si>
  <si>
    <t>Новочеркасск</t>
  </si>
  <si>
    <t>Новошахтинск</t>
  </si>
  <si>
    <t>Новый Уренгой</t>
  </si>
  <si>
    <t>Ногинск</t>
  </si>
  <si>
    <t>Норильск</t>
  </si>
  <si>
    <t>Ноябрьск</t>
  </si>
  <si>
    <t>Обниск</t>
  </si>
  <si>
    <t>Одинцово</t>
  </si>
  <si>
    <t>Омск</t>
  </si>
  <si>
    <t>Орел</t>
  </si>
  <si>
    <t>Оренбург</t>
  </si>
  <si>
    <t>Орехово-Зуево</t>
  </si>
  <si>
    <t>Орск</t>
  </si>
  <si>
    <t>Пенза</t>
  </si>
  <si>
    <t>Первоуральск</t>
  </si>
  <si>
    <t>Пермь</t>
  </si>
  <si>
    <t>Петрозаводск</t>
  </si>
  <si>
    <t>Петропавловск-Камчатский</t>
  </si>
  <si>
    <t>Подольск</t>
  </si>
  <si>
    <t>Прокопьевск</t>
  </si>
  <si>
    <t>Псков</t>
  </si>
  <si>
    <t>Ростов-на-Дону</t>
  </si>
  <si>
    <t>Рубцовск</t>
  </si>
  <si>
    <t>Рыбинск</t>
  </si>
  <si>
    <t>Рязань</t>
  </si>
  <si>
    <t>Салават</t>
  </si>
  <si>
    <t>Самара</t>
  </si>
  <si>
    <t>Санкт-Петербург</t>
  </si>
  <si>
    <t>Саранск</t>
  </si>
  <si>
    <t>Саратов</t>
  </si>
  <si>
    <t>Северодвинск</t>
  </si>
  <si>
    <t>Серпухов</t>
  </si>
  <si>
    <t>Смоленск</t>
  </si>
  <si>
    <t>Сочи</t>
  </si>
  <si>
    <t>Ставрополь</t>
  </si>
  <si>
    <t>Старый Оскол</t>
  </si>
  <si>
    <t>Стерлитамак</t>
  </si>
  <si>
    <t>Сургут</t>
  </si>
  <si>
    <t>Сызрань</t>
  </si>
  <si>
    <t>Сыктывкар</t>
  </si>
  <si>
    <t>Таганрог</t>
  </si>
  <si>
    <t>Тамбов</t>
  </si>
  <si>
    <t>Тверь</t>
  </si>
  <si>
    <t>Тобольск</t>
  </si>
  <si>
    <t>Тольятти</t>
  </si>
  <si>
    <t>Томск</t>
  </si>
  <si>
    <t>Тула</t>
  </si>
  <si>
    <t>Тюмень</t>
  </si>
  <si>
    <t>Улан-Удэ</t>
  </si>
  <si>
    <t>Ульяновск</t>
  </si>
  <si>
    <t>Уссурийск</t>
  </si>
  <si>
    <t>Уфа</t>
  </si>
  <si>
    <t>Ухта</t>
  </si>
  <si>
    <t>Хабаровск</t>
  </si>
  <si>
    <t>Хасавюрт</t>
  </si>
  <si>
    <t>Химки</t>
  </si>
  <si>
    <t>Чебоксары</t>
  </si>
  <si>
    <t>Челябинск</t>
  </si>
  <si>
    <t>Чита</t>
  </si>
  <si>
    <t>Череповец</t>
  </si>
  <si>
    <t>Шахты</t>
  </si>
  <si>
    <t>Щелково</t>
  </si>
  <si>
    <t>Электросталь</t>
  </si>
  <si>
    <t>Энгельс</t>
  </si>
  <si>
    <t>Элиста</t>
  </si>
  <si>
    <t>Южно-Сахалинск</t>
  </si>
  <si>
    <t>Ярославль</t>
  </si>
  <si>
    <t>Якутск</t>
  </si>
  <si>
    <t>Ворота 4*4м</t>
  </si>
  <si>
    <t>Двери</t>
  </si>
  <si>
    <t>6 метров</t>
  </si>
  <si>
    <t>7 метров</t>
  </si>
  <si>
    <t>8 метров</t>
  </si>
  <si>
    <t>9 метров</t>
  </si>
  <si>
    <t>10 метров</t>
  </si>
  <si>
    <t>11 метров</t>
  </si>
  <si>
    <t>12 метров</t>
  </si>
  <si>
    <t>13 метров</t>
  </si>
  <si>
    <t>14 метров</t>
  </si>
  <si>
    <t>15 метров</t>
  </si>
  <si>
    <t>16 метров</t>
  </si>
  <si>
    <t>17 метров</t>
  </si>
  <si>
    <t>18 метров</t>
  </si>
  <si>
    <t>19 метров</t>
  </si>
  <si>
    <t>20 метров</t>
  </si>
  <si>
    <t>21 метров</t>
  </si>
  <si>
    <t>22 метров</t>
  </si>
  <si>
    <t>23 метров</t>
  </si>
  <si>
    <t>24 метров</t>
  </si>
  <si>
    <t>Высота</t>
  </si>
  <si>
    <t>ВЫСОТА АНГАРА</t>
  </si>
  <si>
    <t>Площадь торца</t>
  </si>
  <si>
    <t>Длина панели</t>
  </si>
  <si>
    <t>Ворота 4*4,5м</t>
  </si>
  <si>
    <t>Ворота 4*4</t>
  </si>
  <si>
    <t>Ворота 4*4,5</t>
  </si>
  <si>
    <t>Ворота 2*4</t>
  </si>
  <si>
    <t>МТР</t>
  </si>
  <si>
    <t>СМР</t>
  </si>
  <si>
    <t>Металл для ворот</t>
  </si>
  <si>
    <t>Изготовление ворот</t>
  </si>
  <si>
    <t>Монтаж ворот</t>
  </si>
  <si>
    <t>Монтаж колонн для ворот</t>
  </si>
  <si>
    <t>Колонны для ворот</t>
  </si>
  <si>
    <t>Итого</t>
  </si>
  <si>
    <t>АРОЧНЫЙ ПРОФИЛЬ</t>
  </si>
  <si>
    <t>ПРЯМОЙ ПРОФИЛЬ для торцевых стен</t>
  </si>
  <si>
    <t xml:space="preserve">Вес 1 м2 </t>
  </si>
  <si>
    <t>Весметалла для торца</t>
  </si>
  <si>
    <t>вычет металла для ворот</t>
  </si>
  <si>
    <t>Устройство траншеи под фундамент вручную</t>
  </si>
  <si>
    <t>Перебазировка</t>
  </si>
  <si>
    <t>ЗП рабочих + машины</t>
  </si>
  <si>
    <t>Толщина металла, мм</t>
  </si>
  <si>
    <t>Площадь здания, м2</t>
  </si>
  <si>
    <t>Периметр здания, м</t>
  </si>
  <si>
    <t>Толщина утеплителя, мм</t>
  </si>
  <si>
    <t>Толщина пола, мм</t>
  </si>
  <si>
    <t>Стоимость утеплителя из пенополиуретана с нанесением</t>
  </si>
  <si>
    <t>Нанесение пенополиуретана открытоячеистого, толщина 100мм</t>
  </si>
  <si>
    <t>Нанесение пенополиуретана закрытоячеистого, толщина 50мм</t>
  </si>
  <si>
    <t>за работу 20%</t>
  </si>
  <si>
    <t>за МТР 80%</t>
  </si>
  <si>
    <t>СТОИМОСТЬ РАБОТ подрядчиков</t>
  </si>
  <si>
    <t>Нанесение утеплителя</t>
  </si>
  <si>
    <t>за ед</t>
  </si>
  <si>
    <t>День 15</t>
  </si>
  <si>
    <t>День 16</t>
  </si>
  <si>
    <t>Стоимость материалов</t>
  </si>
  <si>
    <t>бескаркасный</t>
  </si>
  <si>
    <t>1 день</t>
  </si>
  <si>
    <t>Проезд из Питера в Москву Туда/обратно</t>
  </si>
  <si>
    <t>Работа оператора</t>
  </si>
  <si>
    <t xml:space="preserve">Работа мастера </t>
  </si>
  <si>
    <t>Зарплата оператора</t>
  </si>
  <si>
    <t>ЗП бригады 4 человека</t>
  </si>
  <si>
    <t xml:space="preserve">Аренда станка </t>
  </si>
  <si>
    <t>Перебазировка оборудования</t>
  </si>
  <si>
    <t>на весь период</t>
  </si>
  <si>
    <t>кол-во дней</t>
  </si>
  <si>
    <t>Перевозка оборудования и доставка материалов</t>
  </si>
  <si>
    <t>Козырек</t>
  </si>
  <si>
    <t>Подготовка основания</t>
  </si>
  <si>
    <t>Благоустройство территории</t>
  </si>
  <si>
    <t xml:space="preserve">Устройство отмостки по периметру ангара </t>
  </si>
  <si>
    <t>Ворота с дверью, шт</t>
  </si>
  <si>
    <t>День 13</t>
  </si>
  <si>
    <t>Работа монтажник 4 человека</t>
  </si>
  <si>
    <t>День 17</t>
  </si>
  <si>
    <t>День 18</t>
  </si>
  <si>
    <t>День 19</t>
  </si>
  <si>
    <t>День 26</t>
  </si>
  <si>
    <t>День 27</t>
  </si>
  <si>
    <t>4 чел</t>
  </si>
  <si>
    <t>суточные если на выезде</t>
  </si>
  <si>
    <t xml:space="preserve">Монтаж связей и распорок по периметру основания </t>
  </si>
  <si>
    <t>Окна по торцам, м2</t>
  </si>
  <si>
    <t>Н-Высота здания, м</t>
  </si>
  <si>
    <t>В-Ширина здания, м</t>
  </si>
  <si>
    <t>L-Длина здания, м</t>
  </si>
  <si>
    <t>Ширина</t>
  </si>
  <si>
    <t>Радиус</t>
  </si>
  <si>
    <t>Угол</t>
  </si>
  <si>
    <t>Длина дуги</t>
  </si>
  <si>
    <t>Ворота с дверью 4х4,5м</t>
  </si>
  <si>
    <t>Площадь</t>
  </si>
  <si>
    <t>Стоимость МТР</t>
  </si>
  <si>
    <t>Ворота с дверью 2х3м</t>
  </si>
  <si>
    <t>Ворота с дверью 3х3м</t>
  </si>
  <si>
    <t>Ворота с дверью 3х3,5м</t>
  </si>
  <si>
    <t>Ворота с дверью 4х4м</t>
  </si>
  <si>
    <t>2х3м</t>
  </si>
  <si>
    <t xml:space="preserve"> 3х3м</t>
  </si>
  <si>
    <t>3х3,5м</t>
  </si>
  <si>
    <t>4х4м</t>
  </si>
  <si>
    <t>4х4,5м</t>
  </si>
  <si>
    <t>Ворота 2*3м</t>
  </si>
  <si>
    <t>Ворота 3*3м</t>
  </si>
  <si>
    <t>Ворота 3*3,5м</t>
  </si>
  <si>
    <t>Вес торца №2</t>
  </si>
  <si>
    <t>Торец №1</t>
  </si>
  <si>
    <t>1 Тип</t>
  </si>
  <si>
    <t>2 Тип</t>
  </si>
  <si>
    <t>3 Тип</t>
  </si>
  <si>
    <t>4 Тип</t>
  </si>
  <si>
    <t>цена</t>
  </si>
  <si>
    <t>Отмостка</t>
  </si>
  <si>
    <t>Торец №2</t>
  </si>
  <si>
    <t>Стоимость СМР</t>
  </si>
  <si>
    <t>Площадь утепления</t>
  </si>
  <si>
    <t>Утепление пенополеуретаном, обычный 100мм</t>
  </si>
  <si>
    <t>Утепление пенополеуретаном, влагостойкий 50мм</t>
  </si>
  <si>
    <t xml:space="preserve">Устройство скважины </t>
  </si>
  <si>
    <t>2000*300</t>
  </si>
  <si>
    <t>Тип2, Фундамент ленточный с б/н сваями , мп</t>
  </si>
  <si>
    <t>Тип1, Фундамент ленточный, мп</t>
  </si>
  <si>
    <t>Стоимость материалов для фундамента 600*400мм, МТР</t>
  </si>
  <si>
    <t>Стоимость опалубки под заливку стяжки (доска обрезная 40*200*6000)</t>
  </si>
  <si>
    <t>Стоимость опалубки под заливку стяжки (доска обрезная 40*100*6000)</t>
  </si>
  <si>
    <t>800*500*1000</t>
  </si>
  <si>
    <t>дней</t>
  </si>
  <si>
    <t>Устройство ленточного фундамента 40мп день</t>
  </si>
  <si>
    <t>Чел/ часов в день</t>
  </si>
  <si>
    <t>Всего ч/ч</t>
  </si>
  <si>
    <t>Изготовление и монтаж арочных металлических панелей из оцинкованной стали</t>
  </si>
  <si>
    <t>Изготовление и монтаж прямых металлических панелей на торцевую стену №1 из оцинкованной стали</t>
  </si>
  <si>
    <t>Изготовление и монтаж прямых металлических панелей на торцевую стену №2 из оцинкованной стали</t>
  </si>
  <si>
    <t>мин</t>
  </si>
  <si>
    <t>макс</t>
  </si>
  <si>
    <t>ср</t>
  </si>
  <si>
    <t>Цена за 1 м2</t>
  </si>
  <si>
    <t>Монолитная плита 100мм</t>
  </si>
  <si>
    <t>количество на 1 м2</t>
  </si>
  <si>
    <t>100*1000*1000</t>
  </si>
  <si>
    <t>Укладка сетки 200*200*6</t>
  </si>
  <si>
    <t>1000*1000*100</t>
  </si>
  <si>
    <t>300*1000</t>
  </si>
  <si>
    <t>Стоимость материалов для фундамента 900*400мм</t>
  </si>
  <si>
    <t>Стоимость материалов для плиты 100мм</t>
  </si>
  <si>
    <t>Устройство ЖБ подпорной стенки, высота 1 м</t>
  </si>
  <si>
    <t>Устройство металлической подпорной стенки, высота 3 м</t>
  </si>
  <si>
    <t>Толщина заготовки, мм</t>
  </si>
  <si>
    <t>Максимальная ширина пролета, метров</t>
  </si>
  <si>
    <t>Ветровой район I-IV</t>
  </si>
  <si>
    <t>Снеговые районы I-VII</t>
  </si>
  <si>
    <t>I-II</t>
  </si>
  <si>
    <t>III</t>
  </si>
  <si>
    <t>IV</t>
  </si>
  <si>
    <t>V</t>
  </si>
  <si>
    <t>VII</t>
  </si>
  <si>
    <t>VI</t>
  </si>
  <si>
    <t>Монтаж ворот с установкой колонн</t>
  </si>
  <si>
    <t>Колонны</t>
  </si>
  <si>
    <t>кг/мп</t>
  </si>
  <si>
    <t>Работы по устройству фундамента:</t>
  </si>
  <si>
    <t>Монтаж металллоконструкций по готовому фундаменту:</t>
  </si>
  <si>
    <t>Нанесение утеплителя:</t>
  </si>
  <si>
    <t>Общая продолжительность работ:</t>
  </si>
  <si>
    <t>р/дня</t>
  </si>
  <si>
    <t>Утепление минеральной ватой 50мм</t>
  </si>
  <si>
    <t>Утепление минеральной ватой 50 мм</t>
  </si>
  <si>
    <t>Устройство ленточного фундамента</t>
  </si>
  <si>
    <t>Предварительный расчет стоимости работ и материалов для строительства ангара.</t>
  </si>
  <si>
    <t>КП № М84_01 от 08.09.2015</t>
  </si>
  <si>
    <t>,</t>
  </si>
  <si>
    <t>Стоимость утеплителя из минеральной ваты</t>
  </si>
  <si>
    <t>Примечания</t>
  </si>
  <si>
    <t>Формула</t>
  </si>
  <si>
    <t>Примечание 2</t>
  </si>
  <si>
    <t>Заполняется пользователем вручную</t>
  </si>
  <si>
    <t>На примере рассчитаем ангар по заявке клиента.
Заказчик хочет построить ангар в Санкт-Петербурге,
24 метра шириной, 
50 метров длиной,
12метров  высотой, 
фундамент ленточный, 
2 ворот по 1 в разных торцевых стенах (высота 1 ворот 4,5м ширина 4м), (высота 2 ворот 4,0м ширина 4м),
окна над воротами</t>
  </si>
  <si>
    <t xml:space="preserve">ширина </t>
  </si>
  <si>
    <r>
      <rPr>
        <b/>
        <sz val="11"/>
        <color theme="1"/>
        <rFont val="Calibri"/>
        <family val="2"/>
        <charset val="204"/>
        <scheme val="minor"/>
      </rPr>
      <t>II.</t>
    </r>
    <r>
      <rPr>
        <sz val="11"/>
        <color theme="1"/>
        <rFont val="Calibri"/>
        <family val="2"/>
        <charset val="204"/>
        <scheme val="minor"/>
      </rPr>
      <t xml:space="preserve"> После того как будет определен результат по ширине ангара в соответствии с ТУ, в нашем случае ширина 23м, в закладке Длина панелей в таблице выбирается высота, Заказчик хочет 12, но по таблице видно, что максимальная высота ангара при ширине 23 метра, всего 9 метров, берем ее как ближайшую максимальную высоту и переносим в закладку расчеты, </t>
    </r>
    <r>
      <rPr>
        <sz val="11"/>
        <color rgb="FF00B050"/>
        <rFont val="Calibri"/>
        <family val="2"/>
        <charset val="204"/>
        <scheme val="minor"/>
      </rPr>
      <t>Если бы выоста по заявке была бы меньше чем в таблице то взяли бы первую минимальную то есть 7 метров, если бы по заявке была высота в диапазоне от 7м до 9м, например 8,5м, то выбрали бы ее.</t>
    </r>
  </si>
  <si>
    <t>данные переносим в закладку расчеты</t>
  </si>
  <si>
    <t>Заполняет пользователь исходя из пожеланий Заказчика</t>
  </si>
  <si>
    <t>1) Условие: высота и ширина ворот и окон не может быть болше чем ширина или высота ангара, будет таблица зависимости при каких размерах ангара какие макимальные размеры ворот могут быть
2) Выбранные данные переносятся в закладку расчеты</t>
  </si>
  <si>
    <t>Тип4 Фундаментная плита, мп</t>
  </si>
  <si>
    <t>Тип3, Фундамент ленточный усиленный, мп</t>
  </si>
  <si>
    <r>
      <t xml:space="preserve">1) Условие программа исходя из данных по ширине будет определять подходящий тип по ТУ
2) Будет таблица зависимости Типа фундамента от ширины ангара, </t>
    </r>
    <r>
      <rPr>
        <sz val="11"/>
        <color rgb="FF00B050"/>
        <rFont val="Calibri"/>
        <family val="2"/>
        <charset val="204"/>
        <scheme val="minor"/>
      </rPr>
      <t xml:space="preserve">(пример : ширина от 6 до 12 фундамент Тип 1, от 12 до 18 Тип 2 и  тд)
</t>
    </r>
    <r>
      <rPr>
        <sz val="11"/>
        <rFont val="Calibri"/>
        <family val="2"/>
        <charset val="204"/>
        <scheme val="minor"/>
      </rPr>
      <t>3) Так же будет таблица со стоимостью фундаментов по типам, данные будут расчитаны за 1 погонный или квадратный метр.
4) Программа выбирает данные и переносит в закладку расчеты</t>
    </r>
  </si>
  <si>
    <t>1) Будет таблица со стоимостью утепления по типам, данные будут расчитаны за 1 погонный или квадратный метр.
2) Программа выбирает данные и переносит в закладку расчеты</t>
  </si>
  <si>
    <t xml:space="preserve">Прочие работы список работ увеличится </t>
  </si>
  <si>
    <t>1) Будет таблица со стоимостью всех видов работ, данные будут расчитаны за 1 погонный или квадратный метр.
2) Программа выбирает данные и переносит в закладку расчеты</t>
  </si>
  <si>
    <t>Фундамент ТИП 1</t>
  </si>
  <si>
    <t>Фундамент ТИП 2</t>
  </si>
  <si>
    <t xml:space="preserve">Ширина </t>
  </si>
  <si>
    <t xml:space="preserve">Высота </t>
  </si>
  <si>
    <t>Длина</t>
  </si>
  <si>
    <t>Ворта торец №2</t>
  </si>
  <si>
    <t>Окна торец №1</t>
  </si>
  <si>
    <t>Двери торец №1</t>
  </si>
  <si>
    <t>Окна торец №2</t>
  </si>
  <si>
    <t>Двери торец №2</t>
  </si>
  <si>
    <t>тип 1</t>
  </si>
  <si>
    <r>
      <rPr>
        <b/>
        <sz val="11"/>
        <color theme="1"/>
        <rFont val="Calibri"/>
        <family val="2"/>
        <charset val="204"/>
        <scheme val="minor"/>
      </rPr>
      <t xml:space="preserve">I. </t>
    </r>
    <r>
      <rPr>
        <sz val="11"/>
        <color theme="1"/>
        <rFont val="Calibri"/>
        <family val="2"/>
        <charset val="204"/>
        <scheme val="minor"/>
      </rPr>
      <t xml:space="preserve">Тут есть условия, прежде чем использовать этот размер программа должна сравнить его с Техническими Условиями: 
1) В закладке СНЕГ находит совпадение города </t>
    </r>
    <r>
      <rPr>
        <sz val="11"/>
        <color rgb="FFFF0000"/>
        <rFont val="Calibri"/>
        <family val="2"/>
        <charset val="204"/>
        <scheme val="minor"/>
      </rPr>
      <t>Санкт-Петербург</t>
    </r>
    <r>
      <rPr>
        <sz val="11"/>
        <color theme="1"/>
        <rFont val="Calibri"/>
        <family val="2"/>
        <charset val="204"/>
        <scheme val="minor"/>
      </rPr>
      <t xml:space="preserve"> (116 пункт по порядку) выбирает максимальное значение (</t>
    </r>
    <r>
      <rPr>
        <sz val="11"/>
        <color rgb="FFFF0000"/>
        <rFont val="Calibri"/>
        <family val="2"/>
        <charset val="204"/>
        <scheme val="minor"/>
      </rPr>
      <t>число 3</t>
    </r>
    <r>
      <rPr>
        <sz val="11"/>
        <color theme="1"/>
        <rFont val="Calibri"/>
        <family val="2"/>
        <charset val="204"/>
        <scheme val="minor"/>
      </rPr>
      <t xml:space="preserve">) это число является районом строительства , 
2) затем переходит в закладку Толщина по </t>
    </r>
    <r>
      <rPr>
        <sz val="11"/>
        <color rgb="FFFF0000"/>
        <rFont val="Calibri"/>
        <family val="2"/>
        <charset val="204"/>
        <scheme val="minor"/>
      </rPr>
      <t>числу 3</t>
    </r>
    <r>
      <rPr>
        <sz val="11"/>
        <rFont val="Calibri"/>
        <family val="2"/>
        <charset val="204"/>
        <scheme val="minor"/>
      </rPr>
      <t xml:space="preserve"> выбирает</t>
    </r>
    <r>
      <rPr>
        <sz val="11"/>
        <color rgb="FFFF0000"/>
        <rFont val="Calibri"/>
        <family val="2"/>
        <charset val="204"/>
        <scheme val="minor"/>
      </rPr>
      <t xml:space="preserve"> III Снеговой и ветровой район</t>
    </r>
    <r>
      <rPr>
        <sz val="11"/>
        <rFont val="Calibri"/>
        <family val="2"/>
        <charset val="204"/>
        <scheme val="minor"/>
      </rPr>
      <t xml:space="preserve"> в этом столбце ищет ширину ангара  из заявки в нашем случае это 24м если не находит берет следующую цифру идущую на меньшение, это цифра 23, </t>
    </r>
    <r>
      <rPr>
        <sz val="11"/>
        <color rgb="FF00B050"/>
        <rFont val="Calibri"/>
        <family val="2"/>
        <charset val="204"/>
        <scheme val="minor"/>
      </rPr>
      <t>(в случае минимального размера берет следующую идущую на увеличение ПРИМЕР если были условия 3 района но ширина 12 м то надо использовать цифру 15 в 3 районе).</t>
    </r>
    <r>
      <rPr>
        <sz val="11"/>
        <rFont val="Calibri"/>
        <family val="2"/>
        <charset val="204"/>
        <scheme val="minor"/>
      </rPr>
      <t xml:space="preserve"> 
3) Следующим действием программа выбирает толщину металла для заготовки в нашем случае это 1,5мм (берется по табличке в закладке толщина слева от выбранной ширины), так же будет таблица со стоимостью металла для всех толщин от 0,7мм до 1,5 мм
4) Результат этих действий:
- Выбор ширины здания в соответствии с ТУ
- Выбор толщины заготовки металла в соответствии с ТУ
5) Результаты помещаются в закладку РАСЧЕТЫ и используются для расчетов стоимости</t>
    </r>
  </si>
  <si>
    <t>Толщина металла для арочных панелей (купол): мм/цена за ед материалы/цена за ед изготовление/цена за ед монтаж</t>
  </si>
  <si>
    <t>Толщина металла для прямых панелей (торцевые стены): мм/цена за ед материалы/цена за ед изготовление/цена за ед монтаж</t>
  </si>
  <si>
    <t>I ЭТАП (сбор данных)</t>
  </si>
  <si>
    <t>Фундамент : Тип/цена за ед материалы/цена за ед изготовление/цена за ед. монтаж</t>
  </si>
  <si>
    <t>ДЛИНА ДУГИ</t>
  </si>
  <si>
    <t>Площадь торцевой стены №1</t>
  </si>
  <si>
    <t>Площадь торцевой стены №2</t>
  </si>
  <si>
    <t>длина направляющей безширины ворот</t>
  </si>
  <si>
    <t>Площадь, м2</t>
  </si>
  <si>
    <t>Периметр, мп</t>
  </si>
  <si>
    <t>Ворта торец №1: размер ширина/размер высота/цена за ед материалы/цена за ед изготовление/цена за ед. монтаж</t>
  </si>
  <si>
    <t xml:space="preserve">Вес торца №1 </t>
  </si>
  <si>
    <t xml:space="preserve">общий вес </t>
  </si>
  <si>
    <t xml:space="preserve">общий вес без проема под ворота </t>
  </si>
  <si>
    <t>Устанавливается руководителем</t>
  </si>
  <si>
    <t>Коэффициент</t>
  </si>
  <si>
    <t>общая длина</t>
  </si>
  <si>
    <t>общая длина без ширины ворот</t>
  </si>
  <si>
    <t>вес 1 метра направляющей, тонн</t>
  </si>
  <si>
    <t>Вес 1 метра панели, 300мм, кг</t>
  </si>
  <si>
    <t>Вес 1 панели, 300мм, кг</t>
  </si>
  <si>
    <t>Фундамент</t>
  </si>
  <si>
    <t>Количество панелей, 300мм, шт</t>
  </si>
  <si>
    <t>кол-во касет по 5шт</t>
  </si>
  <si>
    <t>вес 5 касет, тонн</t>
  </si>
</sst>
</file>

<file path=xl/styles.xml><?xml version="1.0" encoding="utf-8"?>
<styleSheet xmlns="http://schemas.openxmlformats.org/spreadsheetml/2006/main">
  <numFmts count="7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  <numFmt numFmtId="165" formatCode="0.000"/>
    <numFmt numFmtId="166" formatCode="#,##0&quot;р.&quot;"/>
    <numFmt numFmtId="167" formatCode="#,##0.0&quot;р.&quot;"/>
    <numFmt numFmtId="168" formatCode="#,##0.00&quot;р.&quot;"/>
    <numFmt numFmtId="169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0"/>
      <name val="Arial Cyr"/>
      <charset val="204"/>
    </font>
    <font>
      <b/>
      <i/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9"/>
      <name val="Arial Cyr"/>
      <charset val="204"/>
    </font>
    <font>
      <b/>
      <i/>
      <sz val="12"/>
      <color rgb="FFFF0000"/>
      <name val="Arial Cyr"/>
      <charset val="204"/>
    </font>
    <font>
      <b/>
      <sz val="15"/>
      <color theme="1"/>
      <name val="Calibri"/>
      <family val="2"/>
      <charset val="204"/>
      <scheme val="minor"/>
    </font>
    <font>
      <b/>
      <i/>
      <sz val="9"/>
      <color rgb="FF00B050"/>
      <name val="Arial Cyr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8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5"/>
      <name val="Calibri"/>
      <family val="2"/>
      <charset val="204"/>
      <scheme val="minor"/>
    </font>
    <font>
      <b/>
      <i/>
      <sz val="12"/>
      <name val="Arial Cyr"/>
      <charset val="204"/>
    </font>
    <font>
      <i/>
      <sz val="10"/>
      <color rgb="FF00B050"/>
      <name val="Arial Cyr"/>
      <charset val="204"/>
    </font>
    <font>
      <b/>
      <i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0"/>
      <color rgb="FFFF000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4E4"/>
        <bgColor indexed="64"/>
      </patternFill>
    </fill>
    <fill>
      <patternFill patternType="solid">
        <fgColor rgb="FFC4DCE1"/>
        <bgColor indexed="64"/>
      </patternFill>
    </fill>
    <fill>
      <patternFill patternType="solid">
        <fgColor rgb="FFF5F6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/>
    <xf numFmtId="167" fontId="2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8" fillId="0" borderId="1" xfId="0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165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4" fontId="0" fillId="0" borderId="1" xfId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44" fontId="2" fillId="0" borderId="1" xfId="1" applyFont="1" applyBorder="1" applyAlignment="1">
      <alignment wrapText="1"/>
    </xf>
    <xf numFmtId="44" fontId="2" fillId="0" borderId="1" xfId="1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13" fillId="0" borderId="0" xfId="0" applyFont="1" applyFill="1"/>
    <xf numFmtId="0" fontId="2" fillId="0" borderId="0" xfId="0" applyFont="1" applyAlignment="1">
      <alignment horizontal="center" wrapText="1"/>
    </xf>
    <xf numFmtId="44" fontId="0" fillId="3" borderId="1" xfId="1" applyFont="1" applyFill="1" applyBorder="1" applyAlignment="1">
      <alignment horizontal="center" vertical="center" wrapText="1"/>
    </xf>
    <xf numFmtId="44" fontId="0" fillId="0" borderId="1" xfId="1" applyFont="1" applyBorder="1" applyAlignment="1">
      <alignment wrapText="1"/>
    </xf>
    <xf numFmtId="44" fontId="0" fillId="0" borderId="1" xfId="1" applyFont="1" applyBorder="1" applyAlignment="1">
      <alignment horizontal="center" wrapText="1"/>
    </xf>
    <xf numFmtId="0" fontId="14" fillId="0" borderId="1" xfId="1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wrapText="1"/>
    </xf>
    <xf numFmtId="0" fontId="16" fillId="5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wrapText="1"/>
    </xf>
    <xf numFmtId="0" fontId="16" fillId="6" borderId="8" xfId="0" applyFont="1" applyFill="1" applyBorder="1" applyAlignment="1">
      <alignment horizontal="center" wrapText="1"/>
    </xf>
    <xf numFmtId="0" fontId="16" fillId="5" borderId="8" xfId="0" applyFont="1" applyFill="1" applyBorder="1" applyAlignment="1">
      <alignment horizontal="left" wrapText="1"/>
    </xf>
    <xf numFmtId="0" fontId="16" fillId="6" borderId="8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164" fontId="0" fillId="3" borderId="1" xfId="1" applyNumberFormat="1" applyFont="1" applyFill="1" applyBorder="1"/>
    <xf numFmtId="168" fontId="6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44" fontId="0" fillId="0" borderId="0" xfId="0" applyNumberFormat="1"/>
    <xf numFmtId="0" fontId="6" fillId="3" borderId="0" xfId="0" applyFont="1" applyFill="1"/>
    <xf numFmtId="0" fontId="6" fillId="0" borderId="0" xfId="0" applyFont="1" applyFill="1" applyBorder="1" applyAlignment="1">
      <alignment horizontal="center"/>
    </xf>
    <xf numFmtId="44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right" vertical="top"/>
    </xf>
    <xf numFmtId="0" fontId="8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6" fillId="7" borderId="0" xfId="0" applyFont="1" applyFill="1"/>
    <xf numFmtId="166" fontId="4" fillId="7" borderId="1" xfId="0" applyNumberFormat="1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166" fontId="3" fillId="7" borderId="1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/>
    <xf numFmtId="164" fontId="0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ont="1" applyFill="1" applyBorder="1" applyAlignment="1">
      <alignment horizontal="left" vertical="center"/>
    </xf>
    <xf numFmtId="44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/>
    <xf numFmtId="164" fontId="6" fillId="0" borderId="0" xfId="0" applyNumberFormat="1" applyFont="1" applyFill="1"/>
    <xf numFmtId="166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top" wrapText="1"/>
    </xf>
    <xf numFmtId="9" fontId="6" fillId="0" borderId="0" xfId="0" applyNumberFormat="1" applyFont="1" applyFill="1"/>
    <xf numFmtId="2" fontId="0" fillId="3" borderId="3" xfId="0" applyNumberFormat="1" applyFill="1" applyBorder="1"/>
    <xf numFmtId="2" fontId="0" fillId="0" borderId="1" xfId="0" applyNumberFormat="1" applyFill="1" applyBorder="1"/>
    <xf numFmtId="0" fontId="0" fillId="10" borderId="12" xfId="0" applyFill="1" applyBorder="1"/>
    <xf numFmtId="0" fontId="0" fillId="10" borderId="13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14" fillId="3" borderId="1" xfId="1" applyNumberFormat="1" applyFont="1" applyFill="1" applyBorder="1" applyAlignment="1">
      <alignment horizontal="center" vertical="center" wrapText="1"/>
    </xf>
    <xf numFmtId="2" fontId="0" fillId="3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9" borderId="1" xfId="0" applyFill="1" applyBorder="1"/>
    <xf numFmtId="2" fontId="0" fillId="9" borderId="1" xfId="0" applyNumberForma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22" fillId="3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wrapText="1"/>
    </xf>
    <xf numFmtId="0" fontId="14" fillId="11" borderId="1" xfId="1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14" fillId="12" borderId="1" xfId="1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17" fillId="12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0" fontId="17" fillId="11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2" fontId="0" fillId="2" borderId="1" xfId="0" applyNumberFormat="1" applyFill="1" applyBorder="1"/>
    <xf numFmtId="0" fontId="0" fillId="0" borderId="15" xfId="0" applyBorder="1"/>
    <xf numFmtId="0" fontId="0" fillId="0" borderId="16" xfId="0" applyBorder="1"/>
    <xf numFmtId="0" fontId="4" fillId="0" borderId="12" xfId="0" applyFont="1" applyFill="1" applyBorder="1" applyAlignment="1">
      <alignment horizontal="left" vertical="center" wrapText="1"/>
    </xf>
    <xf numFmtId="0" fontId="0" fillId="0" borderId="13" xfId="0" applyBorder="1"/>
    <xf numFmtId="0" fontId="3" fillId="2" borderId="12" xfId="0" applyFont="1" applyFill="1" applyBorder="1" applyAlignment="1">
      <alignment horizontal="left" vertical="center" wrapText="1"/>
    </xf>
    <xf numFmtId="0" fontId="0" fillId="2" borderId="13" xfId="0" applyFill="1" applyBorder="1"/>
    <xf numFmtId="0" fontId="3" fillId="0" borderId="12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3" xfId="0" applyFill="1" applyBorder="1"/>
    <xf numFmtId="0" fontId="0" fillId="0" borderId="19" xfId="0" applyBorder="1"/>
    <xf numFmtId="167" fontId="2" fillId="0" borderId="20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169" fontId="0" fillId="9" borderId="1" xfId="0" applyNumberFormat="1" applyFill="1" applyBorder="1"/>
    <xf numFmtId="0" fontId="0" fillId="3" borderId="14" xfId="0" applyFill="1" applyBorder="1"/>
    <xf numFmtId="167" fontId="3" fillId="3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2" fontId="6" fillId="0" borderId="1" xfId="0" applyNumberFormat="1" applyFont="1" applyFill="1" applyBorder="1"/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169" fontId="0" fillId="0" borderId="1" xfId="0" applyNumberFormat="1" applyBorder="1"/>
    <xf numFmtId="2" fontId="0" fillId="0" borderId="1" xfId="1" applyNumberFormat="1" applyFont="1" applyBorder="1" applyAlignment="1">
      <alignment horizontal="center" vertical="center" wrapText="1"/>
    </xf>
    <xf numFmtId="2" fontId="0" fillId="0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168" fontId="6" fillId="0" borderId="0" xfId="0" applyNumberFormat="1" applyFont="1" applyFill="1"/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6" fillId="8" borderId="0" xfId="0" applyFont="1" applyFill="1"/>
    <xf numFmtId="0" fontId="21" fillId="8" borderId="0" xfId="0" applyFont="1" applyFill="1"/>
    <xf numFmtId="0" fontId="4" fillId="8" borderId="1" xfId="0" applyFont="1" applyFill="1" applyBorder="1" applyAlignment="1">
      <alignment horizontal="center" vertical="center" wrapText="1"/>
    </xf>
    <xf numFmtId="168" fontId="4" fillId="8" borderId="1" xfId="0" applyNumberFormat="1" applyFont="1" applyFill="1" applyBorder="1" applyAlignment="1">
      <alignment horizontal="center" vertical="center" wrapText="1"/>
    </xf>
    <xf numFmtId="166" fontId="4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0" fontId="0" fillId="10" borderId="3" xfId="0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6" fillId="7" borderId="1" xfId="0" applyFont="1" applyFill="1" applyBorder="1"/>
    <xf numFmtId="164" fontId="23" fillId="7" borderId="1" xfId="1" applyNumberFormat="1" applyFont="1" applyFill="1" applyBorder="1" applyAlignment="1">
      <alignment horizontal="center" vertical="center" wrapText="1"/>
    </xf>
    <xf numFmtId="0" fontId="23" fillId="7" borderId="1" xfId="1" applyNumberFormat="1" applyFont="1" applyFill="1" applyBorder="1" applyAlignment="1">
      <alignment horizontal="center" vertical="center" wrapText="1"/>
    </xf>
    <xf numFmtId="0" fontId="5" fillId="0" borderId="0" xfId="0" applyFont="1" applyFill="1" applyAlignment="1"/>
    <xf numFmtId="1" fontId="5" fillId="0" borderId="0" xfId="0" applyNumberFormat="1" applyFont="1" applyFill="1" applyAlignment="1"/>
    <xf numFmtId="1" fontId="3" fillId="0" borderId="1" xfId="0" applyNumberFormat="1" applyFont="1" applyFill="1" applyBorder="1" applyAlignment="1">
      <alignment horizontal="center" vertical="center" wrapText="1"/>
    </xf>
    <xf numFmtId="165" fontId="3" fillId="7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2" fillId="3" borderId="14" xfId="0" applyFont="1" applyFill="1" applyBorder="1"/>
    <xf numFmtId="0" fontId="0" fillId="8" borderId="0" xfId="0" applyFill="1"/>
    <xf numFmtId="0" fontId="0" fillId="8" borderId="1" xfId="0" applyFill="1" applyBorder="1"/>
    <xf numFmtId="44" fontId="0" fillId="8" borderId="1" xfId="1" applyFont="1" applyFill="1" applyBorder="1"/>
    <xf numFmtId="0" fontId="0" fillId="0" borderId="6" xfId="0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2" fontId="0" fillId="8" borderId="1" xfId="0" applyNumberFormat="1" applyFill="1" applyBorder="1"/>
    <xf numFmtId="2" fontId="0" fillId="8" borderId="3" xfId="0" applyNumberFormat="1" applyFill="1" applyBorder="1"/>
    <xf numFmtId="0" fontId="0" fillId="8" borderId="1" xfId="0" applyFill="1" applyBorder="1" applyAlignment="1">
      <alignment horizontal="left" vertical="top" wrapText="1"/>
    </xf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165" fontId="0" fillId="8" borderId="1" xfId="0" applyNumberFormat="1" applyFill="1" applyBorder="1"/>
    <xf numFmtId="169" fontId="0" fillId="8" borderId="1" xfId="0" applyNumberFormat="1" applyFill="1" applyBorder="1"/>
    <xf numFmtId="1" fontId="0" fillId="8" borderId="1" xfId="0" applyNumberFormat="1" applyFill="1" applyBorder="1"/>
    <xf numFmtId="0" fontId="0" fillId="0" borderId="1" xfId="0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4" fillId="3" borderId="1" xfId="1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center" wrapText="1"/>
    </xf>
    <xf numFmtId="0" fontId="3" fillId="7" borderId="0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 vertical="center" wrapText="1"/>
    </xf>
    <xf numFmtId="166" fontId="4" fillId="0" borderId="9" xfId="0" applyNumberFormat="1" applyFont="1" applyFill="1" applyBorder="1" applyAlignment="1">
      <alignment horizontal="center" vertical="center" wrapText="1"/>
    </xf>
    <xf numFmtId="166" fontId="4" fillId="0" borderId="10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168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166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8964</xdr:colOff>
      <xdr:row>3</xdr:row>
      <xdr:rowOff>38176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073152" cy="4953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161366</xdr:colOff>
      <xdr:row>7</xdr:row>
      <xdr:rowOff>8073</xdr:rowOff>
    </xdr:from>
    <xdr:to>
      <xdr:col>2</xdr:col>
      <xdr:colOff>573742</xdr:colOff>
      <xdr:row>18</xdr:row>
      <xdr:rowOff>6274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366" y="1182449"/>
          <a:ext cx="3845858" cy="1970437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/AppData/Roaming/Microsoft/Excel/&#1050;&#1055;/17_&#1050;&#1055;_&#8470;151_&#1086;&#1090;%2008.06.2015/&#1056;&#1072;&#1089;&#1095;&#1077;&#1090;%20&#1050;&#1055;%20151(&#1089;&#1082;&#1080;&#1076;&#1082;&#1072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П "/>
      <sheetName val="РАСЧЕТЫ"/>
      <sheetName val="Заявка"/>
      <sheetName val="Себестоимость профиля"/>
      <sheetName val="Монтажные работы"/>
      <sheetName val="Фундамент"/>
      <sheetName val="Прибыль"/>
      <sheetName val="График работ"/>
      <sheetName val="Стоимость работ"/>
      <sheetName val="Перебазировка"/>
      <sheetName val="СНЕГ"/>
      <sheetName val="Длина панеле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M12">
            <v>64</v>
          </cell>
        </row>
        <row r="13">
          <cell r="M13">
            <v>48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22">
          <cell r="M22">
            <v>0</v>
          </cell>
        </row>
        <row r="23">
          <cell r="M23">
            <v>0</v>
          </cell>
        </row>
        <row r="25">
          <cell r="M25">
            <v>0</v>
          </cell>
        </row>
        <row r="36">
          <cell r="M36">
            <v>0</v>
          </cell>
        </row>
      </sheetData>
      <sheetData sheetId="8"/>
      <sheetData sheetId="9">
        <row r="10">
          <cell r="D10">
            <v>110000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42"/>
  <sheetViews>
    <sheetView tabSelected="1" workbookViewId="0">
      <selection activeCell="C45" sqref="C45"/>
    </sheetView>
  </sheetViews>
  <sheetFormatPr defaultRowHeight="14.4"/>
  <cols>
    <col min="1" max="1" width="39.109375" style="132" customWidth="1"/>
    <col min="2" max="2" width="14.5546875" style="132" customWidth="1"/>
    <col min="3" max="3" width="52.109375" style="132" bestFit="1" customWidth="1"/>
    <col min="4" max="4" width="83.21875" style="179" customWidth="1"/>
    <col min="5" max="5" width="25.88671875" style="132" customWidth="1"/>
    <col min="6" max="16384" width="8.88671875" style="132"/>
  </cols>
  <sheetData>
    <row r="1" spans="1:4" ht="122.4" customHeight="1">
      <c r="A1" s="196" t="s">
        <v>470</v>
      </c>
      <c r="B1" s="197"/>
      <c r="C1" s="197"/>
      <c r="D1" s="198"/>
    </row>
    <row r="2" spans="1:4">
      <c r="A2" s="199" t="s">
        <v>496</v>
      </c>
      <c r="B2" s="199"/>
      <c r="C2" s="199"/>
      <c r="D2" s="199"/>
    </row>
    <row r="3" spans="1:4">
      <c r="A3" s="29" t="s">
        <v>127</v>
      </c>
      <c r="B3" s="29"/>
      <c r="C3" s="10" t="s">
        <v>466</v>
      </c>
      <c r="D3" s="30" t="s">
        <v>468</v>
      </c>
    </row>
    <row r="4" spans="1:4">
      <c r="A4" s="201" t="s">
        <v>128</v>
      </c>
      <c r="B4" s="31" t="s">
        <v>130</v>
      </c>
      <c r="C4" s="10"/>
      <c r="D4" s="30"/>
    </row>
    <row r="5" spans="1:4" ht="14.4" customHeight="1">
      <c r="A5" s="201"/>
      <c r="B5" s="202" t="s">
        <v>247</v>
      </c>
      <c r="C5" s="201" t="s">
        <v>469</v>
      </c>
      <c r="D5" s="30"/>
    </row>
    <row r="6" spans="1:4">
      <c r="A6" s="201"/>
      <c r="B6" s="202"/>
      <c r="C6" s="201"/>
      <c r="D6" s="30"/>
    </row>
    <row r="7" spans="1:4">
      <c r="A7" s="201"/>
      <c r="B7" s="202"/>
      <c r="C7" s="201"/>
      <c r="D7" s="30"/>
    </row>
    <row r="8" spans="1:4" ht="230.4">
      <c r="A8" s="30" t="s">
        <v>67</v>
      </c>
      <c r="B8" s="103">
        <v>24</v>
      </c>
      <c r="C8" s="201"/>
      <c r="D8" s="178" t="s">
        <v>493</v>
      </c>
    </row>
    <row r="9" spans="1:4" ht="100.8">
      <c r="A9" s="30" t="s">
        <v>66</v>
      </c>
      <c r="B9" s="103">
        <v>12</v>
      </c>
      <c r="C9" s="201"/>
      <c r="D9" s="178" t="s">
        <v>472</v>
      </c>
    </row>
    <row r="10" spans="1:4">
      <c r="A10" s="30" t="s">
        <v>68</v>
      </c>
      <c r="B10" s="103">
        <v>50</v>
      </c>
      <c r="C10" s="201"/>
      <c r="D10" s="30" t="s">
        <v>473</v>
      </c>
    </row>
    <row r="11" spans="1:4">
      <c r="A11" s="113" t="s">
        <v>69</v>
      </c>
      <c r="B11" s="121">
        <f>B8*B10</f>
        <v>1200</v>
      </c>
      <c r="C11" s="10" t="s">
        <v>467</v>
      </c>
      <c r="D11" s="30" t="s">
        <v>473</v>
      </c>
    </row>
    <row r="12" spans="1:4">
      <c r="A12" s="113" t="s">
        <v>70</v>
      </c>
      <c r="B12" s="121">
        <f>(B8+B10)*2</f>
        <v>148</v>
      </c>
      <c r="C12" s="10" t="s">
        <v>467</v>
      </c>
      <c r="D12" s="30" t="s">
        <v>473</v>
      </c>
    </row>
    <row r="13" spans="1:4">
      <c r="A13" s="111" t="s">
        <v>400</v>
      </c>
      <c r="B13" s="112"/>
      <c r="C13" s="10"/>
      <c r="D13" s="30"/>
    </row>
    <row r="14" spans="1:4" ht="43.2" customHeight="1">
      <c r="A14" s="30" t="s">
        <v>396</v>
      </c>
      <c r="B14" s="103">
        <v>0</v>
      </c>
      <c r="C14" s="200" t="s">
        <v>474</v>
      </c>
      <c r="D14" s="195" t="s">
        <v>475</v>
      </c>
    </row>
    <row r="15" spans="1:4">
      <c r="A15" s="30" t="s">
        <v>397</v>
      </c>
      <c r="B15" s="103">
        <v>0</v>
      </c>
      <c r="C15" s="200"/>
      <c r="D15" s="195"/>
    </row>
    <row r="16" spans="1:4">
      <c r="A16" s="30" t="s">
        <v>398</v>
      </c>
      <c r="B16" s="103">
        <v>0</v>
      </c>
      <c r="C16" s="200"/>
      <c r="D16" s="195"/>
    </row>
    <row r="17" spans="1:4">
      <c r="A17" s="30" t="s">
        <v>288</v>
      </c>
      <c r="B17" s="103">
        <v>1</v>
      </c>
      <c r="C17" s="200"/>
      <c r="D17" s="195"/>
    </row>
    <row r="18" spans="1:4">
      <c r="A18" s="30" t="s">
        <v>313</v>
      </c>
      <c r="B18" s="103">
        <v>0</v>
      </c>
      <c r="C18" s="200"/>
      <c r="D18" s="195"/>
    </row>
    <row r="19" spans="1:4">
      <c r="A19" s="30" t="s">
        <v>129</v>
      </c>
      <c r="B19" s="103">
        <v>0</v>
      </c>
      <c r="C19" s="200"/>
      <c r="D19" s="195"/>
    </row>
    <row r="20" spans="1:4">
      <c r="A20" s="30" t="s">
        <v>289</v>
      </c>
      <c r="B20" s="103">
        <v>0</v>
      </c>
      <c r="C20" s="200"/>
      <c r="D20" s="195"/>
    </row>
    <row r="21" spans="1:4">
      <c r="A21" s="113"/>
      <c r="B21" s="112"/>
      <c r="C21" s="10"/>
      <c r="D21" s="30"/>
    </row>
    <row r="22" spans="1:4">
      <c r="A22" s="114" t="s">
        <v>407</v>
      </c>
      <c r="B22" s="115"/>
      <c r="C22" s="10"/>
      <c r="D22" s="30"/>
    </row>
    <row r="23" spans="1:4" ht="14.4" customHeight="1">
      <c r="A23" s="30" t="s">
        <v>396</v>
      </c>
      <c r="B23" s="103">
        <v>0</v>
      </c>
      <c r="C23" s="200" t="s">
        <v>474</v>
      </c>
      <c r="D23" s="195" t="s">
        <v>475</v>
      </c>
    </row>
    <row r="24" spans="1:4">
      <c r="A24" s="30" t="s">
        <v>397</v>
      </c>
      <c r="B24" s="103">
        <v>0</v>
      </c>
      <c r="C24" s="200"/>
      <c r="D24" s="195"/>
    </row>
    <row r="25" spans="1:4">
      <c r="A25" s="30" t="s">
        <v>398</v>
      </c>
      <c r="B25" s="103">
        <v>0</v>
      </c>
      <c r="C25" s="200"/>
      <c r="D25" s="195"/>
    </row>
    <row r="26" spans="1:4">
      <c r="A26" s="30" t="s">
        <v>288</v>
      </c>
      <c r="B26" s="103">
        <v>0</v>
      </c>
      <c r="C26" s="200"/>
      <c r="D26" s="195"/>
    </row>
    <row r="27" spans="1:4">
      <c r="A27" s="30" t="s">
        <v>313</v>
      </c>
      <c r="B27" s="103">
        <v>0</v>
      </c>
      <c r="C27" s="200"/>
      <c r="D27" s="195"/>
    </row>
    <row r="28" spans="1:4">
      <c r="A28" s="30" t="s">
        <v>129</v>
      </c>
      <c r="B28" s="103">
        <v>0</v>
      </c>
      <c r="C28" s="200"/>
      <c r="D28" s="195"/>
    </row>
    <row r="29" spans="1:4">
      <c r="A29" s="30" t="s">
        <v>289</v>
      </c>
      <c r="B29" s="103">
        <v>0</v>
      </c>
      <c r="C29" s="200"/>
      <c r="D29" s="195"/>
    </row>
    <row r="30" spans="1:4">
      <c r="A30" s="116"/>
      <c r="B30" s="117"/>
      <c r="C30" s="10"/>
      <c r="D30" s="30"/>
    </row>
    <row r="31" spans="1:4">
      <c r="A31" s="30"/>
      <c r="B31" s="44"/>
      <c r="C31" s="10"/>
      <c r="D31" s="30"/>
    </row>
    <row r="32" spans="1:4">
      <c r="A32" s="30" t="s">
        <v>415</v>
      </c>
      <c r="B32" s="103">
        <v>1</v>
      </c>
      <c r="C32" s="200" t="s">
        <v>474</v>
      </c>
      <c r="D32" s="195" t="s">
        <v>478</v>
      </c>
    </row>
    <row r="33" spans="1:4" ht="28.8">
      <c r="A33" s="30" t="s">
        <v>414</v>
      </c>
      <c r="B33" s="103">
        <v>0</v>
      </c>
      <c r="C33" s="200"/>
      <c r="D33" s="195"/>
    </row>
    <row r="34" spans="1:4" ht="28.8">
      <c r="A34" s="30" t="s">
        <v>477</v>
      </c>
      <c r="B34" s="103">
        <v>0</v>
      </c>
      <c r="C34" s="200"/>
      <c r="D34" s="195"/>
    </row>
    <row r="35" spans="1:4">
      <c r="A35" s="30" t="s">
        <v>476</v>
      </c>
      <c r="B35" s="103">
        <v>0</v>
      </c>
      <c r="C35" s="200"/>
      <c r="D35" s="195"/>
    </row>
    <row r="36" spans="1:4" ht="43.2" customHeight="1">
      <c r="A36" s="30" t="s">
        <v>410</v>
      </c>
      <c r="B36" s="103">
        <v>0</v>
      </c>
      <c r="C36" s="10" t="s">
        <v>474</v>
      </c>
      <c r="D36" s="195" t="s">
        <v>479</v>
      </c>
    </row>
    <row r="37" spans="1:4" ht="28.8">
      <c r="A37" s="30" t="s">
        <v>411</v>
      </c>
      <c r="B37" s="103">
        <v>0</v>
      </c>
      <c r="C37" s="10" t="s">
        <v>474</v>
      </c>
      <c r="D37" s="195"/>
    </row>
    <row r="38" spans="1:4">
      <c r="A38" s="30" t="s">
        <v>459</v>
      </c>
      <c r="B38" s="103"/>
      <c r="C38" s="10" t="s">
        <v>474</v>
      </c>
      <c r="D38" s="195"/>
    </row>
    <row r="39" spans="1:4" ht="51.6" customHeight="1">
      <c r="A39" s="30" t="s">
        <v>439</v>
      </c>
      <c r="B39" s="103">
        <v>0</v>
      </c>
      <c r="C39" s="10" t="s">
        <v>474</v>
      </c>
      <c r="D39" s="195" t="s">
        <v>481</v>
      </c>
    </row>
    <row r="40" spans="1:4" ht="28.8">
      <c r="A40" s="30" t="s">
        <v>440</v>
      </c>
      <c r="B40" s="103">
        <v>0</v>
      </c>
      <c r="C40" s="10" t="s">
        <v>474</v>
      </c>
      <c r="D40" s="195"/>
    </row>
    <row r="41" spans="1:4">
      <c r="A41" s="30" t="s">
        <v>406</v>
      </c>
      <c r="B41" s="103">
        <v>0</v>
      </c>
      <c r="C41" s="10" t="s">
        <v>474</v>
      </c>
      <c r="D41" s="195"/>
    </row>
    <row r="42" spans="1:4">
      <c r="A42" s="30" t="s">
        <v>480</v>
      </c>
      <c r="B42" s="103">
        <v>0</v>
      </c>
      <c r="C42" s="10" t="s">
        <v>474</v>
      </c>
      <c r="D42" s="195"/>
    </row>
  </sheetData>
  <mergeCells count="13">
    <mergeCell ref="D36:D38"/>
    <mergeCell ref="D39:D42"/>
    <mergeCell ref="A1:D1"/>
    <mergeCell ref="A2:D2"/>
    <mergeCell ref="D14:D20"/>
    <mergeCell ref="D23:D29"/>
    <mergeCell ref="C32:C35"/>
    <mergeCell ref="D32:D35"/>
    <mergeCell ref="C5:C10"/>
    <mergeCell ref="C14:C20"/>
    <mergeCell ref="C23:C29"/>
    <mergeCell ref="A4:A7"/>
    <mergeCell ref="B5:B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19"/>
  <sheetViews>
    <sheetView topLeftCell="A3" workbookViewId="0">
      <selection activeCell="H9" sqref="H9"/>
    </sheetView>
  </sheetViews>
  <sheetFormatPr defaultRowHeight="14.4"/>
  <cols>
    <col min="1" max="1" width="39.44140625" customWidth="1"/>
    <col min="2" max="2" width="11.33203125" bestFit="1" customWidth="1"/>
    <col min="3" max="3" width="8.33203125" bestFit="1" customWidth="1"/>
    <col min="4" max="4" width="12.5546875" bestFit="1" customWidth="1"/>
    <col min="6" max="6" width="12.77734375" bestFit="1" customWidth="1"/>
    <col min="8" max="8" width="12.77734375" bestFit="1" customWidth="1"/>
  </cols>
  <sheetData>
    <row r="2" spans="1:8">
      <c r="A2" s="199" t="s">
        <v>111</v>
      </c>
      <c r="B2" s="199"/>
      <c r="C2" s="199"/>
      <c r="D2" s="199"/>
      <c r="E2" s="2"/>
      <c r="F2" s="2"/>
    </row>
    <row r="3" spans="1:8">
      <c r="A3" s="29" t="s">
        <v>112</v>
      </c>
      <c r="B3" s="29" t="s">
        <v>113</v>
      </c>
      <c r="C3" s="29" t="s">
        <v>31</v>
      </c>
      <c r="D3" s="29" t="s">
        <v>99</v>
      </c>
      <c r="E3" s="40"/>
      <c r="F3" s="40"/>
    </row>
    <row r="4" spans="1:8" ht="28.8">
      <c r="A4" s="30" t="s">
        <v>114</v>
      </c>
      <c r="B4" s="31">
        <v>10000</v>
      </c>
      <c r="C4" s="32">
        <v>0</v>
      </c>
      <c r="D4" s="31">
        <f t="shared" ref="D4:D9" si="0">B4*C4</f>
        <v>0</v>
      </c>
      <c r="E4" s="2"/>
      <c r="F4" s="2"/>
    </row>
    <row r="5" spans="1:8">
      <c r="A5" s="30" t="s">
        <v>115</v>
      </c>
      <c r="B5" s="41">
        <v>50</v>
      </c>
      <c r="C5" s="32" t="e">
        <f>Заявка!#REF!</f>
        <v>#REF!</v>
      </c>
      <c r="D5" s="31" t="e">
        <f t="shared" si="0"/>
        <v>#REF!</v>
      </c>
      <c r="E5" s="2"/>
      <c r="F5" s="2"/>
    </row>
    <row r="6" spans="1:8" ht="28.8">
      <c r="A6" s="30" t="s">
        <v>116</v>
      </c>
      <c r="B6" s="31">
        <v>10000</v>
      </c>
      <c r="C6" s="32">
        <v>0</v>
      </c>
      <c r="D6" s="31">
        <f t="shared" si="0"/>
        <v>0</v>
      </c>
      <c r="E6" s="2"/>
      <c r="F6" s="2"/>
    </row>
    <row r="7" spans="1:8" ht="28.8">
      <c r="A7" s="30" t="s">
        <v>117</v>
      </c>
      <c r="B7" s="31">
        <v>10000</v>
      </c>
      <c r="C7" s="32">
        <v>0</v>
      </c>
      <c r="D7" s="31">
        <f t="shared" si="0"/>
        <v>0</v>
      </c>
      <c r="E7" s="2"/>
      <c r="F7" s="2"/>
    </row>
    <row r="8" spans="1:8">
      <c r="A8" s="30" t="s">
        <v>118</v>
      </c>
      <c r="B8" s="41">
        <v>50</v>
      </c>
      <c r="C8" s="32" t="e">
        <f>C5</f>
        <v>#REF!</v>
      </c>
      <c r="D8" s="31" t="e">
        <f t="shared" si="0"/>
        <v>#REF!</v>
      </c>
      <c r="E8" s="2"/>
      <c r="F8" s="2"/>
    </row>
    <row r="9" spans="1:8" ht="28.8">
      <c r="A9" s="30" t="s">
        <v>119</v>
      </c>
      <c r="B9" s="31">
        <v>10000</v>
      </c>
      <c r="C9" s="32">
        <v>0</v>
      </c>
      <c r="D9" s="31">
        <f t="shared" si="0"/>
        <v>0</v>
      </c>
      <c r="E9" s="2"/>
      <c r="F9" s="2"/>
    </row>
    <row r="10" spans="1:8">
      <c r="A10" s="33" t="s">
        <v>103</v>
      </c>
      <c r="B10" s="34"/>
      <c r="C10" s="34"/>
      <c r="D10" s="35" t="e">
        <f>SUM(D4:D9)</f>
        <v>#REF!</v>
      </c>
      <c r="E10" s="40"/>
      <c r="F10" s="40"/>
    </row>
    <row r="11" spans="1:8">
      <c r="A11" s="1"/>
      <c r="B11" s="1"/>
      <c r="C11" s="1"/>
      <c r="D11" s="2"/>
      <c r="E11" s="2"/>
      <c r="F11" s="2"/>
    </row>
    <row r="12" spans="1:8">
      <c r="A12" s="227" t="s">
        <v>120</v>
      </c>
      <c r="B12" s="228"/>
      <c r="C12" s="228"/>
      <c r="D12" s="228"/>
      <c r="E12" s="228"/>
      <c r="F12" s="228"/>
      <c r="G12" s="228"/>
      <c r="H12" s="229"/>
    </row>
    <row r="13" spans="1:8" ht="72">
      <c r="A13" s="29"/>
      <c r="B13" s="29" t="s">
        <v>121</v>
      </c>
      <c r="C13" s="29" t="s">
        <v>122</v>
      </c>
      <c r="D13" s="29" t="s">
        <v>99</v>
      </c>
      <c r="E13" s="29" t="s">
        <v>123</v>
      </c>
      <c r="F13" s="29" t="s">
        <v>124</v>
      </c>
      <c r="G13" s="29" t="s">
        <v>359</v>
      </c>
      <c r="H13" s="29" t="s">
        <v>358</v>
      </c>
    </row>
    <row r="14" spans="1:8">
      <c r="A14" s="30" t="s">
        <v>351</v>
      </c>
      <c r="B14" s="42">
        <v>5000</v>
      </c>
      <c r="C14" s="32">
        <v>1</v>
      </c>
      <c r="D14" s="43">
        <f>B14*C14</f>
        <v>5000</v>
      </c>
      <c r="E14" s="32">
        <v>4</v>
      </c>
      <c r="F14" s="43">
        <f>D14*E14</f>
        <v>20000</v>
      </c>
      <c r="G14" s="10">
        <v>1</v>
      </c>
      <c r="H14" s="88">
        <f>F14*G14</f>
        <v>20000</v>
      </c>
    </row>
    <row r="15" spans="1:8">
      <c r="A15" s="30" t="s">
        <v>125</v>
      </c>
      <c r="B15" s="42">
        <v>700</v>
      </c>
      <c r="C15" s="32">
        <v>1</v>
      </c>
      <c r="D15" s="43">
        <f>B15*C15</f>
        <v>700</v>
      </c>
      <c r="E15" s="32">
        <v>4</v>
      </c>
      <c r="F15" s="43">
        <f>D15*E15</f>
        <v>2800</v>
      </c>
      <c r="G15" s="10">
        <f>'График работ'!AF6</f>
        <v>5</v>
      </c>
      <c r="H15" s="88">
        <f>F15*G15</f>
        <v>14000</v>
      </c>
    </row>
    <row r="16" spans="1:8">
      <c r="A16" s="30" t="s">
        <v>126</v>
      </c>
      <c r="B16" s="42">
        <v>500</v>
      </c>
      <c r="C16" s="32">
        <v>1</v>
      </c>
      <c r="D16" s="43">
        <f>B16*C16</f>
        <v>500</v>
      </c>
      <c r="E16" s="32">
        <v>4</v>
      </c>
      <c r="F16" s="43">
        <f>D16*E16</f>
        <v>2000</v>
      </c>
      <c r="G16" s="10">
        <f>G15</f>
        <v>5</v>
      </c>
      <c r="H16" s="88">
        <f>F16*G16</f>
        <v>10000</v>
      </c>
    </row>
    <row r="17" spans="1:8">
      <c r="A17" s="33" t="s">
        <v>103</v>
      </c>
      <c r="B17" s="34"/>
      <c r="C17" s="34"/>
      <c r="D17" s="35">
        <f>SUM(D14:D16)</f>
        <v>6200</v>
      </c>
      <c r="E17" s="32"/>
      <c r="F17" s="35">
        <f>SUM(F14:F16)</f>
        <v>24800</v>
      </c>
      <c r="G17" s="10"/>
      <c r="H17" s="35">
        <v>0</v>
      </c>
    </row>
    <row r="19" spans="1:8">
      <c r="H19" s="61" t="e">
        <f>D10+H17</f>
        <v>#REF!</v>
      </c>
    </row>
  </sheetData>
  <mergeCells count="2">
    <mergeCell ref="A2:D2"/>
    <mergeCell ref="A12:H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3:M79"/>
  <sheetViews>
    <sheetView view="pageBreakPreview" topLeftCell="A5" zoomScale="85" zoomScaleNormal="100" zoomScaleSheetLayoutView="85" workbookViewId="0">
      <selection activeCell="F38" sqref="F38"/>
    </sheetView>
  </sheetViews>
  <sheetFormatPr defaultRowHeight="14.4" outlineLevelRow="3" outlineLevelCol="1"/>
  <cols>
    <col min="1" max="1" width="2.88671875" style="17" bestFit="1" customWidth="1"/>
    <col min="2" max="2" width="47.21875" style="17" customWidth="1"/>
    <col min="3" max="3" width="10.109375" style="17" customWidth="1"/>
    <col min="4" max="4" width="13.5546875" style="17" customWidth="1"/>
    <col min="5" max="5" width="12.44140625" style="156" hidden="1" customWidth="1" outlineLevel="1"/>
    <col min="6" max="6" width="13.21875" style="17" customWidth="1" collapsed="1"/>
    <col min="7" max="7" width="9.88671875" style="156" hidden="1" customWidth="1" outlineLevel="1"/>
    <col min="8" max="8" width="12.5546875" style="17" hidden="1" customWidth="1" outlineLevel="1"/>
    <col min="9" max="9" width="16.109375" style="17" customWidth="1" collapsed="1"/>
    <col min="10" max="11" width="14.88671875" style="17" bestFit="1" customWidth="1"/>
    <col min="12" max="12" width="13.21875" style="17" bestFit="1" customWidth="1"/>
    <col min="13" max="13" width="18.21875" style="17" customWidth="1"/>
    <col min="14" max="16384" width="8.88671875" style="17"/>
  </cols>
  <sheetData>
    <row r="3" spans="4:9" ht="7.8" customHeight="1"/>
    <row r="4" spans="4:9">
      <c r="F4" s="68"/>
      <c r="G4" s="157"/>
      <c r="H4" s="68"/>
      <c r="I4" s="69"/>
    </row>
    <row r="5" spans="4:9">
      <c r="F5" s="68"/>
      <c r="G5" s="157"/>
      <c r="H5" s="68"/>
      <c r="I5" s="69" t="s">
        <v>463</v>
      </c>
    </row>
    <row r="6" spans="4:9">
      <c r="F6" s="68"/>
      <c r="G6" s="157"/>
      <c r="H6" s="68"/>
      <c r="I6" s="69"/>
    </row>
    <row r="8" spans="4:9">
      <c r="D8" s="231" t="s">
        <v>65</v>
      </c>
      <c r="E8" s="231"/>
      <c r="F8" s="231"/>
      <c r="H8" s="230" t="s">
        <v>349</v>
      </c>
      <c r="I8" s="230"/>
    </row>
    <row r="9" spans="4:9" ht="14.4" customHeight="1">
      <c r="D9" s="233" t="s">
        <v>377</v>
      </c>
      <c r="E9" s="233"/>
      <c r="F9" s="233"/>
      <c r="H9" s="234">
        <f>Заявка!B9</f>
        <v>12</v>
      </c>
      <c r="I9" s="234"/>
    </row>
    <row r="10" spans="4:9">
      <c r="D10" s="231" t="s">
        <v>378</v>
      </c>
      <c r="E10" s="231"/>
      <c r="F10" s="231"/>
      <c r="H10" s="230">
        <f>Заявка!B8</f>
        <v>24</v>
      </c>
      <c r="I10" s="230"/>
    </row>
    <row r="11" spans="4:9">
      <c r="D11" s="233" t="s">
        <v>379</v>
      </c>
      <c r="E11" s="233"/>
      <c r="F11" s="233"/>
      <c r="H11" s="234">
        <f>Заявка!B10</f>
        <v>50</v>
      </c>
      <c r="I11" s="234"/>
    </row>
    <row r="12" spans="4:9">
      <c r="D12" s="231" t="s">
        <v>334</v>
      </c>
      <c r="E12" s="231"/>
      <c r="F12" s="231"/>
      <c r="H12" s="230">
        <f>H10*H11</f>
        <v>1200</v>
      </c>
      <c r="I12" s="230"/>
    </row>
    <row r="13" spans="4:9">
      <c r="D13" s="233" t="s">
        <v>335</v>
      </c>
      <c r="E13" s="233"/>
      <c r="F13" s="233"/>
      <c r="H13" s="234">
        <f>('КП итог '!H10:I10+'КП итог '!H11:I11)*2</f>
        <v>148</v>
      </c>
      <c r="I13" s="234"/>
    </row>
    <row r="14" spans="4:9">
      <c r="D14" s="231" t="s">
        <v>336</v>
      </c>
      <c r="E14" s="231"/>
      <c r="F14" s="231"/>
      <c r="H14" s="230">
        <f>(100*Заявка!B36)+50*(Заявка!B37)</f>
        <v>0</v>
      </c>
      <c r="I14" s="230"/>
    </row>
    <row r="15" spans="4:9">
      <c r="D15" s="233" t="s">
        <v>337</v>
      </c>
      <c r="E15" s="233"/>
      <c r="F15" s="233"/>
      <c r="H15" s="234" t="s">
        <v>75</v>
      </c>
      <c r="I15" s="234"/>
    </row>
    <row r="16" spans="4:9">
      <c r="D16" s="231" t="s">
        <v>333</v>
      </c>
      <c r="E16" s="231"/>
      <c r="F16" s="231"/>
      <c r="H16" s="235">
        <f>РАСЧЕТЫ!B7</f>
        <v>1.5</v>
      </c>
      <c r="I16" s="235"/>
    </row>
    <row r="17" spans="1:13">
      <c r="D17" s="233" t="s">
        <v>365</v>
      </c>
      <c r="E17" s="233"/>
      <c r="F17" s="233"/>
      <c r="H17" s="234">
        <f>'КП итог '!D48</f>
        <v>1</v>
      </c>
      <c r="I17" s="234"/>
    </row>
    <row r="18" spans="1:13">
      <c r="D18" s="231" t="s">
        <v>376</v>
      </c>
      <c r="E18" s="231"/>
      <c r="F18" s="231"/>
      <c r="H18" s="230" t="s">
        <v>75</v>
      </c>
      <c r="I18" s="230"/>
    </row>
    <row r="19" spans="1:13" ht="9.6" customHeight="1">
      <c r="B19" s="19"/>
      <c r="C19" s="63"/>
      <c r="D19" s="231"/>
      <c r="E19" s="231"/>
      <c r="F19" s="231"/>
      <c r="H19" s="230"/>
      <c r="I19" s="230"/>
    </row>
    <row r="20" spans="1:13" ht="42.6" customHeight="1">
      <c r="A20" s="232" t="s">
        <v>462</v>
      </c>
      <c r="B20" s="232"/>
      <c r="C20" s="232"/>
      <c r="D20" s="232"/>
      <c r="E20" s="232"/>
      <c r="F20" s="232"/>
      <c r="G20" s="232"/>
      <c r="H20" s="232"/>
      <c r="I20" s="232"/>
    </row>
    <row r="22" spans="1:13" ht="16.8" customHeight="1">
      <c r="A22" s="222" t="s">
        <v>28</v>
      </c>
      <c r="B22" s="223" t="s">
        <v>29</v>
      </c>
      <c r="C22" s="223" t="s">
        <v>30</v>
      </c>
      <c r="D22" s="224" t="s">
        <v>31</v>
      </c>
      <c r="E22" s="164" t="s">
        <v>32</v>
      </c>
      <c r="F22" s="239" t="s">
        <v>348</v>
      </c>
      <c r="G22" s="158"/>
      <c r="H22" s="67" t="s">
        <v>49</v>
      </c>
      <c r="I22" s="237" t="s">
        <v>5</v>
      </c>
    </row>
    <row r="23" spans="1:13" ht="16.8" customHeight="1">
      <c r="A23" s="222"/>
      <c r="B23" s="223"/>
      <c r="C23" s="223"/>
      <c r="D23" s="224"/>
      <c r="E23" s="158" t="s">
        <v>33</v>
      </c>
      <c r="F23" s="240"/>
      <c r="G23" s="158" t="s">
        <v>33</v>
      </c>
      <c r="H23" s="59" t="s">
        <v>33</v>
      </c>
      <c r="I23" s="238"/>
    </row>
    <row r="24" spans="1:13">
      <c r="A24" s="52">
        <v>1</v>
      </c>
      <c r="B24" s="52">
        <v>2</v>
      </c>
      <c r="C24" s="52">
        <v>3</v>
      </c>
      <c r="D24" s="52">
        <v>4</v>
      </c>
      <c r="E24" s="158">
        <v>5</v>
      </c>
      <c r="F24" s="52">
        <v>5</v>
      </c>
      <c r="G24" s="158" t="s">
        <v>34</v>
      </c>
      <c r="H24" s="52">
        <v>7</v>
      </c>
      <c r="I24" s="52">
        <v>6</v>
      </c>
      <c r="J24" s="17" t="s">
        <v>509</v>
      </c>
    </row>
    <row r="25" spans="1:13" hidden="1" outlineLevel="1">
      <c r="A25" s="219" t="s">
        <v>41</v>
      </c>
      <c r="B25" s="219"/>
      <c r="C25" s="219"/>
      <c r="D25" s="219"/>
      <c r="E25" s="219"/>
      <c r="F25" s="219"/>
      <c r="G25" s="219"/>
      <c r="H25" s="219"/>
      <c r="I25" s="219"/>
      <c r="J25" s="17">
        <f>J63</f>
        <v>1</v>
      </c>
    </row>
    <row r="26" spans="1:13" ht="15.6" hidden="1" outlineLevel="1" collapsed="1">
      <c r="A26" s="25"/>
      <c r="B26" s="236" t="s">
        <v>362</v>
      </c>
      <c r="C26" s="236"/>
      <c r="D26" s="236"/>
      <c r="E26" s="236"/>
      <c r="F26" s="236"/>
      <c r="G26" s="236"/>
      <c r="H26" s="236"/>
      <c r="I26" s="236"/>
    </row>
    <row r="27" spans="1:13" hidden="1" outlineLevel="2">
      <c r="A27" s="14">
        <v>1</v>
      </c>
      <c r="B27" s="4" t="s">
        <v>42</v>
      </c>
      <c r="C27" s="5" t="s">
        <v>19</v>
      </c>
      <c r="D27" s="5"/>
      <c r="E27" s="120">
        <v>0</v>
      </c>
      <c r="F27" s="16">
        <f>D27*E27</f>
        <v>0</v>
      </c>
      <c r="G27" s="120">
        <v>50</v>
      </c>
      <c r="H27" s="15">
        <f>G27*J27</f>
        <v>50</v>
      </c>
      <c r="I27" s="16">
        <f>D27*H27</f>
        <v>0</v>
      </c>
      <c r="J27" s="17">
        <f>J76</f>
        <v>1</v>
      </c>
    </row>
    <row r="28" spans="1:13" s="75" customFormat="1" hidden="1" outlineLevel="2">
      <c r="A28" s="70">
        <v>2</v>
      </c>
      <c r="B28" s="71" t="s">
        <v>43</v>
      </c>
      <c r="C28" s="72" t="s">
        <v>19</v>
      </c>
      <c r="D28" s="72"/>
      <c r="E28" s="120">
        <v>0</v>
      </c>
      <c r="F28" s="74">
        <f>D28*E28</f>
        <v>0</v>
      </c>
      <c r="G28" s="120">
        <v>75</v>
      </c>
      <c r="H28" s="73">
        <f>G28*J28</f>
        <v>75</v>
      </c>
      <c r="I28" s="74">
        <f>D28*H28</f>
        <v>0</v>
      </c>
      <c r="J28" s="75">
        <f>J27</f>
        <v>1</v>
      </c>
      <c r="K28" s="17"/>
      <c r="L28" s="17"/>
      <c r="M28" s="17"/>
    </row>
    <row r="29" spans="1:13" hidden="1" outlineLevel="2">
      <c r="A29" s="242" t="s">
        <v>58</v>
      </c>
      <c r="B29" s="242"/>
      <c r="C29" s="242"/>
      <c r="D29" s="242"/>
      <c r="E29" s="243">
        <f>F27+F28</f>
        <v>0</v>
      </c>
      <c r="F29" s="243"/>
      <c r="G29" s="159"/>
      <c r="H29" s="244">
        <f>I27+I28</f>
        <v>0</v>
      </c>
      <c r="I29" s="244"/>
    </row>
    <row r="30" spans="1:13" s="75" customFormat="1" hidden="1" outlineLevel="3">
      <c r="A30" s="245" t="s">
        <v>59</v>
      </c>
      <c r="B30" s="245"/>
      <c r="C30" s="245"/>
      <c r="D30" s="245"/>
      <c r="E30" s="245"/>
      <c r="F30" s="245"/>
      <c r="G30" s="245"/>
      <c r="H30" s="245"/>
      <c r="I30" s="76">
        <f>E29+H29</f>
        <v>0</v>
      </c>
      <c r="K30" s="17"/>
      <c r="L30" s="17"/>
      <c r="M30" s="17"/>
    </row>
    <row r="31" spans="1:13" hidden="1" outlineLevel="2" collapsed="1">
      <c r="A31" s="219" t="s">
        <v>47</v>
      </c>
      <c r="B31" s="219"/>
      <c r="C31" s="219"/>
      <c r="D31" s="219"/>
      <c r="E31" s="219"/>
      <c r="F31" s="219"/>
      <c r="G31" s="219"/>
      <c r="H31" s="219"/>
      <c r="I31" s="219"/>
    </row>
    <row r="32" spans="1:13" ht="15.6" hidden="1" outlineLevel="2">
      <c r="A32" s="25"/>
      <c r="B32" s="236" t="s">
        <v>44</v>
      </c>
      <c r="C32" s="236"/>
      <c r="D32" s="236"/>
      <c r="E32" s="236"/>
      <c r="F32" s="236"/>
      <c r="G32" s="236"/>
      <c r="H32" s="236"/>
      <c r="I32" s="236"/>
    </row>
    <row r="33" spans="1:13" s="75" customFormat="1" hidden="1" outlineLevel="2">
      <c r="A33" s="70">
        <v>3</v>
      </c>
      <c r="B33" s="71" t="s">
        <v>330</v>
      </c>
      <c r="C33" s="72" t="s">
        <v>64</v>
      </c>
      <c r="D33" s="72"/>
      <c r="E33" s="120">
        <v>0</v>
      </c>
      <c r="F33" s="74">
        <f>D33*E33</f>
        <v>0</v>
      </c>
      <c r="G33" s="120">
        <f>Фундамент!B3</f>
        <v>280</v>
      </c>
      <c r="H33" s="73">
        <f>G33*J33</f>
        <v>280</v>
      </c>
      <c r="I33" s="74">
        <f>D33*H33</f>
        <v>0</v>
      </c>
      <c r="J33" s="75">
        <f>J28</f>
        <v>1</v>
      </c>
      <c r="K33" s="17"/>
      <c r="L33" s="17"/>
      <c r="M33" s="17"/>
    </row>
    <row r="34" spans="1:13" ht="15.6" hidden="1" outlineLevel="2">
      <c r="A34" s="25"/>
      <c r="B34" s="236" t="s">
        <v>46</v>
      </c>
      <c r="C34" s="236"/>
      <c r="D34" s="236"/>
      <c r="E34" s="236"/>
      <c r="F34" s="236"/>
      <c r="G34" s="236"/>
      <c r="H34" s="236"/>
      <c r="I34" s="236"/>
    </row>
    <row r="35" spans="1:13" hidden="1" outlineLevel="2">
      <c r="A35" s="14">
        <v>4</v>
      </c>
      <c r="B35" s="4" t="s">
        <v>6</v>
      </c>
      <c r="C35" s="5" t="s">
        <v>64</v>
      </c>
      <c r="D35" s="5"/>
      <c r="E35" s="120">
        <f>Фундамент!B13+Фундамент!B14</f>
        <v>224</v>
      </c>
      <c r="F35" s="16">
        <f t="shared" ref="F35:F40" si="0">D35*E35</f>
        <v>0</v>
      </c>
      <c r="G35" s="120">
        <f>Фундамент!B4+Фундамент!B5</f>
        <v>460</v>
      </c>
      <c r="H35" s="15">
        <f>G35*J35</f>
        <v>460</v>
      </c>
      <c r="I35" s="16">
        <f>D35*H35</f>
        <v>0</v>
      </c>
      <c r="J35" s="17">
        <f>J33</f>
        <v>1</v>
      </c>
    </row>
    <row r="36" spans="1:13" s="75" customFormat="1" hidden="1" outlineLevel="2">
      <c r="A36" s="70">
        <v>5</v>
      </c>
      <c r="B36" s="71" t="s">
        <v>7</v>
      </c>
      <c r="C36" s="72" t="s">
        <v>64</v>
      </c>
      <c r="D36" s="72"/>
      <c r="E36" s="120">
        <f>Фундамент!B15</f>
        <v>233.33333333333334</v>
      </c>
      <c r="F36" s="74">
        <f t="shared" si="0"/>
        <v>0</v>
      </c>
      <c r="G36" s="120">
        <f>Фундамент!B6</f>
        <v>340</v>
      </c>
      <c r="H36" s="73">
        <f>G36*J36</f>
        <v>340</v>
      </c>
      <c r="I36" s="74">
        <f>D36*H36</f>
        <v>0</v>
      </c>
      <c r="J36" s="75">
        <f t="shared" ref="J36:J41" si="1">J35</f>
        <v>1</v>
      </c>
      <c r="K36" s="17"/>
      <c r="L36" s="17"/>
      <c r="M36" s="17"/>
    </row>
    <row r="37" spans="1:13" hidden="1" outlineLevel="2">
      <c r="A37" s="14">
        <v>6</v>
      </c>
      <c r="B37" s="4" t="s">
        <v>8</v>
      </c>
      <c r="C37" s="5" t="s">
        <v>64</v>
      </c>
      <c r="D37" s="5"/>
      <c r="E37" s="120">
        <f>Фундамент!B17+Фундамент!B18</f>
        <v>109.38864000000001</v>
      </c>
      <c r="F37" s="16">
        <f t="shared" si="0"/>
        <v>0</v>
      </c>
      <c r="G37" s="120">
        <f>Фундамент!B7+Фундамент!B8</f>
        <v>182</v>
      </c>
      <c r="H37" s="15">
        <f>G37*J37</f>
        <v>182</v>
      </c>
      <c r="I37" s="16">
        <f>D37*H37</f>
        <v>0</v>
      </c>
      <c r="J37" s="17">
        <f t="shared" si="1"/>
        <v>1</v>
      </c>
    </row>
    <row r="38" spans="1:13" collapsed="1">
      <c r="A38" s="14">
        <v>1</v>
      </c>
      <c r="B38" s="4" t="s">
        <v>461</v>
      </c>
      <c r="C38" s="5" t="s">
        <v>64</v>
      </c>
      <c r="D38" s="174">
        <f>РАСЧЕТЫ!C94</f>
        <v>142</v>
      </c>
      <c r="E38" s="15">
        <f>РАСЧЕТЫ!F67</f>
        <v>1285.3939733333336</v>
      </c>
      <c r="F38" s="16">
        <f t="shared" si="0"/>
        <v>182525.94421333337</v>
      </c>
      <c r="G38" s="15">
        <f>РАСЧЕТЫ!G67</f>
        <v>1492.4</v>
      </c>
      <c r="H38" s="15">
        <f t="shared" ref="H38:H51" si="2">G38*J38</f>
        <v>1492.4</v>
      </c>
      <c r="I38" s="16">
        <f>D38*H38</f>
        <v>211920.80000000002</v>
      </c>
      <c r="J38" s="17">
        <f t="shared" si="1"/>
        <v>1</v>
      </c>
    </row>
    <row r="39" spans="1:13" hidden="1" outlineLevel="1">
      <c r="A39" s="14">
        <v>2</v>
      </c>
      <c r="B39" s="4" t="s">
        <v>439</v>
      </c>
      <c r="C39" s="5" t="s">
        <v>64</v>
      </c>
      <c r="D39" s="6">
        <f>D42*Заявка!B39</f>
        <v>0</v>
      </c>
      <c r="E39" s="15">
        <f>РАСЧЕТЫ!F74</f>
        <v>0</v>
      </c>
      <c r="F39" s="16">
        <f t="shared" si="0"/>
        <v>0</v>
      </c>
      <c r="G39" s="15">
        <f>РАСЧЕТЫ!G74</f>
        <v>0</v>
      </c>
      <c r="H39" s="15">
        <f>G39*J39</f>
        <v>0</v>
      </c>
      <c r="I39" s="16">
        <f>D39*H39</f>
        <v>0</v>
      </c>
      <c r="J39" s="17">
        <f t="shared" si="1"/>
        <v>1</v>
      </c>
    </row>
    <row r="40" spans="1:13" s="75" customFormat="1" ht="26.4" hidden="1" outlineLevel="1" collapsed="1">
      <c r="A40" s="70">
        <v>1</v>
      </c>
      <c r="B40" s="71" t="s">
        <v>440</v>
      </c>
      <c r="C40" s="72" t="s">
        <v>64</v>
      </c>
      <c r="D40" s="77">
        <f>D42*Заявка!B40</f>
        <v>0</v>
      </c>
      <c r="E40" s="73">
        <v>2456</v>
      </c>
      <c r="F40" s="74">
        <f t="shared" si="0"/>
        <v>0</v>
      </c>
      <c r="G40" s="73">
        <v>210</v>
      </c>
      <c r="H40" s="73">
        <f t="shared" si="2"/>
        <v>210</v>
      </c>
      <c r="I40" s="74">
        <f>((D40*H40)+I28+I29)*1.2</f>
        <v>0</v>
      </c>
      <c r="J40" s="75">
        <f t="shared" si="1"/>
        <v>1</v>
      </c>
      <c r="K40" s="17"/>
      <c r="L40" s="17"/>
      <c r="M40" s="17"/>
    </row>
    <row r="41" spans="1:13" s="75" customFormat="1" ht="14.4" hidden="1" customHeight="1" outlineLevel="1">
      <c r="A41" s="169"/>
      <c r="B41" s="241" t="s">
        <v>48</v>
      </c>
      <c r="C41" s="241"/>
      <c r="D41" s="241"/>
      <c r="E41" s="241"/>
      <c r="F41" s="241"/>
      <c r="G41" s="241"/>
      <c r="H41" s="241"/>
      <c r="I41" s="241"/>
      <c r="J41" s="75">
        <f t="shared" si="1"/>
        <v>1</v>
      </c>
      <c r="K41" s="17"/>
      <c r="L41" s="17"/>
      <c r="M41" s="17"/>
    </row>
    <row r="42" spans="1:13" s="75" customFormat="1" ht="26.4" collapsed="1">
      <c r="A42" s="70">
        <v>2</v>
      </c>
      <c r="B42" s="71" t="s">
        <v>375</v>
      </c>
      <c r="C42" s="72" t="s">
        <v>40</v>
      </c>
      <c r="D42" s="175">
        <f>(РАСЧЕТЫ!C94*РАСЧЕТЫ!C95)</f>
        <v>1.5506399999999998</v>
      </c>
      <c r="E42" s="73">
        <v>35000</v>
      </c>
      <c r="F42" s="74">
        <f>D42*E42</f>
        <v>54272.399999999994</v>
      </c>
      <c r="G42" s="73">
        <v>21770</v>
      </c>
      <c r="H42" s="73">
        <f t="shared" si="2"/>
        <v>21770</v>
      </c>
      <c r="I42" s="74">
        <f>D42*H42</f>
        <v>33757.432799999995</v>
      </c>
      <c r="J42" s="75">
        <f>J25</f>
        <v>1</v>
      </c>
      <c r="K42" s="17"/>
      <c r="L42" s="17"/>
      <c r="M42" s="17"/>
    </row>
    <row r="43" spans="1:13" ht="26.4">
      <c r="A43" s="14">
        <v>3</v>
      </c>
      <c r="B43" s="4" t="s">
        <v>424</v>
      </c>
      <c r="C43" s="5" t="s">
        <v>40</v>
      </c>
      <c r="D43" s="18">
        <f>(РАСЧЕТЫ!B17*РАСЧЕТЫ!B19)/1000</f>
        <v>38.454082124846174</v>
      </c>
      <c r="E43" s="15">
        <v>47000</v>
      </c>
      <c r="F43" s="16">
        <f t="shared" ref="F43:F51" si="3">D43*E43</f>
        <v>1807341.8598677702</v>
      </c>
      <c r="G43" s="15">
        <f>(РАСЧЕТЫ!D7+РАСЧЕТЫ!E7)</f>
        <v>21000</v>
      </c>
      <c r="H43" s="15">
        <f t="shared" si="2"/>
        <v>21000</v>
      </c>
      <c r="I43" s="16">
        <f t="shared" ref="I43:I51" si="4">D43*H43</f>
        <v>807535.72462176962</v>
      </c>
      <c r="J43" s="17">
        <f>J42</f>
        <v>1</v>
      </c>
    </row>
    <row r="44" spans="1:13" s="75" customFormat="1" ht="39.6">
      <c r="A44" s="70">
        <v>4</v>
      </c>
      <c r="B44" s="71" t="s">
        <v>425</v>
      </c>
      <c r="C44" s="72" t="s">
        <v>40</v>
      </c>
      <c r="D44" s="175">
        <f>(РАСЧЕТЫ!F51)/1000</f>
        <v>2.4681307000146657</v>
      </c>
      <c r="E44" s="73">
        <v>47000</v>
      </c>
      <c r="F44" s="74">
        <f t="shared" si="3"/>
        <v>116002.14290068929</v>
      </c>
      <c r="G44" s="73">
        <f>РАСЧЕТЫ!D8+РАСЧЕТЫ!E8</f>
        <v>21000</v>
      </c>
      <c r="H44" s="73">
        <f t="shared" si="2"/>
        <v>21000</v>
      </c>
      <c r="I44" s="74">
        <f t="shared" si="4"/>
        <v>51830.74470030798</v>
      </c>
      <c r="J44" s="75">
        <f>J43</f>
        <v>1</v>
      </c>
      <c r="K44" s="17"/>
      <c r="L44" s="17"/>
      <c r="M44" s="17"/>
    </row>
    <row r="45" spans="1:13" ht="39.6">
      <c r="A45" s="14">
        <v>5</v>
      </c>
      <c r="B45" s="4" t="s">
        <v>426</v>
      </c>
      <c r="C45" s="5" t="s">
        <v>40</v>
      </c>
      <c r="D45" s="18">
        <f>РАСЧЕТЫ!F57/1000</f>
        <v>2.8494298710844843</v>
      </c>
      <c r="E45" s="15">
        <v>47000</v>
      </c>
      <c r="F45" s="16">
        <f t="shared" si="3"/>
        <v>133923.20394097076</v>
      </c>
      <c r="G45" s="15">
        <f>РАСЧЕТЫ!D8+РАСЧЕТЫ!E8</f>
        <v>21000</v>
      </c>
      <c r="H45" s="15">
        <f t="shared" si="2"/>
        <v>21000</v>
      </c>
      <c r="I45" s="16">
        <f t="shared" si="4"/>
        <v>59838.027292774168</v>
      </c>
      <c r="J45" s="17">
        <f>J44</f>
        <v>1</v>
      </c>
    </row>
    <row r="46" spans="1:13" s="75" customFormat="1">
      <c r="A46" s="70">
        <v>6</v>
      </c>
      <c r="B46" s="71" t="s">
        <v>37</v>
      </c>
      <c r="C46" s="72" t="s">
        <v>19</v>
      </c>
      <c r="D46" s="72">
        <f>Заявка!B19+Заявка!B28</f>
        <v>0</v>
      </c>
      <c r="E46" s="170">
        <v>3700</v>
      </c>
      <c r="F46" s="74">
        <f t="shared" si="3"/>
        <v>0</v>
      </c>
      <c r="G46" s="170">
        <v>500</v>
      </c>
      <c r="H46" s="73">
        <f t="shared" si="2"/>
        <v>500</v>
      </c>
      <c r="I46" s="74">
        <f t="shared" si="4"/>
        <v>0</v>
      </c>
      <c r="J46" s="75">
        <f>J41</f>
        <v>1</v>
      </c>
      <c r="K46" s="17"/>
      <c r="L46" s="17"/>
      <c r="M46" s="17"/>
    </row>
    <row r="47" spans="1:13" s="75" customFormat="1">
      <c r="A47" s="70">
        <v>6</v>
      </c>
      <c r="B47" s="71" t="s">
        <v>465</v>
      </c>
      <c r="C47" s="72" t="s">
        <v>19</v>
      </c>
      <c r="D47" s="77">
        <f>РАСЧЕТЫ!F39+РАСЧЕТЫ!C53+РАСЧЕТЫ!C59</f>
        <v>1880.7476244570555</v>
      </c>
      <c r="E47" s="170">
        <f>РАСЧЕТЫ!B40</f>
        <v>210</v>
      </c>
      <c r="F47" s="74">
        <f t="shared" si="3"/>
        <v>394957.00113598164</v>
      </c>
      <c r="G47" s="170">
        <v>100</v>
      </c>
      <c r="H47" s="73">
        <f t="shared" si="2"/>
        <v>100</v>
      </c>
      <c r="I47" s="74">
        <f t="shared" si="4"/>
        <v>188074.76244570556</v>
      </c>
      <c r="J47" s="75">
        <f>J46</f>
        <v>1</v>
      </c>
      <c r="K47" s="17"/>
      <c r="L47" s="17"/>
      <c r="M47" s="17"/>
    </row>
    <row r="48" spans="1:13" s="75" customFormat="1" collapsed="1">
      <c r="A48" s="70">
        <v>6</v>
      </c>
      <c r="B48" s="71" t="s">
        <v>451</v>
      </c>
      <c r="C48" s="72" t="s">
        <v>20</v>
      </c>
      <c r="D48" s="72">
        <f>Заявка!B14+Заявка!B15+Заявка!B16+Заявка!B17+Заявка!B18+Заявка!B23+Заявка!B24+Заявка!B25+Заявка!B26+Заявка!B27</f>
        <v>1</v>
      </c>
      <c r="E48" s="170">
        <f>(((РАСЧЕТЫ!C66+РАСЧЕТЫ!D63)*Заявка!B14)+((РАСЧЕТЫ!C66+РАСЧЕТЫ!D63)*Заявка!B23)+((РАСЧЕТЫ!C72+РАСЧЕТЫ!D69)*Заявка!B15)+((РАСЧЕТЫ!C72+РАСЧЕТЫ!D69)*Заявка!B24)+((РАСЧЕТЫ!C78+РАСЧЕТЫ!D75)*Заявка!B16)+((РАСЧЕТЫ!C78+РАСЧЕТЫ!D75)*Заявка!B25)+((РАСЧЕТЫ!C84+РАСЧЕТЫ!D81)*Заявка!B17)+((РАСЧЕТЫ!C84+РАСЧЕТЫ!D81)*Заявка!B26)+((РАСЧЕТЫ!C90+РАСЧЕТЫ!D87)*Заявка!B18)+((РАСЧЕТЫ!C90+РАСЧЕТЫ!D87)*Заявка!B27))/D48</f>
        <v>62864.862222222218</v>
      </c>
      <c r="F48" s="74">
        <f t="shared" si="3"/>
        <v>62864.862222222218</v>
      </c>
      <c r="G48" s="171">
        <f>((РАСЧЕТЫ!C65*Заявка!B14)+(РАСЧЕТЫ!C65*Заявка!B23)+(РАСЧЕТЫ!C71*Заявка!B15)+(РАСЧЕТЫ!C71*Заявка!B24)+(РАСЧЕТЫ!C77*Заявка!B16)+(РАСЧЕТЫ!C77*Заявка!B25)+(РАСЧЕТЫ!C83*Заявка!B17)+(РАСЧЕТЫ!C83*Заявка!B26)+(РАСЧЕТЫ!C89*Заявка!B18)+(РАСЧЕТЫ!C89*Заявка!B27))/D48</f>
        <v>12444.444444444445</v>
      </c>
      <c r="H48" s="73">
        <f t="shared" si="2"/>
        <v>12444.444444444445</v>
      </c>
      <c r="I48" s="74">
        <f>D48*H48</f>
        <v>12444.444444444445</v>
      </c>
      <c r="J48" s="75">
        <f>J47</f>
        <v>1</v>
      </c>
      <c r="K48" s="17"/>
      <c r="L48" s="17"/>
      <c r="M48" s="17"/>
    </row>
    <row r="49" spans="1:13" ht="15.6" hidden="1" outlineLevel="1">
      <c r="A49" s="25"/>
      <c r="B49" s="236" t="s">
        <v>363</v>
      </c>
      <c r="C49" s="236"/>
      <c r="D49" s="236"/>
      <c r="E49" s="236"/>
      <c r="F49" s="236"/>
      <c r="G49" s="236"/>
      <c r="H49" s="236"/>
      <c r="I49" s="236"/>
    </row>
    <row r="50" spans="1:13" s="75" customFormat="1" hidden="1" outlineLevel="1" collapsed="1">
      <c r="A50" s="70">
        <v>7</v>
      </c>
      <c r="B50" s="71" t="s">
        <v>364</v>
      </c>
      <c r="C50" s="72" t="s">
        <v>19</v>
      </c>
      <c r="D50" s="24">
        <f>D42*Заявка!B41</f>
        <v>0</v>
      </c>
      <c r="E50" s="120">
        <f>Фундамент!B13+Фундамент!B14</f>
        <v>224</v>
      </c>
      <c r="F50" s="74">
        <f t="shared" si="3"/>
        <v>0</v>
      </c>
      <c r="G50" s="120">
        <f>Фундамент!B4+Фундамент!B5</f>
        <v>460</v>
      </c>
      <c r="H50" s="73">
        <f t="shared" si="2"/>
        <v>460</v>
      </c>
      <c r="I50" s="74">
        <f t="shared" si="4"/>
        <v>0</v>
      </c>
      <c r="J50" s="75">
        <f>J48</f>
        <v>1</v>
      </c>
      <c r="K50" s="17"/>
      <c r="L50" s="17"/>
      <c r="M50" s="17"/>
    </row>
    <row r="51" spans="1:13" s="75" customFormat="1" ht="26.4" collapsed="1">
      <c r="A51" s="70">
        <v>7</v>
      </c>
      <c r="B51" s="71" t="s">
        <v>338</v>
      </c>
      <c r="C51" s="72" t="s">
        <v>19</v>
      </c>
      <c r="D51" s="165">
        <f>РАСЧЕТЫ!F38*(Заявка!B36+Заявка!B37)</f>
        <v>0</v>
      </c>
      <c r="E51" s="73">
        <f>((РАСЧЕТЫ!D38*Заявка!B36)+(РАСЧЕТЫ!D39*Заявка!B37))</f>
        <v>0</v>
      </c>
      <c r="F51" s="74">
        <f t="shared" si="3"/>
        <v>0</v>
      </c>
      <c r="G51" s="73">
        <f>((РАСЧЕТЫ!C38*Заявка!B36)+(РАСЧЕТЫ!C39*Заявка!B37))</f>
        <v>0</v>
      </c>
      <c r="H51" s="73">
        <f t="shared" si="2"/>
        <v>0</v>
      </c>
      <c r="I51" s="74">
        <f t="shared" si="4"/>
        <v>0</v>
      </c>
      <c r="J51" s="75">
        <f>J50</f>
        <v>1</v>
      </c>
      <c r="K51" s="17"/>
      <c r="L51" s="17"/>
      <c r="M51" s="17"/>
    </row>
    <row r="52" spans="1:13">
      <c r="A52" s="242" t="s">
        <v>58</v>
      </c>
      <c r="B52" s="242"/>
      <c r="C52" s="242"/>
      <c r="D52" s="242"/>
      <c r="E52" s="244">
        <f>F27+F28+F38+F39+F40+F42+F43+F44+F45+F46+F47+F48+F50+F51</f>
        <v>2751887.4142809678</v>
      </c>
      <c r="F52" s="244"/>
      <c r="G52" s="160"/>
      <c r="H52" s="244">
        <f>I27+I28+I38+I39+I40+I42+I43+I44+I45+I46+I47+I48+I50+I51</f>
        <v>1365401.9363050016</v>
      </c>
      <c r="I52" s="244"/>
    </row>
    <row r="53" spans="1:13" s="75" customFormat="1" hidden="1" outlineLevel="1">
      <c r="A53" s="245" t="s">
        <v>60</v>
      </c>
      <c r="B53" s="245"/>
      <c r="C53" s="245"/>
      <c r="D53" s="245"/>
      <c r="E53" s="245"/>
      <c r="F53" s="245"/>
      <c r="G53" s="245"/>
      <c r="H53" s="245"/>
      <c r="I53" s="92">
        <f>E52+H52</f>
        <v>4117289.3505859692</v>
      </c>
      <c r="K53" s="17"/>
      <c r="L53" s="17"/>
      <c r="M53" s="17"/>
    </row>
    <row r="54" spans="1:13" s="75" customFormat="1" ht="14.4" hidden="1" customHeight="1" outlineLevel="1">
      <c r="A54" s="246"/>
      <c r="B54" s="246" t="s">
        <v>50</v>
      </c>
      <c r="C54" s="246" t="s">
        <v>51</v>
      </c>
      <c r="D54" s="246"/>
      <c r="E54" s="246"/>
      <c r="F54" s="246"/>
      <c r="G54" s="246"/>
      <c r="H54" s="246"/>
      <c r="I54" s="246"/>
      <c r="K54" s="17"/>
      <c r="L54" s="17"/>
      <c r="M54" s="17"/>
    </row>
    <row r="55" spans="1:13" s="75" customFormat="1" ht="14.4" hidden="1" customHeight="1" outlineLevel="1">
      <c r="A55" s="70"/>
      <c r="B55" s="241" t="s">
        <v>52</v>
      </c>
      <c r="C55" s="241"/>
      <c r="D55" s="241"/>
      <c r="E55" s="241"/>
      <c r="F55" s="241"/>
      <c r="G55" s="241"/>
      <c r="H55" s="241"/>
      <c r="I55" s="241"/>
      <c r="K55" s="17"/>
      <c r="L55" s="17"/>
      <c r="M55" s="17"/>
    </row>
    <row r="56" spans="1:13" s="75" customFormat="1" hidden="1" outlineLevel="1">
      <c r="A56" s="70">
        <v>17</v>
      </c>
      <c r="B56" s="71" t="s">
        <v>53</v>
      </c>
      <c r="C56" s="72" t="s">
        <v>54</v>
      </c>
      <c r="D56" s="77">
        <v>0</v>
      </c>
      <c r="E56" s="161">
        <v>0</v>
      </c>
      <c r="F56" s="72">
        <f>D56*E56</f>
        <v>0</v>
      </c>
      <c r="G56" s="161">
        <v>0</v>
      </c>
      <c r="H56" s="73">
        <f>G56*J56</f>
        <v>0</v>
      </c>
      <c r="I56" s="78">
        <f>F56*H56</f>
        <v>0</v>
      </c>
      <c r="K56" s="17"/>
      <c r="L56" s="17"/>
      <c r="M56" s="17"/>
    </row>
    <row r="57" spans="1:13" s="75" customFormat="1" hidden="1" outlineLevel="1">
      <c r="A57" s="70">
        <v>18</v>
      </c>
      <c r="B57" s="71" t="s">
        <v>55</v>
      </c>
      <c r="C57" s="72" t="s">
        <v>54</v>
      </c>
      <c r="D57" s="77">
        <v>0</v>
      </c>
      <c r="E57" s="161">
        <v>0</v>
      </c>
      <c r="F57" s="72">
        <f>D57*E57</f>
        <v>0</v>
      </c>
      <c r="G57" s="161">
        <v>0</v>
      </c>
      <c r="H57" s="73">
        <f>G57*J57</f>
        <v>0</v>
      </c>
      <c r="I57" s="78">
        <f>F57*H57</f>
        <v>0</v>
      </c>
      <c r="K57" s="17"/>
      <c r="L57" s="17"/>
      <c r="M57" s="17"/>
    </row>
    <row r="58" spans="1:13" s="75" customFormat="1" hidden="1" outlineLevel="1">
      <c r="A58" s="70">
        <v>19</v>
      </c>
      <c r="B58" s="71" t="s">
        <v>56</v>
      </c>
      <c r="C58" s="72" t="s">
        <v>54</v>
      </c>
      <c r="D58" s="77">
        <v>0</v>
      </c>
      <c r="E58" s="161">
        <v>0</v>
      </c>
      <c r="F58" s="72">
        <f>D58*E58</f>
        <v>0</v>
      </c>
      <c r="G58" s="161">
        <v>0</v>
      </c>
      <c r="H58" s="73">
        <f>G58*J58</f>
        <v>0</v>
      </c>
      <c r="I58" s="78">
        <f>F58*H58</f>
        <v>0</v>
      </c>
      <c r="K58" s="17"/>
      <c r="L58" s="17"/>
      <c r="M58" s="17"/>
    </row>
    <row r="59" spans="1:13" s="75" customFormat="1" hidden="1" outlineLevel="1">
      <c r="A59" s="70">
        <v>20</v>
      </c>
      <c r="B59" s="71" t="s">
        <v>57</v>
      </c>
      <c r="C59" s="72" t="s">
        <v>54</v>
      </c>
      <c r="D59" s="77">
        <v>0</v>
      </c>
      <c r="E59" s="161">
        <v>0</v>
      </c>
      <c r="F59" s="72">
        <f>D59*E59</f>
        <v>0</v>
      </c>
      <c r="G59" s="161">
        <v>0</v>
      </c>
      <c r="H59" s="73">
        <f>G59*J59</f>
        <v>0</v>
      </c>
      <c r="I59" s="78">
        <f>F59*H59</f>
        <v>0</v>
      </c>
      <c r="K59" s="17"/>
      <c r="L59" s="17"/>
      <c r="M59" s="17"/>
    </row>
    <row r="60" spans="1:13" s="75" customFormat="1" hidden="1" outlineLevel="1">
      <c r="A60" s="245" t="s">
        <v>58</v>
      </c>
      <c r="B60" s="245"/>
      <c r="C60" s="245"/>
      <c r="D60" s="245"/>
      <c r="E60" s="250">
        <f>F56+F57+F58+F59</f>
        <v>0</v>
      </c>
      <c r="F60" s="250"/>
      <c r="G60" s="160"/>
      <c r="H60" s="250">
        <f>I56+I57+I58+I59</f>
        <v>0</v>
      </c>
      <c r="I60" s="250"/>
      <c r="K60" s="17"/>
      <c r="L60" s="17"/>
      <c r="M60" s="17"/>
    </row>
    <row r="61" spans="1:13" s="75" customFormat="1" hidden="1" outlineLevel="1">
      <c r="A61" s="245" t="s">
        <v>61</v>
      </c>
      <c r="B61" s="245"/>
      <c r="C61" s="245"/>
      <c r="D61" s="245"/>
      <c r="E61" s="245"/>
      <c r="F61" s="245"/>
      <c r="G61" s="245"/>
      <c r="H61" s="245"/>
      <c r="I61" s="92">
        <f>E60+H60</f>
        <v>0</v>
      </c>
      <c r="K61" s="17"/>
      <c r="L61" s="17"/>
      <c r="M61" s="17"/>
    </row>
    <row r="62" spans="1:13" s="75" customFormat="1" hidden="1" outlineLevel="1" collapsed="1">
      <c r="A62" s="70">
        <v>6</v>
      </c>
      <c r="B62" s="71" t="s">
        <v>360</v>
      </c>
      <c r="C62" s="72" t="s">
        <v>54</v>
      </c>
      <c r="D62" s="72">
        <v>1</v>
      </c>
      <c r="E62" s="120"/>
      <c r="F62" s="74"/>
      <c r="G62" s="120"/>
      <c r="H62" s="73"/>
      <c r="I62" s="74">
        <v>0</v>
      </c>
      <c r="K62" s="17"/>
      <c r="L62" s="17"/>
      <c r="M62" s="17"/>
    </row>
    <row r="63" spans="1:13" s="75" customFormat="1" collapsed="1">
      <c r="A63" s="251" t="s">
        <v>76</v>
      </c>
      <c r="B63" s="251"/>
      <c r="C63" s="251"/>
      <c r="D63" s="251"/>
      <c r="E63" s="251"/>
      <c r="F63" s="251"/>
      <c r="G63" s="162"/>
      <c r="H63" s="247">
        <f>E52+H52+I62</f>
        <v>4117289.3505859692</v>
      </c>
      <c r="I63" s="247"/>
      <c r="J63" s="75">
        <v>1</v>
      </c>
      <c r="K63" s="17"/>
      <c r="L63" s="17"/>
      <c r="M63" s="17"/>
    </row>
    <row r="64" spans="1:13">
      <c r="A64" s="19"/>
      <c r="B64" s="19"/>
      <c r="C64" s="19"/>
      <c r="D64" s="19"/>
      <c r="E64" s="163"/>
      <c r="F64" s="19"/>
      <c r="G64" s="163"/>
      <c r="H64" s="79"/>
      <c r="I64" s="79"/>
    </row>
    <row r="65" spans="1:13">
      <c r="A65" s="172" t="s">
        <v>454</v>
      </c>
      <c r="B65" s="172"/>
      <c r="C65" s="172"/>
      <c r="D65" s="172"/>
      <c r="E65" s="172"/>
      <c r="F65" s="173">
        <f>'График работ'!AJ18/8/4</f>
        <v>3.55</v>
      </c>
      <c r="G65" s="172"/>
      <c r="H65" s="172"/>
      <c r="I65" s="172" t="s">
        <v>458</v>
      </c>
    </row>
    <row r="66" spans="1:13">
      <c r="A66" s="172" t="s">
        <v>455</v>
      </c>
      <c r="B66" s="172"/>
      <c r="C66" s="172"/>
      <c r="D66" s="172"/>
      <c r="E66" s="172"/>
      <c r="F66" s="173">
        <f>('График работ'!AJ25+'График работ'!AJ26+'График работ'!AJ27+'График работ'!AJ28+'График работ'!AJ31)/8/4</f>
        <v>58.612645586005065</v>
      </c>
      <c r="G66" s="172"/>
      <c r="H66" s="172"/>
      <c r="I66" s="172" t="s">
        <v>458</v>
      </c>
    </row>
    <row r="67" spans="1:13">
      <c r="A67" s="172" t="s">
        <v>456</v>
      </c>
      <c r="B67" s="172"/>
      <c r="C67" s="172"/>
      <c r="D67" s="172"/>
      <c r="E67" s="172"/>
      <c r="F67" s="172"/>
      <c r="G67" s="172"/>
      <c r="H67" s="172"/>
      <c r="I67" s="172" t="s">
        <v>458</v>
      </c>
    </row>
    <row r="68" spans="1:13">
      <c r="A68" s="172" t="s">
        <v>457</v>
      </c>
      <c r="B68" s="172"/>
      <c r="C68" s="172"/>
      <c r="D68" s="172"/>
      <c r="E68" s="172"/>
      <c r="F68" s="173">
        <f>F65+F66+F67</f>
        <v>62.162645586005063</v>
      </c>
      <c r="G68" s="172"/>
      <c r="H68" s="172"/>
      <c r="I68" s="172" t="s">
        <v>458</v>
      </c>
      <c r="K68" s="247"/>
      <c r="L68" s="247"/>
    </row>
    <row r="69" spans="1:13">
      <c r="K69" s="62"/>
      <c r="L69" s="120"/>
    </row>
    <row r="70" spans="1:13">
      <c r="F70" s="17">
        <v>81574.899999999994</v>
      </c>
      <c r="H70" s="91">
        <f>F70/16*12.25</f>
        <v>62455.782812499994</v>
      </c>
      <c r="I70" s="17">
        <f>3.5*3.5</f>
        <v>12.25</v>
      </c>
    </row>
    <row r="71" spans="1:13">
      <c r="A71" s="249"/>
      <c r="B71" s="249"/>
      <c r="C71" s="249"/>
      <c r="D71" s="249"/>
      <c r="E71" s="249"/>
      <c r="F71" s="249"/>
      <c r="G71" s="249"/>
      <c r="H71" s="249"/>
      <c r="I71" s="249"/>
    </row>
    <row r="72" spans="1:13">
      <c r="A72" s="249"/>
      <c r="B72" s="249"/>
      <c r="C72" s="249"/>
      <c r="D72" s="249"/>
      <c r="E72" s="249"/>
      <c r="F72" s="249"/>
      <c r="G72" s="249"/>
      <c r="H72" s="249"/>
      <c r="I72" s="249"/>
      <c r="K72" s="152"/>
    </row>
    <row r="75" spans="1:13">
      <c r="L75" s="17">
        <v>160000</v>
      </c>
      <c r="M75" s="96">
        <v>0.1</v>
      </c>
    </row>
    <row r="76" spans="1:13" ht="14.4" customHeight="1">
      <c r="A76" s="248" t="s">
        <v>63</v>
      </c>
      <c r="B76" s="248"/>
      <c r="C76" s="248"/>
      <c r="D76" s="248"/>
      <c r="E76" s="248"/>
      <c r="F76" s="248"/>
      <c r="G76" s="162"/>
      <c r="H76" s="243">
        <f>E29+E52+E60</f>
        <v>2751887.4142809678</v>
      </c>
      <c r="I76" s="243"/>
      <c r="J76" s="17">
        <v>1</v>
      </c>
      <c r="M76" s="58">
        <f>H52*0.1</f>
        <v>136540.19363050017</v>
      </c>
    </row>
    <row r="77" spans="1:13">
      <c r="A77" s="248" t="s">
        <v>62</v>
      </c>
      <c r="B77" s="248"/>
      <c r="C77" s="248"/>
      <c r="D77" s="248"/>
      <c r="E77" s="248"/>
      <c r="F77" s="248"/>
      <c r="G77" s="162"/>
      <c r="H77" s="243">
        <f>H29+H52+H60</f>
        <v>1365401.9363050016</v>
      </c>
      <c r="I77" s="243"/>
      <c r="J77" s="64">
        <f>'Стоимость работ'!D11</f>
        <v>1557139.8749781675</v>
      </c>
      <c r="K77" s="64">
        <v>0</v>
      </c>
      <c r="L77" s="64">
        <f>Прибыль!B4*'График работ'!AJ32</f>
        <v>5920.2519605719108</v>
      </c>
      <c r="M77" s="58">
        <f>H77-J77-K77-L77-M78</f>
        <v>-210102.63507818221</v>
      </c>
    </row>
    <row r="78" spans="1:13" ht="28.8">
      <c r="H78" s="243">
        <f>H63/H12</f>
        <v>3431.0744588216407</v>
      </c>
      <c r="I78" s="243"/>
      <c r="J78" s="65" t="s">
        <v>332</v>
      </c>
      <c r="K78" s="25" t="s">
        <v>331</v>
      </c>
      <c r="L78" s="25" t="s">
        <v>78</v>
      </c>
      <c r="M78" s="82">
        <f>I48</f>
        <v>12444.444444444445</v>
      </c>
    </row>
    <row r="79" spans="1:13">
      <c r="H79" s="243">
        <f>H52/H12</f>
        <v>1137.8349469208347</v>
      </c>
      <c r="I79" s="243"/>
    </row>
  </sheetData>
  <mergeCells count="63">
    <mergeCell ref="K68:L68"/>
    <mergeCell ref="A60:D60"/>
    <mergeCell ref="H79:I79"/>
    <mergeCell ref="A76:F76"/>
    <mergeCell ref="H76:I76"/>
    <mergeCell ref="A77:F77"/>
    <mergeCell ref="H77:I77"/>
    <mergeCell ref="H78:I78"/>
    <mergeCell ref="A72:I72"/>
    <mergeCell ref="E60:F60"/>
    <mergeCell ref="A63:F63"/>
    <mergeCell ref="A61:H61"/>
    <mergeCell ref="A71:I71"/>
    <mergeCell ref="H63:I63"/>
    <mergeCell ref="H60:I60"/>
    <mergeCell ref="B55:I55"/>
    <mergeCell ref="A29:D29"/>
    <mergeCell ref="E29:F29"/>
    <mergeCell ref="H29:I29"/>
    <mergeCell ref="A30:H30"/>
    <mergeCell ref="A52:D52"/>
    <mergeCell ref="E52:F52"/>
    <mergeCell ref="B32:I32"/>
    <mergeCell ref="B34:I34"/>
    <mergeCell ref="B41:I41"/>
    <mergeCell ref="H52:I52"/>
    <mergeCell ref="A53:H53"/>
    <mergeCell ref="A54:I54"/>
    <mergeCell ref="B49:I49"/>
    <mergeCell ref="A22:A23"/>
    <mergeCell ref="B22:B23"/>
    <mergeCell ref="C22:C23"/>
    <mergeCell ref="D22:D23"/>
    <mergeCell ref="I22:I23"/>
    <mergeCell ref="F22:F23"/>
    <mergeCell ref="B26:I26"/>
    <mergeCell ref="A31:I31"/>
    <mergeCell ref="A25:I25"/>
    <mergeCell ref="D8:F8"/>
    <mergeCell ref="H8:I8"/>
    <mergeCell ref="D9:F9"/>
    <mergeCell ref="H9:I9"/>
    <mergeCell ref="D10:F10"/>
    <mergeCell ref="H10:I10"/>
    <mergeCell ref="D11:F11"/>
    <mergeCell ref="H11:I11"/>
    <mergeCell ref="D12:F12"/>
    <mergeCell ref="H12:I12"/>
    <mergeCell ref="D13:F13"/>
    <mergeCell ref="H13:I13"/>
    <mergeCell ref="D14:F14"/>
    <mergeCell ref="H14:I14"/>
    <mergeCell ref="D18:F18"/>
    <mergeCell ref="H18:I18"/>
    <mergeCell ref="A20:I20"/>
    <mergeCell ref="D15:F15"/>
    <mergeCell ref="H15:I15"/>
    <mergeCell ref="D16:F16"/>
    <mergeCell ref="H16:I16"/>
    <mergeCell ref="D17:F17"/>
    <mergeCell ref="H17:I17"/>
    <mergeCell ref="D19:F19"/>
    <mergeCell ref="H19:I19"/>
  </mergeCells>
  <pageMargins left="0.70866141732283472" right="0.70866141732283472" top="0.55118110236220474" bottom="0.55118110236220474" header="0.31496062992125984" footer="0.31496062992125984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156"/>
  <sheetViews>
    <sheetView topLeftCell="A99" workbookViewId="0">
      <selection activeCell="I125" sqref="I125"/>
    </sheetView>
  </sheetViews>
  <sheetFormatPr defaultRowHeight="14.4"/>
  <cols>
    <col min="1" max="1" width="15.88671875" customWidth="1"/>
  </cols>
  <sheetData>
    <row r="1" spans="1:3" ht="20.399999999999999">
      <c r="A1" s="45" t="s">
        <v>131</v>
      </c>
      <c r="B1" s="45" t="s">
        <v>132</v>
      </c>
      <c r="C1" s="45" t="s">
        <v>133</v>
      </c>
    </row>
    <row r="2" spans="1:3">
      <c r="A2" s="46"/>
      <c r="B2" s="47">
        <v>3</v>
      </c>
      <c r="C2" s="47">
        <v>2</v>
      </c>
    </row>
    <row r="3" spans="1:3">
      <c r="A3" s="48"/>
      <c r="B3" s="49">
        <v>2</v>
      </c>
      <c r="C3" s="49">
        <v>5</v>
      </c>
    </row>
    <row r="4" spans="1:3">
      <c r="A4" s="50" t="s">
        <v>134</v>
      </c>
      <c r="B4" s="47">
        <v>3</v>
      </c>
      <c r="C4" s="47">
        <v>2</v>
      </c>
    </row>
    <row r="5" spans="1:3">
      <c r="A5" s="51" t="s">
        <v>135</v>
      </c>
      <c r="B5" s="49">
        <v>2</v>
      </c>
      <c r="C5" s="49">
        <v>4</v>
      </c>
    </row>
    <row r="6" spans="1:3">
      <c r="A6" s="50" t="s">
        <v>136</v>
      </c>
      <c r="B6" s="47">
        <v>4</v>
      </c>
      <c r="C6" s="47">
        <v>3</v>
      </c>
    </row>
    <row r="7" spans="1:3">
      <c r="A7" s="51" t="s">
        <v>137</v>
      </c>
      <c r="B7" s="49" t="s">
        <v>138</v>
      </c>
      <c r="C7" s="49">
        <v>4</v>
      </c>
    </row>
    <row r="8" spans="1:3">
      <c r="A8" s="50" t="s">
        <v>139</v>
      </c>
      <c r="B8" s="47">
        <v>3</v>
      </c>
      <c r="C8" s="47">
        <v>1</v>
      </c>
    </row>
    <row r="9" spans="1:3">
      <c r="A9" s="51" t="s">
        <v>140</v>
      </c>
      <c r="B9" s="49">
        <v>3</v>
      </c>
      <c r="C9" s="49">
        <v>4</v>
      </c>
    </row>
    <row r="10" spans="1:3">
      <c r="A10" s="50" t="s">
        <v>141</v>
      </c>
      <c r="B10" s="47">
        <v>3</v>
      </c>
      <c r="C10" s="47">
        <v>3</v>
      </c>
    </row>
    <row r="11" spans="1:3">
      <c r="A11" s="51" t="s">
        <v>142</v>
      </c>
      <c r="B11" s="49">
        <v>1</v>
      </c>
      <c r="C11" s="49">
        <v>3</v>
      </c>
    </row>
    <row r="12" spans="1:3">
      <c r="A12" s="50" t="s">
        <v>143</v>
      </c>
      <c r="B12" s="47" t="s">
        <v>144</v>
      </c>
      <c r="C12" s="47">
        <v>4</v>
      </c>
    </row>
    <row r="13" spans="1:3">
      <c r="A13" s="51" t="s">
        <v>145</v>
      </c>
      <c r="B13" s="49">
        <v>3</v>
      </c>
      <c r="C13" s="49">
        <v>2</v>
      </c>
    </row>
    <row r="14" spans="1:3">
      <c r="A14" s="50" t="s">
        <v>146</v>
      </c>
      <c r="B14" s="47">
        <v>2</v>
      </c>
      <c r="C14" s="47">
        <v>3</v>
      </c>
    </row>
    <row r="15" spans="1:3">
      <c r="A15" s="51" t="s">
        <v>147</v>
      </c>
      <c r="B15" s="49">
        <v>1</v>
      </c>
      <c r="C15" s="49">
        <v>4</v>
      </c>
    </row>
    <row r="16" spans="1:3">
      <c r="A16" s="50" t="s">
        <v>148</v>
      </c>
      <c r="B16" s="47">
        <v>3</v>
      </c>
      <c r="C16" s="47">
        <v>1</v>
      </c>
    </row>
    <row r="17" spans="1:3">
      <c r="A17" s="51" t="s">
        <v>149</v>
      </c>
      <c r="B17" s="49">
        <v>2</v>
      </c>
      <c r="C17" s="49">
        <v>3</v>
      </c>
    </row>
    <row r="18" spans="1:3">
      <c r="A18" s="50" t="s">
        <v>150</v>
      </c>
      <c r="B18" s="47">
        <v>1</v>
      </c>
      <c r="C18" s="47">
        <v>3</v>
      </c>
    </row>
    <row r="19" spans="1:3">
      <c r="A19" s="51" t="s">
        <v>151</v>
      </c>
      <c r="B19" s="49">
        <v>1</v>
      </c>
      <c r="C19" s="49">
        <v>3</v>
      </c>
    </row>
    <row r="20" spans="1:3">
      <c r="A20" s="50" t="s">
        <v>152</v>
      </c>
      <c r="B20" s="47">
        <v>1</v>
      </c>
      <c r="C20" s="47">
        <v>3</v>
      </c>
    </row>
    <row r="21" spans="1:3">
      <c r="A21" s="51" t="s">
        <v>153</v>
      </c>
      <c r="B21" s="49">
        <v>4</v>
      </c>
      <c r="C21" s="49">
        <v>2</v>
      </c>
    </row>
    <row r="22" spans="1:3">
      <c r="A22" s="50" t="s">
        <v>154</v>
      </c>
      <c r="B22" s="47">
        <v>1</v>
      </c>
      <c r="C22" s="47">
        <v>3</v>
      </c>
    </row>
    <row r="23" spans="1:3">
      <c r="A23" s="51" t="s">
        <v>155</v>
      </c>
      <c r="B23" s="49"/>
      <c r="C23" s="49">
        <v>2</v>
      </c>
    </row>
    <row r="24" spans="1:3">
      <c r="A24" s="50" t="s">
        <v>156</v>
      </c>
      <c r="B24" s="47">
        <v>3</v>
      </c>
      <c r="C24" s="47">
        <v>2</v>
      </c>
    </row>
    <row r="25" spans="1:3" ht="21.6">
      <c r="A25" s="51" t="s">
        <v>157</v>
      </c>
      <c r="B25" s="49">
        <v>3</v>
      </c>
      <c r="C25" s="49">
        <v>2</v>
      </c>
    </row>
    <row r="26" spans="1:3" ht="21.6">
      <c r="A26" s="50" t="s">
        <v>158</v>
      </c>
      <c r="B26" s="47">
        <v>3</v>
      </c>
      <c r="C26" s="47">
        <v>4</v>
      </c>
    </row>
    <row r="27" spans="1:3">
      <c r="A27" s="51" t="s">
        <v>159</v>
      </c>
      <c r="B27" s="49">
        <v>3</v>
      </c>
      <c r="C27" s="49">
        <v>2</v>
      </c>
    </row>
    <row r="28" spans="1:3">
      <c r="A28" s="50" t="s">
        <v>160</v>
      </c>
      <c r="B28" s="47">
        <v>1</v>
      </c>
      <c r="C28" s="47">
        <v>4</v>
      </c>
    </row>
    <row r="29" spans="1:3">
      <c r="A29" s="51" t="s">
        <v>161</v>
      </c>
      <c r="B29" s="49">
        <v>2</v>
      </c>
      <c r="C29" s="49">
        <v>3</v>
      </c>
    </row>
    <row r="30" spans="1:3">
      <c r="A30" s="50" t="s">
        <v>162</v>
      </c>
      <c r="B30" s="47">
        <v>4</v>
      </c>
      <c r="C30" s="47">
        <v>2</v>
      </c>
    </row>
    <row r="31" spans="1:3">
      <c r="A31" s="51" t="s">
        <v>163</v>
      </c>
      <c r="B31" s="49">
        <v>5</v>
      </c>
      <c r="C31" s="49">
        <v>2</v>
      </c>
    </row>
    <row r="32" spans="1:3">
      <c r="A32" s="50" t="s">
        <v>164</v>
      </c>
      <c r="B32" s="47">
        <v>1</v>
      </c>
      <c r="C32" s="47">
        <v>4</v>
      </c>
    </row>
    <row r="33" spans="1:3">
      <c r="A33" s="51" t="s">
        <v>165</v>
      </c>
      <c r="B33" s="49">
        <v>2</v>
      </c>
      <c r="C33" s="49">
        <v>4</v>
      </c>
    </row>
    <row r="34" spans="1:3">
      <c r="A34" s="50" t="s">
        <v>166</v>
      </c>
      <c r="B34" s="47">
        <v>2</v>
      </c>
      <c r="C34" s="47">
        <v>3</v>
      </c>
    </row>
    <row r="35" spans="1:3">
      <c r="A35" s="51" t="s">
        <v>167</v>
      </c>
      <c r="B35" s="49">
        <v>2</v>
      </c>
      <c r="C35" s="49">
        <v>3</v>
      </c>
    </row>
    <row r="36" spans="1:3">
      <c r="A36" s="50" t="s">
        <v>168</v>
      </c>
      <c r="B36" s="47">
        <v>2</v>
      </c>
      <c r="C36" s="47">
        <v>3</v>
      </c>
    </row>
    <row r="37" spans="1:3">
      <c r="A37" s="51" t="s">
        <v>169</v>
      </c>
      <c r="B37" s="49">
        <v>1</v>
      </c>
      <c r="C37" s="49">
        <v>3</v>
      </c>
    </row>
    <row r="38" spans="1:3">
      <c r="A38" s="50" t="s">
        <v>170</v>
      </c>
      <c r="B38" s="47">
        <v>2</v>
      </c>
      <c r="C38" s="47">
        <v>4</v>
      </c>
    </row>
    <row r="39" spans="1:3">
      <c r="A39" s="51" t="s">
        <v>171</v>
      </c>
      <c r="B39" s="49">
        <v>1</v>
      </c>
      <c r="C39" s="49">
        <v>4</v>
      </c>
    </row>
    <row r="40" spans="1:3">
      <c r="A40" s="50" t="s">
        <v>172</v>
      </c>
      <c r="B40" s="47">
        <v>1</v>
      </c>
      <c r="C40" s="47">
        <v>5</v>
      </c>
    </row>
    <row r="41" spans="1:3">
      <c r="A41" s="51" t="s">
        <v>173</v>
      </c>
      <c r="B41" s="49">
        <v>1</v>
      </c>
      <c r="C41" s="49">
        <v>4</v>
      </c>
    </row>
    <row r="42" spans="1:3">
      <c r="A42" s="50" t="s">
        <v>174</v>
      </c>
      <c r="B42" s="47">
        <v>3</v>
      </c>
      <c r="C42" s="47">
        <v>2</v>
      </c>
    </row>
    <row r="43" spans="1:3">
      <c r="A43" s="51" t="s">
        <v>175</v>
      </c>
      <c r="B43" s="49">
        <v>2</v>
      </c>
      <c r="C43" s="49">
        <v>4</v>
      </c>
    </row>
    <row r="44" spans="1:3">
      <c r="A44" s="50" t="s">
        <v>176</v>
      </c>
      <c r="B44" s="47">
        <v>2</v>
      </c>
      <c r="C44" s="47">
        <v>2</v>
      </c>
    </row>
    <row r="45" spans="1:3" ht="21.6">
      <c r="A45" s="51" t="s">
        <v>177</v>
      </c>
      <c r="B45" s="49">
        <v>1</v>
      </c>
      <c r="C45" s="49">
        <v>3</v>
      </c>
    </row>
    <row r="46" spans="1:3">
      <c r="A46" s="50" t="s">
        <v>178</v>
      </c>
      <c r="B46" s="47">
        <v>1</v>
      </c>
      <c r="C46" s="47">
        <v>3</v>
      </c>
    </row>
    <row r="47" spans="1:3">
      <c r="A47" s="51" t="s">
        <v>179</v>
      </c>
      <c r="B47" s="49">
        <v>2</v>
      </c>
      <c r="C47" s="49">
        <v>3</v>
      </c>
    </row>
    <row r="48" spans="1:3">
      <c r="A48" s="50" t="s">
        <v>180</v>
      </c>
      <c r="B48" s="47">
        <v>3</v>
      </c>
      <c r="C48" s="47">
        <v>4</v>
      </c>
    </row>
    <row r="49" spans="1:3">
      <c r="A49" s="51" t="s">
        <v>181</v>
      </c>
      <c r="B49" s="49">
        <v>1</v>
      </c>
      <c r="C49" s="49">
        <v>5</v>
      </c>
    </row>
    <row r="50" spans="1:3">
      <c r="A50" s="50" t="s">
        <v>182</v>
      </c>
      <c r="B50" s="47">
        <v>2</v>
      </c>
      <c r="C50" s="47">
        <v>4</v>
      </c>
    </row>
    <row r="51" spans="1:3">
      <c r="A51" s="51" t="s">
        <v>183</v>
      </c>
      <c r="B51" s="49">
        <v>1</v>
      </c>
      <c r="C51" s="49">
        <v>4</v>
      </c>
    </row>
    <row r="52" spans="1:3">
      <c r="A52" s="50" t="s">
        <v>184</v>
      </c>
      <c r="B52" s="47">
        <v>1</v>
      </c>
      <c r="C52" s="47">
        <v>3</v>
      </c>
    </row>
    <row r="53" spans="1:3" ht="21.6">
      <c r="A53" s="51" t="s">
        <v>185</v>
      </c>
      <c r="B53" s="49">
        <v>3</v>
      </c>
      <c r="C53" s="49">
        <v>4</v>
      </c>
    </row>
    <row r="54" spans="1:3">
      <c r="A54" s="50" t="s">
        <v>186</v>
      </c>
      <c r="B54" s="47">
        <v>2</v>
      </c>
      <c r="C54" s="47">
        <v>3</v>
      </c>
    </row>
    <row r="55" spans="1:3">
      <c r="A55" s="51" t="s">
        <v>186</v>
      </c>
      <c r="B55" s="49">
        <v>1</v>
      </c>
      <c r="C55" s="49">
        <v>4</v>
      </c>
    </row>
    <row r="56" spans="1:3">
      <c r="A56" s="50" t="s">
        <v>187</v>
      </c>
      <c r="B56" s="47">
        <v>1</v>
      </c>
      <c r="C56" s="47">
        <v>3</v>
      </c>
    </row>
    <row r="57" spans="1:3">
      <c r="A57" s="51" t="s">
        <v>188</v>
      </c>
      <c r="B57" s="49">
        <v>6</v>
      </c>
      <c r="C57" s="49">
        <v>2</v>
      </c>
    </row>
    <row r="58" spans="1:3">
      <c r="A58" s="50" t="s">
        <v>189</v>
      </c>
      <c r="B58" s="47">
        <v>3</v>
      </c>
      <c r="C58" s="47">
        <v>3</v>
      </c>
    </row>
    <row r="59" spans="1:3">
      <c r="A59" s="51" t="s">
        <v>190</v>
      </c>
      <c r="B59" s="49">
        <v>2</v>
      </c>
      <c r="C59" s="49">
        <v>3</v>
      </c>
    </row>
    <row r="60" spans="1:3">
      <c r="A60" s="50" t="s">
        <v>191</v>
      </c>
      <c r="B60" s="47">
        <v>2</v>
      </c>
      <c r="C60" s="47">
        <v>3</v>
      </c>
    </row>
    <row r="61" spans="1:3">
      <c r="A61" s="51" t="s">
        <v>192</v>
      </c>
      <c r="B61" s="49">
        <v>1</v>
      </c>
      <c r="C61" s="49">
        <v>2</v>
      </c>
    </row>
    <row r="62" spans="1:3" ht="21.6">
      <c r="A62" s="50" t="s">
        <v>193</v>
      </c>
      <c r="B62" s="47">
        <v>3</v>
      </c>
      <c r="C62" s="47">
        <v>4</v>
      </c>
    </row>
    <row r="63" spans="1:3">
      <c r="A63" s="51" t="s">
        <v>194</v>
      </c>
      <c r="B63" s="49">
        <v>2</v>
      </c>
      <c r="C63" s="49">
        <v>3</v>
      </c>
    </row>
    <row r="64" spans="1:3">
      <c r="A64" s="50" t="s">
        <v>195</v>
      </c>
      <c r="B64" s="47">
        <v>1</v>
      </c>
      <c r="C64" s="47">
        <v>3</v>
      </c>
    </row>
    <row r="65" spans="1:3">
      <c r="A65" s="51" t="s">
        <v>196</v>
      </c>
      <c r="B65" s="49">
        <v>5</v>
      </c>
      <c r="C65" s="49">
        <v>5</v>
      </c>
    </row>
    <row r="66" spans="1:3">
      <c r="A66" s="50" t="s">
        <v>197</v>
      </c>
      <c r="B66" s="47">
        <v>3</v>
      </c>
      <c r="C66" s="47">
        <v>4</v>
      </c>
    </row>
    <row r="67" spans="1:3">
      <c r="A67" s="51" t="s">
        <v>198</v>
      </c>
      <c r="B67" s="49"/>
      <c r="C67" s="49">
        <v>2</v>
      </c>
    </row>
    <row r="68" spans="1:3">
      <c r="A68" s="50" t="s">
        <v>199</v>
      </c>
      <c r="B68" s="47">
        <v>5</v>
      </c>
      <c r="C68" s="47">
        <v>2</v>
      </c>
    </row>
    <row r="69" spans="1:3">
      <c r="A69" s="51" t="s">
        <v>200</v>
      </c>
      <c r="B69" s="49">
        <v>2</v>
      </c>
      <c r="C69" s="49">
        <v>3</v>
      </c>
    </row>
    <row r="70" spans="1:3">
      <c r="A70" s="50" t="s">
        <v>201</v>
      </c>
      <c r="B70" s="47">
        <v>1</v>
      </c>
      <c r="C70" s="47">
        <v>3</v>
      </c>
    </row>
    <row r="71" spans="1:3">
      <c r="A71" s="51" t="s">
        <v>202</v>
      </c>
      <c r="B71" s="49">
        <v>4</v>
      </c>
      <c r="C71" s="49">
        <v>5</v>
      </c>
    </row>
    <row r="72" spans="1:3">
      <c r="A72" s="50" t="s">
        <v>203</v>
      </c>
      <c r="B72" s="47">
        <v>1</v>
      </c>
      <c r="C72" s="47">
        <v>3</v>
      </c>
    </row>
    <row r="73" spans="1:3">
      <c r="A73" s="51" t="s">
        <v>204</v>
      </c>
      <c r="B73" s="49">
        <v>1</v>
      </c>
      <c r="C73" s="49">
        <v>3</v>
      </c>
    </row>
    <row r="74" spans="1:3">
      <c r="A74" s="50" t="s">
        <v>205</v>
      </c>
      <c r="B74" s="47">
        <v>2</v>
      </c>
      <c r="C74" s="47">
        <v>5</v>
      </c>
    </row>
    <row r="75" spans="1:3">
      <c r="A75" s="51" t="s">
        <v>206</v>
      </c>
      <c r="B75" s="49">
        <v>5</v>
      </c>
      <c r="C75" s="49">
        <v>2</v>
      </c>
    </row>
    <row r="76" spans="1:3">
      <c r="A76" s="50" t="s">
        <v>207</v>
      </c>
      <c r="B76" s="47">
        <v>5</v>
      </c>
      <c r="C76" s="47">
        <v>2</v>
      </c>
    </row>
    <row r="77" spans="1:3">
      <c r="A77" s="51" t="s">
        <v>208</v>
      </c>
      <c r="B77" s="49">
        <v>2</v>
      </c>
      <c r="C77" s="49">
        <v>5</v>
      </c>
    </row>
    <row r="78" spans="1:3">
      <c r="A78" s="50" t="s">
        <v>209</v>
      </c>
      <c r="B78" s="47">
        <v>2</v>
      </c>
      <c r="C78" s="47">
        <v>4</v>
      </c>
    </row>
    <row r="79" spans="1:3">
      <c r="A79" s="51" t="s">
        <v>210</v>
      </c>
      <c r="B79" s="49">
        <v>2</v>
      </c>
      <c r="C79" s="49">
        <v>5</v>
      </c>
    </row>
    <row r="80" spans="1:3">
      <c r="A80" s="50" t="s">
        <v>211</v>
      </c>
      <c r="B80" s="47">
        <v>2</v>
      </c>
      <c r="C80" s="47">
        <v>5</v>
      </c>
    </row>
    <row r="81" spans="1:3">
      <c r="A81" s="51" t="s">
        <v>212</v>
      </c>
      <c r="B81" s="49">
        <v>1</v>
      </c>
      <c r="C81" s="49">
        <v>4</v>
      </c>
    </row>
    <row r="82" spans="1:3">
      <c r="A82" s="50" t="s">
        <v>213</v>
      </c>
      <c r="B82" s="47">
        <v>2</v>
      </c>
      <c r="C82" s="47">
        <v>4</v>
      </c>
    </row>
    <row r="83" spans="1:3">
      <c r="A83" s="51" t="s">
        <v>214</v>
      </c>
      <c r="B83" s="49">
        <v>3</v>
      </c>
      <c r="C83" s="49">
        <v>4</v>
      </c>
    </row>
    <row r="84" spans="1:3">
      <c r="A84" s="50" t="s">
        <v>215</v>
      </c>
      <c r="B84" s="47">
        <v>3</v>
      </c>
      <c r="C84" s="47">
        <v>4</v>
      </c>
    </row>
    <row r="85" spans="1:3">
      <c r="A85" s="51" t="s">
        <v>216</v>
      </c>
      <c r="B85" s="49">
        <v>1</v>
      </c>
      <c r="C85" s="49">
        <v>3</v>
      </c>
    </row>
    <row r="86" spans="1:3">
      <c r="A86" s="50" t="s">
        <v>217</v>
      </c>
      <c r="B86" s="47">
        <v>5</v>
      </c>
      <c r="C86" s="47">
        <v>2</v>
      </c>
    </row>
    <row r="87" spans="1:3">
      <c r="A87" s="51" t="s">
        <v>218</v>
      </c>
      <c r="B87" s="49">
        <v>3</v>
      </c>
      <c r="C87" s="49">
        <v>4</v>
      </c>
    </row>
    <row r="88" spans="1:3">
      <c r="A88" s="50" t="s">
        <v>219</v>
      </c>
      <c r="B88" s="47">
        <v>2</v>
      </c>
      <c r="C88" s="47">
        <v>4</v>
      </c>
    </row>
    <row r="89" spans="1:3">
      <c r="A89" s="51" t="s">
        <v>220</v>
      </c>
      <c r="B89" s="49">
        <v>3</v>
      </c>
      <c r="C89" s="49">
        <v>2</v>
      </c>
    </row>
    <row r="90" spans="1:3">
      <c r="A90" s="50" t="s">
        <v>221</v>
      </c>
      <c r="B90" s="47">
        <v>3</v>
      </c>
      <c r="C90" s="47">
        <v>2</v>
      </c>
    </row>
    <row r="91" spans="1:3">
      <c r="A91" s="51" t="s">
        <v>222</v>
      </c>
      <c r="B91" s="49">
        <v>2</v>
      </c>
      <c r="C91" s="49">
        <v>5</v>
      </c>
    </row>
    <row r="92" spans="1:3">
      <c r="A92" s="50" t="s">
        <v>223</v>
      </c>
      <c r="B92" s="47">
        <v>1</v>
      </c>
      <c r="C92" s="47">
        <v>3</v>
      </c>
    </row>
    <row r="93" spans="1:3">
      <c r="A93" s="51" t="s">
        <v>224</v>
      </c>
      <c r="B93" s="49">
        <v>3</v>
      </c>
      <c r="C93" s="49">
        <v>5</v>
      </c>
    </row>
    <row r="94" spans="1:3">
      <c r="A94" s="50" t="s">
        <v>225</v>
      </c>
      <c r="B94" s="47">
        <v>2</v>
      </c>
      <c r="C94" s="47">
        <v>5</v>
      </c>
    </row>
    <row r="95" spans="1:3">
      <c r="A95" s="51" t="s">
        <v>226</v>
      </c>
      <c r="B95" s="49">
        <v>1</v>
      </c>
      <c r="C95" s="49">
        <v>3</v>
      </c>
    </row>
    <row r="96" spans="1:3">
      <c r="A96" s="50" t="s">
        <v>227</v>
      </c>
      <c r="B96" s="47">
        <v>1</v>
      </c>
      <c r="C96" s="47">
        <v>4</v>
      </c>
    </row>
    <row r="97" spans="1:3">
      <c r="A97" s="51" t="s">
        <v>228</v>
      </c>
      <c r="B97" s="49">
        <v>2</v>
      </c>
      <c r="C97" s="49">
        <v>3</v>
      </c>
    </row>
    <row r="98" spans="1:3">
      <c r="A98" s="50" t="s">
        <v>229</v>
      </c>
      <c r="B98" s="47">
        <v>2</v>
      </c>
      <c r="C98" s="47">
        <v>3</v>
      </c>
    </row>
    <row r="99" spans="1:3">
      <c r="A99" s="51" t="s">
        <v>230</v>
      </c>
      <c r="B99" s="49">
        <v>3</v>
      </c>
      <c r="C99" s="49">
        <v>4</v>
      </c>
    </row>
    <row r="100" spans="1:3">
      <c r="A100" s="50" t="s">
        <v>231</v>
      </c>
      <c r="B100" s="47">
        <v>1</v>
      </c>
      <c r="C100" s="47">
        <v>3</v>
      </c>
    </row>
    <row r="101" spans="1:3">
      <c r="A101" s="51" t="s">
        <v>232</v>
      </c>
      <c r="B101" s="49">
        <v>2</v>
      </c>
      <c r="C101" s="49">
        <v>4</v>
      </c>
    </row>
    <row r="102" spans="1:3">
      <c r="A102" s="50" t="s">
        <v>233</v>
      </c>
      <c r="B102" s="47">
        <v>2</v>
      </c>
      <c r="C102" s="47">
        <v>3</v>
      </c>
    </row>
    <row r="103" spans="1:3">
      <c r="A103" s="51" t="s">
        <v>234</v>
      </c>
      <c r="B103" s="49">
        <v>2</v>
      </c>
      <c r="C103" s="49">
        <v>4</v>
      </c>
    </row>
    <row r="104" spans="1:3">
      <c r="A104" s="50" t="s">
        <v>235</v>
      </c>
      <c r="B104" s="47">
        <v>2</v>
      </c>
      <c r="C104" s="47">
        <v>5</v>
      </c>
    </row>
    <row r="105" spans="1:3">
      <c r="A105" s="51" t="s">
        <v>236</v>
      </c>
      <c r="B105" s="49">
        <v>5</v>
      </c>
      <c r="C105" s="49">
        <v>2</v>
      </c>
    </row>
    <row r="106" spans="1:3" ht="21.6">
      <c r="A106" s="50" t="s">
        <v>237</v>
      </c>
      <c r="B106" s="47">
        <v>7</v>
      </c>
      <c r="C106" s="47">
        <v>7</v>
      </c>
    </row>
    <row r="107" spans="1:3">
      <c r="A107" s="51" t="s">
        <v>238</v>
      </c>
      <c r="B107" s="49">
        <v>1</v>
      </c>
      <c r="C107" s="49">
        <v>3</v>
      </c>
    </row>
    <row r="108" spans="1:3">
      <c r="A108" s="50" t="s">
        <v>239</v>
      </c>
      <c r="B108" s="47">
        <v>2</v>
      </c>
      <c r="C108" s="47">
        <v>4</v>
      </c>
    </row>
    <row r="109" spans="1:3">
      <c r="A109" s="51" t="s">
        <v>240</v>
      </c>
      <c r="B109" s="49">
        <v>1</v>
      </c>
      <c r="C109" s="49">
        <v>3</v>
      </c>
    </row>
    <row r="110" spans="1:3">
      <c r="A110" s="50" t="s">
        <v>241</v>
      </c>
      <c r="B110" s="47">
        <v>3</v>
      </c>
      <c r="C110" s="47">
        <v>2</v>
      </c>
    </row>
    <row r="111" spans="1:3">
      <c r="A111" s="51" t="s">
        <v>242</v>
      </c>
      <c r="B111" s="49">
        <v>3</v>
      </c>
      <c r="C111" s="49">
        <v>3</v>
      </c>
    </row>
    <row r="112" spans="1:3">
      <c r="A112" s="50" t="s">
        <v>243</v>
      </c>
      <c r="B112" s="47">
        <v>1</v>
      </c>
      <c r="C112" s="47">
        <v>4</v>
      </c>
    </row>
    <row r="113" spans="1:3">
      <c r="A113" s="51" t="s">
        <v>244</v>
      </c>
      <c r="B113" s="49">
        <v>1</v>
      </c>
      <c r="C113" s="49">
        <v>3</v>
      </c>
    </row>
    <row r="114" spans="1:3">
      <c r="A114" s="50" t="s">
        <v>245</v>
      </c>
      <c r="B114" s="47">
        <v>3</v>
      </c>
      <c r="C114" s="47">
        <v>5</v>
      </c>
    </row>
    <row r="115" spans="1:3">
      <c r="A115" s="51" t="s">
        <v>246</v>
      </c>
      <c r="B115" s="49">
        <v>3</v>
      </c>
      <c r="C115" s="49">
        <v>4</v>
      </c>
    </row>
    <row r="116" spans="1:3">
      <c r="A116" s="50" t="s">
        <v>247</v>
      </c>
      <c r="B116" s="47">
        <v>2</v>
      </c>
      <c r="C116" s="47">
        <v>3</v>
      </c>
    </row>
    <row r="117" spans="1:3">
      <c r="A117" s="51" t="s">
        <v>248</v>
      </c>
      <c r="B117" s="49">
        <v>2</v>
      </c>
      <c r="C117" s="49">
        <v>3</v>
      </c>
    </row>
    <row r="118" spans="1:3">
      <c r="A118" s="50" t="s">
        <v>249</v>
      </c>
      <c r="B118" s="47">
        <v>3</v>
      </c>
      <c r="C118" s="47">
        <v>3</v>
      </c>
    </row>
    <row r="119" spans="1:3">
      <c r="A119" s="51" t="s">
        <v>250</v>
      </c>
      <c r="B119" s="49">
        <v>2</v>
      </c>
      <c r="C119" s="49">
        <v>4</v>
      </c>
    </row>
    <row r="120" spans="1:3">
      <c r="A120" s="50" t="s">
        <v>251</v>
      </c>
      <c r="B120" s="47">
        <v>1</v>
      </c>
      <c r="C120" s="47">
        <v>3</v>
      </c>
    </row>
    <row r="121" spans="1:3">
      <c r="A121" s="51" t="s">
        <v>252</v>
      </c>
      <c r="B121" s="49">
        <v>1</v>
      </c>
      <c r="C121" s="49">
        <v>3</v>
      </c>
    </row>
    <row r="122" spans="1:3">
      <c r="A122" s="50" t="s">
        <v>253</v>
      </c>
      <c r="B122" s="47">
        <v>4</v>
      </c>
      <c r="C122" s="47">
        <v>2</v>
      </c>
    </row>
    <row r="123" spans="1:3">
      <c r="A123" s="51" t="s">
        <v>254</v>
      </c>
      <c r="B123" s="49">
        <v>5</v>
      </c>
      <c r="C123" s="49">
        <v>2</v>
      </c>
    </row>
    <row r="124" spans="1:3">
      <c r="A124" s="50" t="s">
        <v>255</v>
      </c>
      <c r="B124" s="47">
        <v>2</v>
      </c>
      <c r="C124" s="47">
        <v>3</v>
      </c>
    </row>
    <row r="125" spans="1:3">
      <c r="A125" s="51" t="s">
        <v>256</v>
      </c>
      <c r="B125" s="49">
        <v>3</v>
      </c>
      <c r="C125" s="49">
        <v>5</v>
      </c>
    </row>
    <row r="126" spans="1:3">
      <c r="A126" s="50" t="s">
        <v>257</v>
      </c>
      <c r="B126" s="47">
        <v>2</v>
      </c>
      <c r="C126" s="47">
        <v>4</v>
      </c>
    </row>
    <row r="127" spans="1:3">
      <c r="A127" s="51" t="s">
        <v>258</v>
      </c>
      <c r="B127" s="49">
        <v>3</v>
      </c>
      <c r="C127" s="49">
        <v>3</v>
      </c>
    </row>
    <row r="128" spans="1:3">
      <c r="A128" s="50" t="s">
        <v>259</v>
      </c>
      <c r="B128" s="47">
        <v>1</v>
      </c>
      <c r="C128" s="47">
        <v>5</v>
      </c>
    </row>
    <row r="129" spans="1:3">
      <c r="A129" s="51" t="s">
        <v>260</v>
      </c>
      <c r="B129" s="49">
        <v>3</v>
      </c>
      <c r="C129" s="49">
        <v>2</v>
      </c>
    </row>
    <row r="130" spans="1:3">
      <c r="A130" s="50" t="s">
        <v>261</v>
      </c>
      <c r="B130" s="47">
        <v>2</v>
      </c>
      <c r="C130" s="47">
        <v>3</v>
      </c>
    </row>
    <row r="131" spans="1:3">
      <c r="A131" s="51" t="s">
        <v>262</v>
      </c>
      <c r="B131" s="49">
        <v>1</v>
      </c>
      <c r="C131" s="49">
        <v>4</v>
      </c>
    </row>
    <row r="132" spans="1:3">
      <c r="A132" s="50" t="s">
        <v>263</v>
      </c>
      <c r="B132" s="47">
        <v>2</v>
      </c>
      <c r="C132" s="47">
        <v>4</v>
      </c>
    </row>
    <row r="133" spans="1:3">
      <c r="A133" s="51" t="s">
        <v>264</v>
      </c>
      <c r="B133" s="49">
        <v>3</v>
      </c>
      <c r="C133" s="49">
        <v>4</v>
      </c>
    </row>
    <row r="134" spans="1:3">
      <c r="A134" s="50" t="s">
        <v>265</v>
      </c>
      <c r="B134" s="47">
        <v>3</v>
      </c>
      <c r="C134" s="47">
        <v>4</v>
      </c>
    </row>
    <row r="135" spans="1:3">
      <c r="A135" s="51" t="s">
        <v>266</v>
      </c>
      <c r="B135" s="49">
        <v>1</v>
      </c>
      <c r="C135" s="49">
        <v>2</v>
      </c>
    </row>
    <row r="136" spans="1:3">
      <c r="A136" s="50" t="s">
        <v>267</v>
      </c>
      <c r="B136" s="47">
        <v>2</v>
      </c>
      <c r="C136" s="47">
        <v>3</v>
      </c>
    </row>
    <row r="137" spans="1:3">
      <c r="A137" s="51" t="s">
        <v>268</v>
      </c>
      <c r="B137" s="49">
        <v>3</v>
      </c>
      <c r="C137" s="49">
        <v>1</v>
      </c>
    </row>
    <row r="138" spans="1:3">
      <c r="A138" s="50" t="s">
        <v>269</v>
      </c>
      <c r="B138" s="47">
        <v>2</v>
      </c>
      <c r="C138" s="47">
        <v>4</v>
      </c>
    </row>
    <row r="139" spans="1:3">
      <c r="A139" s="51" t="s">
        <v>270</v>
      </c>
      <c r="B139" s="49">
        <v>3</v>
      </c>
      <c r="C139" s="49">
        <v>2</v>
      </c>
    </row>
    <row r="140" spans="1:3">
      <c r="A140" s="50" t="s">
        <v>271</v>
      </c>
      <c r="B140" s="47">
        <v>2</v>
      </c>
      <c r="C140" s="47">
        <v>5</v>
      </c>
    </row>
    <row r="141" spans="1:3">
      <c r="A141" s="51" t="s">
        <v>272</v>
      </c>
      <c r="B141" s="49">
        <v>2</v>
      </c>
      <c r="C141" s="49">
        <v>5</v>
      </c>
    </row>
    <row r="142" spans="1:3">
      <c r="A142" s="50" t="s">
        <v>273</v>
      </c>
      <c r="B142" s="47">
        <v>3</v>
      </c>
      <c r="C142" s="47">
        <v>2</v>
      </c>
    </row>
    <row r="143" spans="1:3">
      <c r="A143" s="51" t="s">
        <v>274</v>
      </c>
      <c r="B143" s="49">
        <v>5</v>
      </c>
      <c r="C143" s="49">
        <v>2</v>
      </c>
    </row>
    <row r="144" spans="1:3">
      <c r="A144" s="50" t="s">
        <v>275</v>
      </c>
      <c r="B144" s="47">
        <v>1</v>
      </c>
      <c r="C144" s="47">
        <v>3</v>
      </c>
    </row>
    <row r="145" spans="1:3">
      <c r="A145" s="51" t="s">
        <v>276</v>
      </c>
      <c r="B145" s="49">
        <v>2</v>
      </c>
      <c r="C145" s="49">
        <v>4</v>
      </c>
    </row>
    <row r="146" spans="1:3">
      <c r="A146" s="50" t="s">
        <v>277</v>
      </c>
      <c r="B146" s="47">
        <v>2</v>
      </c>
      <c r="C146" s="47">
        <v>3</v>
      </c>
    </row>
    <row r="147" spans="1:3">
      <c r="A147" s="51" t="s">
        <v>278</v>
      </c>
      <c r="B147" s="49">
        <v>2</v>
      </c>
      <c r="C147" s="49">
        <v>1</v>
      </c>
    </row>
    <row r="148" spans="1:3">
      <c r="A148" s="50" t="s">
        <v>279</v>
      </c>
      <c r="B148" s="47">
        <v>1</v>
      </c>
      <c r="C148" s="47">
        <v>4</v>
      </c>
    </row>
    <row r="149" spans="1:3">
      <c r="A149" s="51" t="s">
        <v>280</v>
      </c>
      <c r="B149" s="49">
        <v>3</v>
      </c>
      <c r="C149" s="49">
        <v>2</v>
      </c>
    </row>
    <row r="150" spans="1:3">
      <c r="A150" s="50" t="s">
        <v>281</v>
      </c>
      <c r="B150" s="47">
        <v>1</v>
      </c>
      <c r="C150" s="47">
        <v>3</v>
      </c>
    </row>
    <row r="151" spans="1:3">
      <c r="A151" s="51" t="s">
        <v>282</v>
      </c>
      <c r="B151" s="49">
        <v>1</v>
      </c>
      <c r="C151" s="49">
        <v>3</v>
      </c>
    </row>
    <row r="152" spans="1:3">
      <c r="A152" s="50" t="s">
        <v>283</v>
      </c>
      <c r="B152" s="47">
        <v>3</v>
      </c>
      <c r="C152" s="47">
        <v>3</v>
      </c>
    </row>
    <row r="153" spans="1:3">
      <c r="A153" s="51" t="s">
        <v>284</v>
      </c>
      <c r="B153" s="49">
        <v>3</v>
      </c>
      <c r="C153" s="49">
        <v>2</v>
      </c>
    </row>
    <row r="154" spans="1:3">
      <c r="A154" s="50" t="s">
        <v>285</v>
      </c>
      <c r="B154" s="47">
        <v>4</v>
      </c>
      <c r="C154" s="47">
        <v>4</v>
      </c>
    </row>
    <row r="155" spans="1:3">
      <c r="A155" s="51" t="s">
        <v>286</v>
      </c>
      <c r="B155" s="49">
        <v>1</v>
      </c>
      <c r="C155" s="49">
        <v>4</v>
      </c>
    </row>
    <row r="156" spans="1:3">
      <c r="A156" s="50" t="s">
        <v>287</v>
      </c>
      <c r="B156" s="47">
        <v>2</v>
      </c>
      <c r="C156" s="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4:H17"/>
  <sheetViews>
    <sheetView workbookViewId="0">
      <selection activeCell="H21" sqref="H21"/>
    </sheetView>
  </sheetViews>
  <sheetFormatPr defaultRowHeight="14.4"/>
  <cols>
    <col min="1" max="1" width="9.88671875" bestFit="1" customWidth="1"/>
    <col min="2" max="2" width="14.6640625" bestFit="1" customWidth="1"/>
    <col min="3" max="5" width="8.88671875" style="54"/>
    <col min="8" max="8" width="10.77734375" bestFit="1" customWidth="1"/>
    <col min="9" max="9" width="9.44140625" bestFit="1" customWidth="1"/>
  </cols>
  <sheetData>
    <row r="4" spans="1:8">
      <c r="A4" s="203" t="s">
        <v>441</v>
      </c>
      <c r="B4" s="203"/>
      <c r="C4" s="203" t="s">
        <v>442</v>
      </c>
      <c r="D4" s="203"/>
      <c r="E4" s="203"/>
      <c r="F4" s="203"/>
      <c r="G4" s="203"/>
      <c r="H4" s="203"/>
    </row>
    <row r="5" spans="1:8">
      <c r="A5" s="203"/>
      <c r="B5" s="203"/>
      <c r="C5" s="203" t="s">
        <v>443</v>
      </c>
      <c r="D5" s="203"/>
      <c r="E5" s="203"/>
      <c r="F5" s="203"/>
      <c r="G5" s="203"/>
      <c r="H5" s="203"/>
    </row>
    <row r="6" spans="1:8">
      <c r="A6" s="203"/>
      <c r="B6" s="203"/>
      <c r="C6" s="203" t="s">
        <v>444</v>
      </c>
      <c r="D6" s="203"/>
      <c r="E6" s="203"/>
      <c r="F6" s="203"/>
      <c r="G6" s="203"/>
      <c r="H6" s="203"/>
    </row>
    <row r="7" spans="1:8">
      <c r="A7" s="203"/>
      <c r="B7" s="203"/>
      <c r="C7" s="155" t="s">
        <v>445</v>
      </c>
      <c r="D7" s="155" t="s">
        <v>446</v>
      </c>
      <c r="E7" s="155" t="s">
        <v>447</v>
      </c>
      <c r="F7" s="155" t="s">
        <v>448</v>
      </c>
      <c r="G7" s="155" t="s">
        <v>450</v>
      </c>
      <c r="H7" s="155" t="s">
        <v>449</v>
      </c>
    </row>
    <row r="8" spans="1:8">
      <c r="A8" s="204">
        <v>0.7</v>
      </c>
      <c r="B8" s="204"/>
      <c r="C8" s="101">
        <v>16</v>
      </c>
      <c r="D8" s="101">
        <v>15</v>
      </c>
      <c r="E8" s="101">
        <v>14</v>
      </c>
      <c r="F8" s="101">
        <v>12</v>
      </c>
      <c r="G8" s="101">
        <v>10</v>
      </c>
      <c r="H8" s="101">
        <v>8</v>
      </c>
    </row>
    <row r="9" spans="1:8">
      <c r="A9" s="204">
        <v>0.8</v>
      </c>
      <c r="B9" s="204"/>
      <c r="C9" s="101">
        <v>18</v>
      </c>
      <c r="D9" s="101">
        <v>16</v>
      </c>
      <c r="E9" s="101">
        <v>15</v>
      </c>
      <c r="F9" s="101">
        <v>13</v>
      </c>
      <c r="G9" s="101">
        <v>12</v>
      </c>
      <c r="H9" s="101">
        <v>10</v>
      </c>
    </row>
    <row r="10" spans="1:8">
      <c r="A10" s="204">
        <v>0.9</v>
      </c>
      <c r="B10" s="204"/>
      <c r="C10" s="101">
        <v>19</v>
      </c>
      <c r="D10" s="101">
        <v>17</v>
      </c>
      <c r="E10" s="101">
        <v>16</v>
      </c>
      <c r="F10" s="101">
        <v>14</v>
      </c>
      <c r="G10" s="101">
        <v>13</v>
      </c>
      <c r="H10" s="101">
        <v>11</v>
      </c>
    </row>
    <row r="11" spans="1:8">
      <c r="A11" s="204">
        <v>1</v>
      </c>
      <c r="B11" s="204"/>
      <c r="C11" s="101">
        <v>20</v>
      </c>
      <c r="D11" s="101">
        <v>18</v>
      </c>
      <c r="E11" s="101">
        <v>17</v>
      </c>
      <c r="F11" s="101">
        <v>15</v>
      </c>
      <c r="G11" s="101">
        <v>14</v>
      </c>
      <c r="H11" s="101">
        <v>12</v>
      </c>
    </row>
    <row r="12" spans="1:8">
      <c r="A12" s="204">
        <v>1.1000000000000001</v>
      </c>
      <c r="B12" s="204"/>
      <c r="C12" s="101">
        <v>20</v>
      </c>
      <c r="D12" s="101">
        <v>19</v>
      </c>
      <c r="E12" s="101">
        <v>18</v>
      </c>
      <c r="F12" s="101">
        <v>16</v>
      </c>
      <c r="G12" s="101">
        <v>14.5</v>
      </c>
      <c r="H12" s="101">
        <v>12.5</v>
      </c>
    </row>
    <row r="13" spans="1:8">
      <c r="A13" s="204">
        <v>1.2</v>
      </c>
      <c r="B13" s="204"/>
      <c r="C13" s="101">
        <v>22</v>
      </c>
      <c r="D13" s="101">
        <v>20</v>
      </c>
      <c r="E13" s="101">
        <v>19</v>
      </c>
      <c r="F13" s="101">
        <v>16.5</v>
      </c>
      <c r="G13" s="101">
        <v>15</v>
      </c>
      <c r="H13" s="101">
        <v>13</v>
      </c>
    </row>
    <row r="14" spans="1:8">
      <c r="A14" s="204">
        <v>1.3</v>
      </c>
      <c r="B14" s="204"/>
      <c r="C14" s="101">
        <v>23</v>
      </c>
      <c r="D14" s="101">
        <v>21</v>
      </c>
      <c r="E14" s="101">
        <v>20</v>
      </c>
      <c r="F14" s="101">
        <v>17</v>
      </c>
      <c r="G14" s="101">
        <v>15.5</v>
      </c>
      <c r="H14" s="101">
        <v>13.5</v>
      </c>
    </row>
    <row r="15" spans="1:8">
      <c r="A15" s="204">
        <v>1.4</v>
      </c>
      <c r="B15" s="204"/>
      <c r="C15" s="101">
        <v>24</v>
      </c>
      <c r="D15" s="101">
        <v>22</v>
      </c>
      <c r="E15" s="101">
        <v>21</v>
      </c>
      <c r="F15" s="101">
        <v>17.5</v>
      </c>
      <c r="G15" s="101">
        <v>16</v>
      </c>
      <c r="H15" s="101">
        <v>14</v>
      </c>
    </row>
    <row r="16" spans="1:8">
      <c r="A16" s="204">
        <v>1.5</v>
      </c>
      <c r="B16" s="204"/>
      <c r="C16" s="101">
        <v>24</v>
      </c>
      <c r="D16" s="101">
        <v>23</v>
      </c>
      <c r="E16" s="101">
        <v>21</v>
      </c>
      <c r="F16" s="101">
        <v>18</v>
      </c>
      <c r="G16" s="101">
        <v>16</v>
      </c>
      <c r="H16" s="101">
        <v>14</v>
      </c>
    </row>
    <row r="17" spans="3:8">
      <c r="C17" s="54" t="s">
        <v>471</v>
      </c>
      <c r="D17" s="54" t="s">
        <v>471</v>
      </c>
      <c r="E17" s="54" t="s">
        <v>471</v>
      </c>
      <c r="F17" s="54" t="s">
        <v>471</v>
      </c>
      <c r="G17" s="54" t="s">
        <v>471</v>
      </c>
      <c r="H17" s="54" t="s">
        <v>471</v>
      </c>
    </row>
  </sheetData>
  <mergeCells count="13">
    <mergeCell ref="A14:B14"/>
    <mergeCell ref="A15:B15"/>
    <mergeCell ref="A16:B16"/>
    <mergeCell ref="A8:B8"/>
    <mergeCell ref="A9:B9"/>
    <mergeCell ref="A10:B10"/>
    <mergeCell ref="A11:B11"/>
    <mergeCell ref="A12:B12"/>
    <mergeCell ref="A4:B7"/>
    <mergeCell ref="C4:H4"/>
    <mergeCell ref="C5:H5"/>
    <mergeCell ref="C6:H6"/>
    <mergeCell ref="A13:B1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H59"/>
  <sheetViews>
    <sheetView topLeftCell="A33" workbookViewId="0">
      <selection activeCell="M54" sqref="M54"/>
    </sheetView>
  </sheetViews>
  <sheetFormatPr defaultRowHeight="14.4"/>
  <cols>
    <col min="1" max="1" width="9.88671875" bestFit="1" customWidth="1"/>
    <col min="2" max="2" width="14.6640625" bestFit="1" customWidth="1"/>
    <col min="3" max="5" width="8.88671875" style="54"/>
    <col min="8" max="8" width="10.77734375" bestFit="1" customWidth="1"/>
    <col min="9" max="9" width="9.44140625" bestFit="1" customWidth="1"/>
  </cols>
  <sheetData>
    <row r="1" spans="1:5">
      <c r="A1" s="86"/>
      <c r="B1" s="86"/>
      <c r="C1" s="208" t="s">
        <v>310</v>
      </c>
      <c r="D1" s="208"/>
      <c r="E1" s="208"/>
    </row>
    <row r="2" spans="1:5">
      <c r="A2" s="53" t="s">
        <v>380</v>
      </c>
      <c r="B2" s="53"/>
      <c r="C2" s="177" t="s">
        <v>427</v>
      </c>
      <c r="D2" s="177" t="s">
        <v>429</v>
      </c>
      <c r="E2" s="177" t="s">
        <v>428</v>
      </c>
    </row>
    <row r="3" spans="1:5">
      <c r="A3" s="205" t="s">
        <v>290</v>
      </c>
      <c r="B3" s="87" t="s">
        <v>309</v>
      </c>
      <c r="C3" s="176">
        <v>2000</v>
      </c>
      <c r="D3" s="176"/>
      <c r="E3" s="176"/>
    </row>
    <row r="4" spans="1:5">
      <c r="A4" s="206"/>
      <c r="B4" s="151" t="s">
        <v>381</v>
      </c>
      <c r="C4" s="176">
        <v>3250</v>
      </c>
      <c r="D4" s="176"/>
      <c r="E4" s="176"/>
    </row>
    <row r="5" spans="1:5">
      <c r="A5" s="207"/>
      <c r="B5" s="87" t="s">
        <v>312</v>
      </c>
      <c r="C5" s="176">
        <v>7644</v>
      </c>
      <c r="D5" s="176"/>
      <c r="E5" s="176"/>
    </row>
    <row r="6" spans="1:5">
      <c r="A6" s="205" t="s">
        <v>291</v>
      </c>
      <c r="B6" s="87" t="s">
        <v>309</v>
      </c>
      <c r="C6" s="176">
        <v>2500</v>
      </c>
      <c r="D6" s="176"/>
      <c r="E6" s="176"/>
    </row>
    <row r="7" spans="1:5">
      <c r="A7" s="206"/>
      <c r="B7" s="151" t="s">
        <v>381</v>
      </c>
      <c r="C7" s="176">
        <v>3700</v>
      </c>
      <c r="D7" s="176"/>
      <c r="E7" s="176"/>
    </row>
    <row r="8" spans="1:5">
      <c r="A8" s="207"/>
      <c r="B8" s="87" t="s">
        <v>312</v>
      </c>
      <c r="C8" s="176">
        <v>9180</v>
      </c>
      <c r="D8" s="176"/>
      <c r="E8" s="176"/>
    </row>
    <row r="9" spans="1:5">
      <c r="A9" s="205" t="s">
        <v>292</v>
      </c>
      <c r="B9" s="87" t="s">
        <v>309</v>
      </c>
      <c r="C9" s="176">
        <v>2500</v>
      </c>
      <c r="D9" s="176"/>
      <c r="E9" s="176">
        <v>3000</v>
      </c>
    </row>
    <row r="10" spans="1:5">
      <c r="A10" s="206"/>
      <c r="B10" s="151" t="s">
        <v>381</v>
      </c>
      <c r="C10" s="176">
        <v>4449</v>
      </c>
      <c r="D10" s="176"/>
      <c r="E10" s="176">
        <v>4167</v>
      </c>
    </row>
    <row r="11" spans="1:5">
      <c r="A11" s="207"/>
      <c r="B11" s="87" t="s">
        <v>312</v>
      </c>
      <c r="C11" s="176">
        <v>9942</v>
      </c>
      <c r="D11" s="176"/>
      <c r="E11" s="176">
        <v>11070</v>
      </c>
    </row>
    <row r="12" spans="1:5">
      <c r="A12" s="205" t="s">
        <v>293</v>
      </c>
      <c r="B12" s="87" t="s">
        <v>309</v>
      </c>
      <c r="C12" s="176">
        <v>3000</v>
      </c>
      <c r="D12" s="176"/>
      <c r="E12" s="176">
        <v>3500</v>
      </c>
    </row>
    <row r="13" spans="1:5">
      <c r="A13" s="206"/>
      <c r="B13" s="151" t="s">
        <v>381</v>
      </c>
      <c r="C13" s="176">
        <v>4875</v>
      </c>
      <c r="D13" s="176"/>
      <c r="E13" s="176">
        <v>4643</v>
      </c>
    </row>
    <row r="14" spans="1:5">
      <c r="A14" s="207"/>
      <c r="B14" s="87" t="s">
        <v>312</v>
      </c>
      <c r="C14" s="176">
        <v>11466</v>
      </c>
      <c r="D14" s="176"/>
      <c r="E14" s="176">
        <v>12277</v>
      </c>
    </row>
    <row r="15" spans="1:5">
      <c r="A15" s="205" t="s">
        <v>294</v>
      </c>
      <c r="B15" s="87" t="s">
        <v>309</v>
      </c>
      <c r="C15" s="176">
        <v>3000</v>
      </c>
      <c r="D15" s="176">
        <v>3500</v>
      </c>
      <c r="E15" s="176">
        <v>4000</v>
      </c>
    </row>
    <row r="16" spans="1:5">
      <c r="A16" s="206"/>
      <c r="B16" s="151" t="s">
        <v>381</v>
      </c>
      <c r="C16" s="176">
        <v>5667</v>
      </c>
      <c r="D16" s="176">
        <v>5322</v>
      </c>
      <c r="E16" s="176">
        <v>5125</v>
      </c>
    </row>
    <row r="17" spans="1:6">
      <c r="A17" s="207"/>
      <c r="B17" s="87" t="s">
        <v>312</v>
      </c>
      <c r="C17" s="176">
        <v>12250</v>
      </c>
      <c r="D17" s="176">
        <v>13000</v>
      </c>
      <c r="E17" s="176">
        <v>13832</v>
      </c>
    </row>
    <row r="18" spans="1:6">
      <c r="A18" s="205" t="s">
        <v>295</v>
      </c>
      <c r="B18" s="87" t="s">
        <v>309</v>
      </c>
      <c r="C18" s="176">
        <v>3500</v>
      </c>
      <c r="D18" s="176">
        <v>4000</v>
      </c>
      <c r="E18" s="176">
        <v>4500</v>
      </c>
    </row>
    <row r="19" spans="1:6">
      <c r="A19" s="206"/>
      <c r="B19" s="151" t="s">
        <v>381</v>
      </c>
      <c r="C19" s="176">
        <v>6072</v>
      </c>
      <c r="D19" s="176">
        <v>5781</v>
      </c>
      <c r="E19" s="176">
        <v>5611</v>
      </c>
    </row>
    <row r="20" spans="1:6">
      <c r="A20" s="207"/>
      <c r="B20" s="87" t="s">
        <v>312</v>
      </c>
      <c r="C20" s="176">
        <v>13764</v>
      </c>
      <c r="D20" s="176">
        <v>14541</v>
      </c>
      <c r="E20" s="176">
        <v>15391</v>
      </c>
    </row>
    <row r="21" spans="1:6">
      <c r="A21" s="205" t="s">
        <v>296</v>
      </c>
      <c r="B21" s="87" t="s">
        <v>309</v>
      </c>
      <c r="C21" s="176">
        <v>3500</v>
      </c>
      <c r="D21" s="176">
        <v>4000</v>
      </c>
      <c r="E21" s="176">
        <v>4500</v>
      </c>
      <c r="F21" s="176">
        <v>5000</v>
      </c>
    </row>
    <row r="22" spans="1:6">
      <c r="A22" s="206"/>
      <c r="B22" s="151" t="s">
        <v>381</v>
      </c>
      <c r="C22" s="176">
        <v>6892</v>
      </c>
      <c r="D22" s="176">
        <v>6500</v>
      </c>
      <c r="E22" s="176">
        <v>6250</v>
      </c>
      <c r="F22" s="176">
        <v>6100</v>
      </c>
    </row>
    <row r="23" spans="1:6">
      <c r="A23" s="207"/>
      <c r="B23" s="87" t="s">
        <v>312</v>
      </c>
      <c r="C23" s="176">
        <v>14559</v>
      </c>
      <c r="D23" s="176">
        <v>15288</v>
      </c>
      <c r="E23" s="176">
        <v>16088</v>
      </c>
      <c r="F23" s="176">
        <v>16952</v>
      </c>
    </row>
    <row r="24" spans="1:6">
      <c r="A24" s="205" t="s">
        <v>297</v>
      </c>
      <c r="B24" s="87" t="s">
        <v>309</v>
      </c>
      <c r="C24" s="176">
        <v>4000</v>
      </c>
      <c r="D24" s="176">
        <v>4500</v>
      </c>
      <c r="E24" s="176">
        <v>5000</v>
      </c>
    </row>
    <row r="25" spans="1:6">
      <c r="A25" s="206"/>
      <c r="B25" s="151" t="s">
        <v>381</v>
      </c>
      <c r="C25" s="176">
        <v>7281</v>
      </c>
      <c r="D25" s="176">
        <v>6944</v>
      </c>
      <c r="E25" s="176">
        <v>6725</v>
      </c>
    </row>
    <row r="26" spans="1:6">
      <c r="A26" s="207"/>
      <c r="B26" s="87" t="s">
        <v>312</v>
      </c>
      <c r="C26" s="176">
        <v>16067</v>
      </c>
      <c r="D26" s="176">
        <v>16820</v>
      </c>
      <c r="E26" s="176">
        <v>17638</v>
      </c>
    </row>
    <row r="27" spans="1:6">
      <c r="A27" s="205" t="s">
        <v>298</v>
      </c>
      <c r="B27" s="87" t="s">
        <v>309</v>
      </c>
      <c r="C27" s="176">
        <v>4500</v>
      </c>
      <c r="D27" s="176">
        <v>5000</v>
      </c>
      <c r="E27" s="176">
        <v>5500</v>
      </c>
    </row>
    <row r="28" spans="1:6">
      <c r="A28" s="206"/>
      <c r="B28" s="151" t="s">
        <v>381</v>
      </c>
      <c r="C28" s="176">
        <v>7694</v>
      </c>
      <c r="D28" s="176">
        <v>7400</v>
      </c>
      <c r="E28" s="176">
        <v>7205</v>
      </c>
    </row>
    <row r="29" spans="1:6">
      <c r="A29" s="207"/>
      <c r="B29" s="87" t="s">
        <v>312</v>
      </c>
      <c r="C29" s="176">
        <v>17584</v>
      </c>
      <c r="D29" s="176">
        <v>18359</v>
      </c>
      <c r="E29" s="176">
        <v>19193</v>
      </c>
    </row>
    <row r="30" spans="1:6">
      <c r="A30" s="205" t="s">
        <v>299</v>
      </c>
      <c r="B30" s="87" t="s">
        <v>309</v>
      </c>
      <c r="C30" s="176">
        <v>4500</v>
      </c>
      <c r="D30" s="176">
        <v>5000</v>
      </c>
      <c r="E30" s="176">
        <v>5500</v>
      </c>
      <c r="F30" s="176">
        <v>6000</v>
      </c>
    </row>
    <row r="31" spans="1:6">
      <c r="A31" s="206"/>
      <c r="B31" s="151" t="s">
        <v>381</v>
      </c>
      <c r="C31" s="176">
        <v>8500</v>
      </c>
      <c r="D31" s="176">
        <v>8125</v>
      </c>
      <c r="E31" s="176">
        <v>7864</v>
      </c>
      <c r="F31" s="176">
        <v>7688</v>
      </c>
    </row>
    <row r="32" spans="1:6">
      <c r="A32" s="207"/>
      <c r="B32" s="87" t="s">
        <v>312</v>
      </c>
      <c r="C32" s="176">
        <v>18374</v>
      </c>
      <c r="D32" s="176">
        <v>19110</v>
      </c>
      <c r="E32" s="176">
        <v>19903</v>
      </c>
      <c r="F32" s="176">
        <v>20749</v>
      </c>
    </row>
    <row r="33" spans="1:7">
      <c r="A33" s="205" t="s">
        <v>300</v>
      </c>
      <c r="B33" s="87" t="s">
        <v>309</v>
      </c>
      <c r="C33" s="176">
        <v>5000</v>
      </c>
      <c r="D33" s="176">
        <v>5500</v>
      </c>
      <c r="E33" s="176">
        <v>6000</v>
      </c>
      <c r="F33" s="176">
        <v>6500</v>
      </c>
    </row>
    <row r="34" spans="1:7">
      <c r="A34" s="206"/>
      <c r="B34" s="151" t="s">
        <v>381</v>
      </c>
      <c r="C34" s="176">
        <v>8900</v>
      </c>
      <c r="D34" s="176">
        <v>8568</v>
      </c>
      <c r="E34" s="176">
        <v>8333</v>
      </c>
      <c r="F34" s="176">
        <v>8173</v>
      </c>
    </row>
    <row r="35" spans="1:7">
      <c r="A35" s="207"/>
      <c r="B35" s="87" t="s">
        <v>312</v>
      </c>
      <c r="C35" s="176">
        <v>19886</v>
      </c>
      <c r="D35" s="176">
        <v>20642</v>
      </c>
      <c r="E35" s="176">
        <v>21450</v>
      </c>
      <c r="F35" s="176">
        <v>22306</v>
      </c>
    </row>
    <row r="36" spans="1:7">
      <c r="A36" s="205" t="s">
        <v>301</v>
      </c>
      <c r="B36" s="87" t="s">
        <v>309</v>
      </c>
      <c r="C36" s="176">
        <v>5000</v>
      </c>
      <c r="D36" s="176">
        <v>5500</v>
      </c>
      <c r="E36" s="176">
        <v>6000</v>
      </c>
      <c r="F36" s="176">
        <v>6500</v>
      </c>
      <c r="G36" s="176">
        <v>7000</v>
      </c>
    </row>
    <row r="37" spans="1:7">
      <c r="A37" s="206"/>
      <c r="B37" s="151" t="s">
        <v>381</v>
      </c>
      <c r="C37" s="176">
        <v>9725</v>
      </c>
      <c r="D37" s="176">
        <v>9318</v>
      </c>
      <c r="E37" s="176">
        <v>9021</v>
      </c>
      <c r="F37" s="176">
        <v>8808</v>
      </c>
      <c r="G37" s="176">
        <v>8661</v>
      </c>
    </row>
    <row r="38" spans="1:7">
      <c r="A38" s="207"/>
      <c r="B38" s="87" t="s">
        <v>312</v>
      </c>
      <c r="C38" s="176">
        <v>20684</v>
      </c>
      <c r="D38" s="176">
        <v>21406</v>
      </c>
      <c r="E38" s="176">
        <v>22179</v>
      </c>
      <c r="F38" s="176">
        <v>23001</v>
      </c>
      <c r="G38" s="176">
        <v>23867</v>
      </c>
    </row>
    <row r="39" spans="1:7">
      <c r="A39" s="205" t="s">
        <v>302</v>
      </c>
      <c r="B39" s="87" t="s">
        <v>309</v>
      </c>
      <c r="C39" s="176">
        <v>5500</v>
      </c>
      <c r="D39" s="176">
        <v>6000</v>
      </c>
      <c r="E39" s="176">
        <v>6500</v>
      </c>
      <c r="F39" s="176">
        <v>7000</v>
      </c>
    </row>
    <row r="40" spans="1:7">
      <c r="A40" s="206"/>
      <c r="B40" s="151" t="s">
        <v>381</v>
      </c>
      <c r="C40" s="176">
        <v>10114</v>
      </c>
      <c r="D40" s="176">
        <v>9750</v>
      </c>
      <c r="E40" s="176">
        <v>9481</v>
      </c>
      <c r="F40" s="176">
        <v>9286</v>
      </c>
    </row>
    <row r="41" spans="1:7">
      <c r="A41" s="207"/>
      <c r="B41" s="87" t="s">
        <v>312</v>
      </c>
      <c r="C41" s="176">
        <v>22192</v>
      </c>
      <c r="D41" s="176">
        <v>22932</v>
      </c>
      <c r="E41" s="176">
        <v>23721</v>
      </c>
      <c r="F41" s="176">
        <v>24553</v>
      </c>
    </row>
    <row r="42" spans="1:7">
      <c r="A42" s="205" t="s">
        <v>303</v>
      </c>
      <c r="B42" s="87" t="s">
        <v>309</v>
      </c>
      <c r="C42" s="176">
        <v>5500</v>
      </c>
      <c r="D42" s="176">
        <v>6000</v>
      </c>
      <c r="E42" s="176">
        <v>6500</v>
      </c>
      <c r="F42" s="176">
        <v>7000</v>
      </c>
      <c r="G42" s="176">
        <v>7500</v>
      </c>
    </row>
    <row r="43" spans="1:7">
      <c r="A43" s="206"/>
      <c r="B43" s="151" t="s">
        <v>381</v>
      </c>
      <c r="C43" s="176">
        <v>10955</v>
      </c>
      <c r="D43" s="176">
        <v>10521</v>
      </c>
      <c r="E43" s="176">
        <v>10192</v>
      </c>
      <c r="F43" s="176">
        <v>9946</v>
      </c>
      <c r="G43" s="176">
        <v>9767</v>
      </c>
    </row>
    <row r="44" spans="1:7">
      <c r="A44" s="207"/>
      <c r="B44" s="87" t="s">
        <v>312</v>
      </c>
      <c r="C44" s="176">
        <v>22996</v>
      </c>
      <c r="D44" s="176">
        <v>23706</v>
      </c>
      <c r="E44" s="176">
        <v>24463</v>
      </c>
      <c r="F44" s="176">
        <v>25265</v>
      </c>
      <c r="G44" s="176">
        <v>26108</v>
      </c>
    </row>
    <row r="45" spans="1:7">
      <c r="A45" s="205" t="s">
        <v>304</v>
      </c>
      <c r="B45" s="87" t="s">
        <v>309</v>
      </c>
      <c r="C45" s="176">
        <v>6000</v>
      </c>
      <c r="D45" s="176">
        <v>6500</v>
      </c>
      <c r="E45" s="176">
        <v>7000</v>
      </c>
      <c r="F45" s="176">
        <v>7500</v>
      </c>
      <c r="G45" s="176">
        <v>8000</v>
      </c>
    </row>
    <row r="46" spans="1:7">
      <c r="A46" s="206"/>
      <c r="B46" s="151" t="s">
        <v>381</v>
      </c>
      <c r="C46" s="176">
        <v>11333</v>
      </c>
      <c r="D46" s="176">
        <v>10942</v>
      </c>
      <c r="E46" s="176">
        <v>10643</v>
      </c>
      <c r="F46" s="176">
        <v>10417</v>
      </c>
      <c r="G46" s="176">
        <v>10250</v>
      </c>
    </row>
    <row r="47" spans="1:7">
      <c r="A47" s="207"/>
      <c r="B47" s="87" t="s">
        <v>312</v>
      </c>
      <c r="C47" s="176">
        <v>24499</v>
      </c>
      <c r="D47" s="176">
        <v>25227</v>
      </c>
      <c r="E47" s="176">
        <v>26000</v>
      </c>
      <c r="F47" s="176">
        <v>26813</v>
      </c>
      <c r="G47" s="176">
        <v>27664</v>
      </c>
    </row>
    <row r="48" spans="1:7">
      <c r="A48" s="205" t="s">
        <v>305</v>
      </c>
      <c r="B48" s="87" t="s">
        <v>309</v>
      </c>
      <c r="C48" s="176">
        <v>6500</v>
      </c>
      <c r="D48" s="176">
        <v>7000</v>
      </c>
      <c r="E48" s="176">
        <v>7500</v>
      </c>
      <c r="F48" s="176">
        <v>8000</v>
      </c>
      <c r="G48" s="176">
        <v>8500</v>
      </c>
    </row>
    <row r="49" spans="1:8">
      <c r="A49" s="206"/>
      <c r="B49" s="151" t="s">
        <v>381</v>
      </c>
      <c r="C49" s="176">
        <v>11731</v>
      </c>
      <c r="D49" s="176">
        <v>11375</v>
      </c>
      <c r="E49" s="176">
        <v>11100</v>
      </c>
      <c r="F49" s="176">
        <v>10891</v>
      </c>
      <c r="G49" s="176">
        <v>10735</v>
      </c>
    </row>
    <row r="50" spans="1:8">
      <c r="A50" s="207"/>
      <c r="B50" s="87" t="s">
        <v>312</v>
      </c>
      <c r="C50" s="176">
        <v>26010</v>
      </c>
      <c r="D50" s="176">
        <v>26754</v>
      </c>
      <c r="E50" s="176">
        <v>27539</v>
      </c>
      <c r="F50" s="176">
        <v>28362</v>
      </c>
      <c r="G50" s="176">
        <v>29222</v>
      </c>
    </row>
    <row r="51" spans="1:8">
      <c r="A51" s="205" t="s">
        <v>306</v>
      </c>
      <c r="B51" s="87" t="s">
        <v>309</v>
      </c>
      <c r="C51" s="176">
        <v>6500</v>
      </c>
      <c r="D51" s="176">
        <v>7000</v>
      </c>
      <c r="E51" s="176">
        <v>7500</v>
      </c>
      <c r="F51" s="176">
        <v>8000</v>
      </c>
      <c r="G51" s="176">
        <v>8500</v>
      </c>
      <c r="H51" s="176">
        <v>9000</v>
      </c>
    </row>
    <row r="52" spans="1:8">
      <c r="A52" s="206"/>
      <c r="B52" s="151" t="s">
        <v>381</v>
      </c>
      <c r="C52" s="176">
        <v>12558</v>
      </c>
      <c r="D52" s="176">
        <v>12143</v>
      </c>
      <c r="E52" s="176">
        <v>11817</v>
      </c>
      <c r="F52" s="176">
        <v>11562</v>
      </c>
      <c r="G52" s="176">
        <v>11368</v>
      </c>
      <c r="H52" s="176">
        <v>11222</v>
      </c>
    </row>
    <row r="53" spans="1:8">
      <c r="A53" s="207"/>
      <c r="B53" s="87" t="s">
        <v>312</v>
      </c>
      <c r="C53" s="176">
        <v>26809</v>
      </c>
      <c r="D53" s="176">
        <v>27527</v>
      </c>
      <c r="E53" s="176">
        <v>28286</v>
      </c>
      <c r="F53" s="176">
        <v>29081</v>
      </c>
      <c r="G53" s="176">
        <v>29915</v>
      </c>
      <c r="H53" s="176">
        <v>30781</v>
      </c>
    </row>
    <row r="54" spans="1:8">
      <c r="A54" s="205" t="s">
        <v>307</v>
      </c>
      <c r="B54" s="87" t="s">
        <v>309</v>
      </c>
      <c r="C54" s="176">
        <v>7000</v>
      </c>
      <c r="D54" s="176">
        <v>7500</v>
      </c>
      <c r="E54" s="176">
        <v>8000</v>
      </c>
      <c r="F54" s="176">
        <v>8500</v>
      </c>
      <c r="G54" s="176">
        <v>9000</v>
      </c>
    </row>
    <row r="55" spans="1:8">
      <c r="A55" s="206"/>
      <c r="B55" s="151" t="s">
        <v>381</v>
      </c>
      <c r="C55" s="176">
        <v>12946</v>
      </c>
      <c r="D55" s="176">
        <v>12567</v>
      </c>
      <c r="E55" s="176">
        <v>12226</v>
      </c>
      <c r="F55" s="176">
        <v>12029</v>
      </c>
      <c r="G55" s="176">
        <v>11847</v>
      </c>
    </row>
    <row r="56" spans="1:8">
      <c r="A56" s="207"/>
      <c r="B56" s="87" t="s">
        <v>312</v>
      </c>
      <c r="C56" s="176">
        <v>28315</v>
      </c>
      <c r="D56" s="176">
        <v>29050</v>
      </c>
      <c r="E56" s="176">
        <v>29820</v>
      </c>
      <c r="F56" s="176">
        <v>30627</v>
      </c>
      <c r="G56" s="176">
        <v>31468</v>
      </c>
    </row>
    <row r="57" spans="1:8">
      <c r="A57" s="205" t="s">
        <v>308</v>
      </c>
      <c r="B57" s="87" t="s">
        <v>309</v>
      </c>
      <c r="C57" s="176">
        <v>7000</v>
      </c>
      <c r="D57" s="176">
        <v>7500</v>
      </c>
      <c r="E57" s="176">
        <v>8000</v>
      </c>
      <c r="F57" s="176">
        <v>8500</v>
      </c>
      <c r="G57" s="176">
        <v>9000</v>
      </c>
      <c r="H57" s="176">
        <v>9500</v>
      </c>
    </row>
    <row r="58" spans="1:8">
      <c r="A58" s="206"/>
      <c r="B58" s="151" t="s">
        <v>381</v>
      </c>
      <c r="C58" s="176">
        <v>13786</v>
      </c>
      <c r="D58" s="176">
        <v>13350</v>
      </c>
      <c r="E58" s="176">
        <v>13000</v>
      </c>
      <c r="F58" s="176">
        <v>12720</v>
      </c>
      <c r="G58" s="176">
        <v>12500</v>
      </c>
      <c r="H58" s="176">
        <v>12329</v>
      </c>
    </row>
    <row r="59" spans="1:8">
      <c r="A59" s="207"/>
      <c r="B59" s="87" t="s">
        <v>312</v>
      </c>
      <c r="C59" s="176">
        <v>29120</v>
      </c>
      <c r="D59" s="176">
        <v>29829</v>
      </c>
      <c r="E59" s="176">
        <v>30576</v>
      </c>
      <c r="F59" s="176">
        <v>31358</v>
      </c>
      <c r="G59" s="176">
        <v>32175</v>
      </c>
      <c r="H59" s="176">
        <v>33024</v>
      </c>
    </row>
  </sheetData>
  <mergeCells count="20">
    <mergeCell ref="A33:A35"/>
    <mergeCell ref="C1:E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54:A56"/>
    <mergeCell ref="A57:A59"/>
    <mergeCell ref="A36:A38"/>
    <mergeCell ref="A39:A41"/>
    <mergeCell ref="A42:A44"/>
    <mergeCell ref="A45:A47"/>
    <mergeCell ref="A48:A50"/>
    <mergeCell ref="A51:A5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2:J95"/>
  <sheetViews>
    <sheetView topLeftCell="A2" workbookViewId="0">
      <selection activeCell="E35" sqref="E35"/>
    </sheetView>
  </sheetViews>
  <sheetFormatPr defaultRowHeight="14.4"/>
  <cols>
    <col min="1" max="1" width="65" style="1" bestFit="1" customWidth="1"/>
    <col min="2" max="2" width="14.33203125" bestFit="1" customWidth="1"/>
    <col min="3" max="3" width="14.5546875" bestFit="1" customWidth="1"/>
    <col min="4" max="4" width="13.5546875" bestFit="1" customWidth="1"/>
    <col min="5" max="5" width="12.77734375" bestFit="1" customWidth="1"/>
    <col min="6" max="6" width="11.44140625" bestFit="1" customWidth="1"/>
    <col min="8" max="8" width="9.44140625" bestFit="1" customWidth="1"/>
  </cols>
  <sheetData>
    <row r="2" spans="1:6">
      <c r="A2" s="108" t="s">
        <v>484</v>
      </c>
      <c r="B2" s="182">
        <v>23</v>
      </c>
      <c r="C2" s="10"/>
    </row>
    <row r="3" spans="1:6">
      <c r="A3" s="108" t="s">
        <v>485</v>
      </c>
      <c r="B3" s="182">
        <v>9</v>
      </c>
      <c r="C3" s="10"/>
    </row>
    <row r="4" spans="1:6">
      <c r="A4" s="108" t="s">
        <v>486</v>
      </c>
      <c r="B4" s="182">
        <v>50</v>
      </c>
      <c r="C4" s="10"/>
    </row>
    <row r="5" spans="1:6">
      <c r="A5" s="108" t="s">
        <v>502</v>
      </c>
      <c r="B5" s="182">
        <f>B2*B4</f>
        <v>1150</v>
      </c>
      <c r="C5" s="10"/>
    </row>
    <row r="6" spans="1:6">
      <c r="A6" s="108" t="s">
        <v>503</v>
      </c>
      <c r="B6" s="182">
        <f>(B2+B4)*2</f>
        <v>146</v>
      </c>
      <c r="C6" s="10"/>
    </row>
    <row r="7" spans="1:6" ht="28.8">
      <c r="A7" s="108" t="s">
        <v>494</v>
      </c>
      <c r="B7" s="182">
        <v>1.5</v>
      </c>
      <c r="C7" s="183">
        <v>46000</v>
      </c>
      <c r="D7" s="183">
        <v>10000</v>
      </c>
      <c r="E7" s="183">
        <v>11000</v>
      </c>
    </row>
    <row r="8" spans="1:6" ht="28.8">
      <c r="A8" s="108" t="s">
        <v>495</v>
      </c>
      <c r="B8" s="182">
        <v>1</v>
      </c>
      <c r="C8" s="183">
        <v>46000</v>
      </c>
      <c r="D8" s="183">
        <v>10000</v>
      </c>
      <c r="E8" s="183">
        <v>11000</v>
      </c>
    </row>
    <row r="9" spans="1:6" ht="28.8">
      <c r="A9" s="108" t="s">
        <v>504</v>
      </c>
      <c r="B9" s="182">
        <v>4</v>
      </c>
      <c r="C9" s="182">
        <v>4</v>
      </c>
      <c r="D9" s="183">
        <v>20</v>
      </c>
      <c r="E9" s="183">
        <v>5</v>
      </c>
      <c r="F9" s="183">
        <v>6</v>
      </c>
    </row>
    <row r="10" spans="1:6">
      <c r="A10" s="108" t="s">
        <v>488</v>
      </c>
      <c r="B10" s="182"/>
      <c r="C10" s="184"/>
    </row>
    <row r="11" spans="1:6">
      <c r="A11" s="108" t="s">
        <v>489</v>
      </c>
      <c r="B11" s="182"/>
      <c r="C11" s="10"/>
    </row>
    <row r="12" spans="1:6">
      <c r="A12" s="108" t="s">
        <v>487</v>
      </c>
      <c r="B12" s="182"/>
      <c r="C12" s="10"/>
    </row>
    <row r="13" spans="1:6">
      <c r="A13" s="108" t="s">
        <v>490</v>
      </c>
      <c r="B13" s="182"/>
      <c r="C13" s="10"/>
    </row>
    <row r="14" spans="1:6">
      <c r="A14" s="108" t="s">
        <v>491</v>
      </c>
      <c r="B14" s="182"/>
      <c r="C14" s="10"/>
    </row>
    <row r="15" spans="1:6" ht="28.8">
      <c r="A15" s="108" t="s">
        <v>497</v>
      </c>
      <c r="B15" s="182" t="s">
        <v>492</v>
      </c>
      <c r="C15" s="183">
        <v>100</v>
      </c>
    </row>
    <row r="16" spans="1:6" ht="28.8">
      <c r="A16" s="1" t="s">
        <v>325</v>
      </c>
      <c r="C16" s="191" t="s">
        <v>517</v>
      </c>
      <c r="E16" s="191" t="s">
        <v>518</v>
      </c>
    </row>
    <row r="17" spans="1:7">
      <c r="A17" s="185" t="s">
        <v>516</v>
      </c>
      <c r="B17" s="90">
        <f>(B4/0.3)+2</f>
        <v>168.66666666666669</v>
      </c>
      <c r="C17" s="194">
        <f>B17/5</f>
        <v>33.733333333333334</v>
      </c>
      <c r="D17" s="193">
        <f>B19*5</f>
        <v>1139.9431459934633</v>
      </c>
      <c r="E17" s="192">
        <f>(B19*5)/1000</f>
        <v>1.1399431459934632</v>
      </c>
      <c r="F17">
        <f>38/E17</f>
        <v>33.334995814096416</v>
      </c>
    </row>
    <row r="18" spans="1:7">
      <c r="A18" s="185" t="s">
        <v>513</v>
      </c>
      <c r="B18" s="90">
        <f>(8.05*B7)*0.6</f>
        <v>7.2450000000000001</v>
      </c>
    </row>
    <row r="19" spans="1:7">
      <c r="A19" s="185" t="s">
        <v>514</v>
      </c>
      <c r="B19" s="90">
        <f>B18*C47</f>
        <v>227.98862919869268</v>
      </c>
    </row>
    <row r="21" spans="1:7">
      <c r="A21" s="1" t="s">
        <v>326</v>
      </c>
      <c r="C21" s="211" t="s">
        <v>329</v>
      </c>
      <c r="D21" s="211"/>
      <c r="E21" s="211"/>
      <c r="F21" s="211"/>
      <c r="G21" s="211"/>
    </row>
    <row r="22" spans="1:7">
      <c r="A22" s="185" t="s">
        <v>311</v>
      </c>
      <c r="B22" s="97">
        <f>C53</f>
        <v>153.66356654635845</v>
      </c>
      <c r="C22" s="101" t="s">
        <v>391</v>
      </c>
      <c r="D22" s="101" t="s">
        <v>392</v>
      </c>
      <c r="E22" s="101" t="s">
        <v>393</v>
      </c>
      <c r="F22" s="101" t="s">
        <v>394</v>
      </c>
      <c r="G22" s="101" t="s">
        <v>395</v>
      </c>
    </row>
    <row r="23" spans="1:7">
      <c r="A23" s="185" t="s">
        <v>327</v>
      </c>
      <c r="B23" s="97">
        <f>(8.05*B8)</f>
        <v>8.0500000000000007</v>
      </c>
      <c r="C23" s="101">
        <f>C64</f>
        <v>6</v>
      </c>
      <c r="D23" s="101">
        <f>C70</f>
        <v>9</v>
      </c>
      <c r="E23" s="101">
        <f>C76</f>
        <v>10.5</v>
      </c>
      <c r="F23" s="101">
        <f>C82</f>
        <v>16</v>
      </c>
      <c r="G23" s="101">
        <f>C88</f>
        <v>18</v>
      </c>
    </row>
    <row r="24" spans="1:7">
      <c r="A24" s="185" t="s">
        <v>328</v>
      </c>
      <c r="B24" s="97">
        <f>B22*B23*2*1.05</f>
        <v>2597.6825924661898</v>
      </c>
      <c r="C24" s="101">
        <f>(C23*2)*B23</f>
        <v>96.600000000000009</v>
      </c>
      <c r="D24" s="101">
        <f>(D23*2)*B23</f>
        <v>144.9</v>
      </c>
      <c r="E24" s="101">
        <f>(E23*2)*B23</f>
        <v>169.05</v>
      </c>
      <c r="F24" s="101">
        <f>(F23*2)*B23</f>
        <v>257.60000000000002</v>
      </c>
      <c r="G24" s="101">
        <f>(G23*2)*B23</f>
        <v>289.8</v>
      </c>
    </row>
    <row r="25" spans="1:7">
      <c r="A25" s="186"/>
      <c r="B25" s="104"/>
      <c r="C25" s="105"/>
      <c r="D25" s="105"/>
      <c r="E25" s="105"/>
      <c r="F25" s="105"/>
      <c r="G25" s="105"/>
    </row>
    <row r="27" spans="1:7">
      <c r="A27" s="30"/>
      <c r="B27" s="55" t="s">
        <v>317</v>
      </c>
      <c r="C27" s="55" t="s">
        <v>318</v>
      </c>
      <c r="D27" s="55" t="s">
        <v>324</v>
      </c>
    </row>
    <row r="28" spans="1:7">
      <c r="A28" s="185" t="s">
        <v>314</v>
      </c>
      <c r="B28" s="57">
        <f>B31+B33</f>
        <v>31833</v>
      </c>
      <c r="C28" s="57">
        <f>C32+C34+C35</f>
        <v>14000</v>
      </c>
      <c r="D28" s="57">
        <f>B28+C28</f>
        <v>45833</v>
      </c>
    </row>
    <row r="29" spans="1:7">
      <c r="A29" s="185" t="s">
        <v>315</v>
      </c>
      <c r="B29" s="57">
        <f>B31+(B33*1.125)</f>
        <v>33548.875</v>
      </c>
      <c r="C29" s="57">
        <f>C32+C34+C35</f>
        <v>14000</v>
      </c>
      <c r="D29" s="57">
        <f>B29+C29</f>
        <v>47548.875</v>
      </c>
    </row>
    <row r="30" spans="1:7">
      <c r="A30" s="185" t="s">
        <v>316</v>
      </c>
      <c r="B30" s="57">
        <f>B31+(B33/2)</f>
        <v>24969.5</v>
      </c>
      <c r="C30" s="57">
        <f>C32+C34+C35</f>
        <v>14000</v>
      </c>
      <c r="D30" s="57">
        <f>B30+C30</f>
        <v>38969.5</v>
      </c>
    </row>
    <row r="31" spans="1:7">
      <c r="A31" s="30" t="s">
        <v>323</v>
      </c>
      <c r="B31" s="56">
        <v>18106</v>
      </c>
      <c r="C31" s="56"/>
      <c r="D31" s="56"/>
    </row>
    <row r="32" spans="1:7">
      <c r="A32" s="30" t="s">
        <v>322</v>
      </c>
      <c r="B32" s="56"/>
      <c r="C32" s="56">
        <v>5500</v>
      </c>
      <c r="D32" s="56"/>
    </row>
    <row r="33" spans="1:10">
      <c r="A33" s="30" t="s">
        <v>319</v>
      </c>
      <c r="B33" s="56">
        <v>13727</v>
      </c>
      <c r="C33" s="56"/>
      <c r="D33" s="56"/>
    </row>
    <row r="34" spans="1:10">
      <c r="A34" s="30" t="s">
        <v>320</v>
      </c>
      <c r="B34" s="56"/>
      <c r="C34" s="56">
        <v>6000</v>
      </c>
      <c r="D34" s="56"/>
    </row>
    <row r="35" spans="1:10">
      <c r="A35" s="30" t="s">
        <v>321</v>
      </c>
      <c r="B35" s="56"/>
      <c r="C35" s="56">
        <v>2500</v>
      </c>
      <c r="D35" s="56"/>
    </row>
    <row r="36" spans="1:10">
      <c r="A36" s="108" t="s">
        <v>361</v>
      </c>
      <c r="B36" s="10">
        <f>(13.52+20.58)*7.8</f>
        <v>265.97999999999996</v>
      </c>
      <c r="C36" s="10">
        <v>46</v>
      </c>
      <c r="D36" s="10">
        <f>B36*C36*1.2</f>
        <v>14682.095999999998</v>
      </c>
    </row>
    <row r="37" spans="1:10">
      <c r="B37" t="s">
        <v>19</v>
      </c>
      <c r="C37" t="s">
        <v>341</v>
      </c>
      <c r="D37" t="s">
        <v>342</v>
      </c>
      <c r="E37" s="218" t="s">
        <v>409</v>
      </c>
      <c r="F37" s="218"/>
    </row>
    <row r="38" spans="1:10">
      <c r="A38" s="33" t="s">
        <v>339</v>
      </c>
      <c r="B38" s="56">
        <v>680</v>
      </c>
      <c r="C38" s="60">
        <f>B38*0.2</f>
        <v>136</v>
      </c>
      <c r="D38" s="60">
        <f>B38-C38</f>
        <v>544</v>
      </c>
      <c r="E38" s="10"/>
      <c r="F38" s="98">
        <f>C47*Заявка!B10</f>
        <v>1573.4204913643387</v>
      </c>
    </row>
    <row r="39" spans="1:10">
      <c r="A39" s="33" t="s">
        <v>340</v>
      </c>
      <c r="B39" s="56">
        <v>850</v>
      </c>
      <c r="C39" s="60">
        <f>B39*0.2</f>
        <v>170</v>
      </c>
      <c r="D39" s="60">
        <f>B39-C39</f>
        <v>680</v>
      </c>
      <c r="E39" s="10"/>
      <c r="F39" s="98">
        <f>C47*Заявка!B10</f>
        <v>1573.4204913643387</v>
      </c>
    </row>
    <row r="40" spans="1:10">
      <c r="A40" s="33" t="s">
        <v>460</v>
      </c>
      <c r="B40" s="60">
        <f>150+60</f>
        <v>210</v>
      </c>
      <c r="C40" s="60">
        <v>150</v>
      </c>
      <c r="D40" s="60">
        <f>B40+C40</f>
        <v>360</v>
      </c>
      <c r="F40" s="98">
        <f>(Заявка!B10*РАСЧЕТЫ!C47)+C53+C59</f>
        <v>1880.7476244570555</v>
      </c>
      <c r="H40">
        <v>35</v>
      </c>
      <c r="I40">
        <f>(C47/0.6)*Заявка!B10</f>
        <v>2622.3674856072312</v>
      </c>
      <c r="J40">
        <f>H40*I40</f>
        <v>91782.861996253094</v>
      </c>
    </row>
    <row r="41" spans="1:10">
      <c r="B41" s="215" t="s">
        <v>498</v>
      </c>
      <c r="C41" s="215"/>
      <c r="D41" t="s">
        <v>464</v>
      </c>
      <c r="I41">
        <f>J40/F39</f>
        <v>58.333333333333336</v>
      </c>
    </row>
    <row r="42" spans="1:10">
      <c r="B42" s="182" t="s">
        <v>380</v>
      </c>
      <c r="C42" s="182">
        <f>B2</f>
        <v>23</v>
      </c>
    </row>
    <row r="43" spans="1:10">
      <c r="B43" s="182" t="s">
        <v>309</v>
      </c>
      <c r="C43" s="182">
        <f>B3</f>
        <v>9</v>
      </c>
    </row>
    <row r="44" spans="1:10">
      <c r="B44" s="182"/>
      <c r="C44" s="182"/>
    </row>
    <row r="45" spans="1:10">
      <c r="B45" s="182" t="s">
        <v>381</v>
      </c>
      <c r="C45" s="187">
        <f>(C43/2)+((C42*C42)/(8*C43))</f>
        <v>11.847222222222221</v>
      </c>
    </row>
    <row r="46" spans="1:10">
      <c r="B46" s="182" t="s">
        <v>382</v>
      </c>
      <c r="C46" s="187">
        <f>2*ASIN(C42/(2*C45))</f>
        <v>2.6561846513067384</v>
      </c>
    </row>
    <row r="47" spans="1:10">
      <c r="B47" s="182" t="s">
        <v>383</v>
      </c>
      <c r="C47" s="187">
        <f>C46*C45</f>
        <v>31.468409827286774</v>
      </c>
    </row>
    <row r="49" spans="2:6">
      <c r="B49" s="212" t="s">
        <v>499</v>
      </c>
      <c r="C49" s="212"/>
      <c r="E49" s="212" t="s">
        <v>505</v>
      </c>
      <c r="F49" s="212"/>
    </row>
    <row r="50" spans="2:6">
      <c r="B50" s="182"/>
      <c r="C50" s="187">
        <v>0.5</v>
      </c>
      <c r="E50" s="182" t="s">
        <v>506</v>
      </c>
      <c r="F50" s="187">
        <f>B23*C53*2</f>
        <v>2473.9834213963713</v>
      </c>
    </row>
    <row r="51" spans="2:6" ht="43.2">
      <c r="B51" s="182"/>
      <c r="C51" s="187">
        <f>C45*C45</f>
        <v>140.35667438271602</v>
      </c>
      <c r="E51" s="189" t="s">
        <v>507</v>
      </c>
      <c r="F51" s="187">
        <f>F50-((Заявка!B14*C24)+(Заявка!B15*D24)+(Заявка!B16*E24)+(Заявка!B17*F24)+(Заявка!B18*G24))+(C47*8)</f>
        <v>2468.1307000146658</v>
      </c>
    </row>
    <row r="52" spans="2:6">
      <c r="B52" s="182"/>
      <c r="C52" s="187">
        <f>C46-SIN(C46)</f>
        <v>2.1896153812729704</v>
      </c>
      <c r="F52" s="102">
        <f>F50-F51</f>
        <v>5.8527213817055781</v>
      </c>
    </row>
    <row r="53" spans="2:6">
      <c r="B53" s="182" t="s">
        <v>502</v>
      </c>
      <c r="C53" s="187">
        <f>C50*C51*C52</f>
        <v>153.66356654635845</v>
      </c>
    </row>
    <row r="55" spans="2:6">
      <c r="B55" s="212" t="s">
        <v>500</v>
      </c>
      <c r="C55" s="212"/>
      <c r="E55" s="212" t="s">
        <v>399</v>
      </c>
      <c r="F55" s="212"/>
    </row>
    <row r="56" spans="2:6">
      <c r="B56" s="182"/>
      <c r="C56" s="187">
        <v>0.5</v>
      </c>
      <c r="E56" s="182" t="s">
        <v>506</v>
      </c>
      <c r="F56" s="187">
        <f>B23*C59*2*1.05</f>
        <v>2597.6825924661898</v>
      </c>
    </row>
    <row r="57" spans="2:6" ht="43.2">
      <c r="B57" s="182"/>
      <c r="C57" s="187">
        <f>C45*C45</f>
        <v>140.35667438271602</v>
      </c>
      <c r="E57" s="189" t="s">
        <v>507</v>
      </c>
      <c r="F57" s="187">
        <f>F56-((Заявка!B23*C24)+(Заявка!B24*D24)+(Заявка!B25*E24)+(Заявка!B26*F24)+(Заявка!B27*G24))+(C47*8)</f>
        <v>2849.4298710844841</v>
      </c>
    </row>
    <row r="58" spans="2:6">
      <c r="B58" s="182"/>
      <c r="C58" s="187">
        <f>C46-SIN(C46)</f>
        <v>2.1896153812729704</v>
      </c>
      <c r="F58" s="102">
        <f>F56-F57</f>
        <v>-251.74727861829433</v>
      </c>
    </row>
    <row r="59" spans="2:6">
      <c r="B59" s="182" t="s">
        <v>502</v>
      </c>
      <c r="C59" s="188">
        <f>C56*C57*C58</f>
        <v>153.66356654635845</v>
      </c>
      <c r="D59" s="168" t="s">
        <v>453</v>
      </c>
    </row>
    <row r="60" spans="2:6" ht="15" thickBot="1">
      <c r="D60" s="168">
        <v>19</v>
      </c>
      <c r="E60">
        <v>36</v>
      </c>
    </row>
    <row r="61" spans="2:6" ht="30.6" customHeight="1">
      <c r="B61" s="216" t="s">
        <v>387</v>
      </c>
      <c r="C61" s="217"/>
      <c r="D61" s="167" t="s">
        <v>452</v>
      </c>
    </row>
    <row r="62" spans="2:6">
      <c r="B62" s="99" t="s">
        <v>380</v>
      </c>
      <c r="C62" s="166">
        <v>2</v>
      </c>
      <c r="D62" s="10">
        <f>((C63+0.2)*2)+C62</f>
        <v>8.4</v>
      </c>
    </row>
    <row r="63" spans="2:6">
      <c r="B63" s="99" t="s">
        <v>309</v>
      </c>
      <c r="C63" s="166">
        <v>3</v>
      </c>
      <c r="D63" s="10">
        <f>D62*D60*E60</f>
        <v>5745.5999999999995</v>
      </c>
    </row>
    <row r="64" spans="2:6">
      <c r="B64" s="99" t="s">
        <v>385</v>
      </c>
      <c r="C64" s="166">
        <f>C62*C63</f>
        <v>6</v>
      </c>
      <c r="D64" s="147"/>
    </row>
    <row r="65" spans="2:7">
      <c r="B65" s="99" t="s">
        <v>408</v>
      </c>
      <c r="C65" s="110">
        <f>C89/C88*C64</f>
        <v>4666.666666666667</v>
      </c>
      <c r="E65" s="212" t="s">
        <v>515</v>
      </c>
      <c r="F65" s="212"/>
      <c r="G65" s="182" t="s">
        <v>405</v>
      </c>
    </row>
    <row r="66" spans="2:7">
      <c r="B66" s="99" t="s">
        <v>386</v>
      </c>
      <c r="C66" s="110">
        <f>C90/C88*C64</f>
        <v>20393.723333333332</v>
      </c>
      <c r="E66" s="182"/>
      <c r="F66" s="190" t="s">
        <v>317</v>
      </c>
      <c r="G66" s="190" t="s">
        <v>318</v>
      </c>
    </row>
    <row r="67" spans="2:7">
      <c r="B67" s="213" t="s">
        <v>388</v>
      </c>
      <c r="C67" s="214"/>
      <c r="D67" s="167"/>
      <c r="E67" s="182" t="s">
        <v>401</v>
      </c>
      <c r="F67" s="187">
        <f>Фундамент!B20</f>
        <v>1285.3939733333336</v>
      </c>
      <c r="G67" s="182">
        <f>Фундамент!B10</f>
        <v>1492.4</v>
      </c>
    </row>
    <row r="68" spans="2:7">
      <c r="B68" s="99" t="s">
        <v>380</v>
      </c>
      <c r="C68" s="100">
        <v>3</v>
      </c>
      <c r="D68" s="10">
        <f>((C69+0.2)*2)+C68</f>
        <v>9.4</v>
      </c>
      <c r="E68" s="10" t="s">
        <v>402</v>
      </c>
      <c r="F68" s="107">
        <f>Фундамент!B20+Фундамент!B32</f>
        <v>1579.0683533333336</v>
      </c>
      <c r="G68" s="139">
        <f>Фундамент!B10+Фундамент!B27</f>
        <v>1932.2240000000002</v>
      </c>
    </row>
    <row r="69" spans="2:7">
      <c r="B69" s="99" t="s">
        <v>309</v>
      </c>
      <c r="C69" s="100">
        <v>3</v>
      </c>
      <c r="D69" s="10">
        <f>D68*D60*E60</f>
        <v>6429.5999999999995</v>
      </c>
      <c r="E69" s="10" t="s">
        <v>403</v>
      </c>
      <c r="F69" s="107">
        <f>Фундамент!B20+Фундамент!B49</f>
        <v>1789.0606400000001</v>
      </c>
      <c r="G69" s="106">
        <f>Фундамент!B10+Фундамент!B42</f>
        <v>2161.4</v>
      </c>
    </row>
    <row r="70" spans="2:7">
      <c r="B70" s="99" t="s">
        <v>385</v>
      </c>
      <c r="C70" s="100">
        <f>C68*C69</f>
        <v>9</v>
      </c>
      <c r="D70" s="147"/>
      <c r="E70" s="10" t="s">
        <v>404</v>
      </c>
      <c r="F70" s="107">
        <f>Фундамент!B70</f>
        <v>2372.0909600000005</v>
      </c>
      <c r="G70" s="106">
        <f>Фундамент!B60</f>
        <v>1492.4</v>
      </c>
    </row>
    <row r="71" spans="2:7">
      <c r="B71" s="99" t="s">
        <v>408</v>
      </c>
      <c r="C71" s="110">
        <f>C89/C88*C70</f>
        <v>7000</v>
      </c>
    </row>
    <row r="72" spans="2:7">
      <c r="B72" s="99" t="s">
        <v>386</v>
      </c>
      <c r="C72" s="110">
        <f>C90/C88*C70</f>
        <v>30590.584999999999</v>
      </c>
    </row>
    <row r="73" spans="2:7">
      <c r="B73" s="213" t="s">
        <v>389</v>
      </c>
      <c r="C73" s="214"/>
      <c r="D73" s="167"/>
    </row>
    <row r="74" spans="2:7">
      <c r="B74" s="99" t="s">
        <v>380</v>
      </c>
      <c r="C74" s="100">
        <v>3</v>
      </c>
      <c r="D74" s="10">
        <f>((C75+0.2)*2)+C74</f>
        <v>10.4</v>
      </c>
    </row>
    <row r="75" spans="2:7">
      <c r="B75" s="99" t="s">
        <v>309</v>
      </c>
      <c r="C75" s="100">
        <v>3.5</v>
      </c>
      <c r="D75" s="10">
        <f>D74*D60*E60</f>
        <v>7113.5999999999995</v>
      </c>
    </row>
    <row r="76" spans="2:7">
      <c r="B76" s="99" t="s">
        <v>385</v>
      </c>
      <c r="C76" s="100">
        <f>C74*C75</f>
        <v>10.5</v>
      </c>
      <c r="D76" s="147"/>
    </row>
    <row r="77" spans="2:7">
      <c r="B77" s="99" t="s">
        <v>408</v>
      </c>
      <c r="C77" s="110">
        <f>C89/C88*C76</f>
        <v>8166.666666666667</v>
      </c>
    </row>
    <row r="78" spans="2:7">
      <c r="B78" s="99" t="s">
        <v>386</v>
      </c>
      <c r="C78" s="110">
        <f>C90/C88*C76</f>
        <v>35689.015833333331</v>
      </c>
    </row>
    <row r="79" spans="2:7">
      <c r="B79" s="213" t="s">
        <v>390</v>
      </c>
      <c r="C79" s="214"/>
      <c r="D79" s="167"/>
    </row>
    <row r="80" spans="2:7">
      <c r="B80" s="99" t="s">
        <v>380</v>
      </c>
      <c r="C80" s="100">
        <v>4</v>
      </c>
      <c r="D80" s="10">
        <f>((C81+0.2)*2)+C80</f>
        <v>12.4</v>
      </c>
    </row>
    <row r="81" spans="2:4">
      <c r="B81" s="99" t="s">
        <v>309</v>
      </c>
      <c r="C81" s="100">
        <v>4</v>
      </c>
      <c r="D81" s="10">
        <f>D80*D60*E60</f>
        <v>8481.6</v>
      </c>
    </row>
    <row r="82" spans="2:4">
      <c r="B82" s="99" t="s">
        <v>385</v>
      </c>
      <c r="C82" s="100">
        <f>C80*C81</f>
        <v>16</v>
      </c>
      <c r="D82" s="147"/>
    </row>
    <row r="83" spans="2:4">
      <c r="B83" s="99" t="s">
        <v>408</v>
      </c>
      <c r="C83" s="110">
        <f>C89/C88*C82</f>
        <v>12444.444444444445</v>
      </c>
    </row>
    <row r="84" spans="2:4">
      <c r="B84" s="99" t="s">
        <v>386</v>
      </c>
      <c r="C84" s="110">
        <f>C90/C88*C82</f>
        <v>54383.26222222222</v>
      </c>
    </row>
    <row r="85" spans="2:4">
      <c r="B85" s="213" t="s">
        <v>384</v>
      </c>
      <c r="C85" s="214"/>
      <c r="D85" s="167"/>
    </row>
    <row r="86" spans="2:4">
      <c r="B86" s="99" t="s">
        <v>380</v>
      </c>
      <c r="C86" s="100">
        <v>4</v>
      </c>
      <c r="D86" s="10">
        <f>((C87+0.2)*2)+C86</f>
        <v>13.4</v>
      </c>
    </row>
    <row r="87" spans="2:4">
      <c r="B87" s="99" t="s">
        <v>309</v>
      </c>
      <c r="C87" s="100">
        <v>4.5</v>
      </c>
      <c r="D87" s="10">
        <f>D86*D60*E60</f>
        <v>9165.6</v>
      </c>
    </row>
    <row r="88" spans="2:4">
      <c r="B88" s="99" t="s">
        <v>385</v>
      </c>
      <c r="C88" s="100">
        <f>C86*C87</f>
        <v>18</v>
      </c>
      <c r="D88" s="147"/>
    </row>
    <row r="89" spans="2:4">
      <c r="B89" s="99" t="s">
        <v>408</v>
      </c>
      <c r="C89" s="109">
        <v>14000</v>
      </c>
    </row>
    <row r="90" spans="2:4">
      <c r="B90" s="99" t="s">
        <v>386</v>
      </c>
      <c r="C90" s="150">
        <v>61181.17</v>
      </c>
    </row>
    <row r="92" spans="2:4">
      <c r="B92" s="209" t="s">
        <v>501</v>
      </c>
      <c r="C92" s="210"/>
    </row>
    <row r="93" spans="2:4">
      <c r="B93" s="10" t="s">
        <v>510</v>
      </c>
      <c r="C93" s="98">
        <f>B6</f>
        <v>146</v>
      </c>
    </row>
    <row r="94" spans="2:4" ht="43.2">
      <c r="B94" s="30" t="s">
        <v>511</v>
      </c>
      <c r="C94" s="187">
        <f>C93-B9</f>
        <v>142</v>
      </c>
    </row>
    <row r="95" spans="2:4" ht="43.2">
      <c r="B95" s="30" t="s">
        <v>512</v>
      </c>
      <c r="C95" s="182">
        <v>1.0919999999999999E-2</v>
      </c>
    </row>
  </sheetData>
  <mergeCells count="14">
    <mergeCell ref="B92:C92"/>
    <mergeCell ref="C21:G21"/>
    <mergeCell ref="E49:F49"/>
    <mergeCell ref="E55:F55"/>
    <mergeCell ref="B85:C85"/>
    <mergeCell ref="B41:C41"/>
    <mergeCell ref="B49:C49"/>
    <mergeCell ref="B55:C55"/>
    <mergeCell ref="B61:C61"/>
    <mergeCell ref="E65:F65"/>
    <mergeCell ref="E37:F37"/>
    <mergeCell ref="B67:C67"/>
    <mergeCell ref="B73:C73"/>
    <mergeCell ref="B79:C7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0"/>
  <sheetViews>
    <sheetView topLeftCell="A11" workbookViewId="0">
      <selection activeCell="I27" sqref="I27"/>
    </sheetView>
  </sheetViews>
  <sheetFormatPr defaultRowHeight="14.4"/>
  <cols>
    <col min="1" max="1" width="54.77734375" bestFit="1" customWidth="1"/>
    <col min="2" max="3" width="13.88671875" customWidth="1"/>
    <col min="4" max="4" width="14.109375" bestFit="1" customWidth="1"/>
    <col min="5" max="5" width="20.21875" customWidth="1"/>
  </cols>
  <sheetData>
    <row r="1" spans="1:8">
      <c r="A1" s="180" t="s">
        <v>482</v>
      </c>
      <c r="B1" s="124"/>
      <c r="C1" s="124"/>
      <c r="D1" s="124"/>
      <c r="E1" s="124"/>
      <c r="F1" s="125"/>
    </row>
    <row r="2" spans="1:8">
      <c r="A2" s="126" t="s">
        <v>5</v>
      </c>
      <c r="B2" s="119" t="s">
        <v>2</v>
      </c>
      <c r="C2" s="119" t="s">
        <v>17</v>
      </c>
      <c r="D2" s="119" t="s">
        <v>10</v>
      </c>
      <c r="E2" s="119" t="s">
        <v>14</v>
      </c>
      <c r="F2" s="127"/>
    </row>
    <row r="3" spans="1:8">
      <c r="A3" s="128" t="s">
        <v>4</v>
      </c>
      <c r="B3" s="141">
        <f>C3*E3</f>
        <v>280</v>
      </c>
      <c r="C3" s="7">
        <v>700</v>
      </c>
      <c r="D3" s="12" t="s">
        <v>419</v>
      </c>
      <c r="E3" s="12">
        <f>0.8*0.5*1</f>
        <v>0.4</v>
      </c>
      <c r="F3" s="129" t="s">
        <v>16</v>
      </c>
    </row>
    <row r="4" spans="1:8">
      <c r="A4" s="130" t="s">
        <v>12</v>
      </c>
      <c r="B4" s="3">
        <f t="shared" ref="B4:B9" si="0">C4*E4</f>
        <v>85</v>
      </c>
      <c r="C4" s="3">
        <v>425</v>
      </c>
      <c r="D4" s="10" t="s">
        <v>11</v>
      </c>
      <c r="E4" s="10">
        <v>0.2</v>
      </c>
      <c r="F4" s="127" t="s">
        <v>19</v>
      </c>
    </row>
    <row r="5" spans="1:8">
      <c r="A5" s="128" t="s">
        <v>6</v>
      </c>
      <c r="B5" s="7">
        <f t="shared" si="0"/>
        <v>375</v>
      </c>
      <c r="C5" s="7">
        <v>625</v>
      </c>
      <c r="D5" s="12" t="s">
        <v>13</v>
      </c>
      <c r="E5" s="12">
        <v>0.6</v>
      </c>
      <c r="F5" s="129"/>
    </row>
    <row r="6" spans="1:8">
      <c r="A6" s="128" t="s">
        <v>7</v>
      </c>
      <c r="B6" s="7">
        <f t="shared" si="0"/>
        <v>340</v>
      </c>
      <c r="C6" s="7">
        <v>425</v>
      </c>
      <c r="D6" s="12" t="s">
        <v>18</v>
      </c>
      <c r="E6" s="12">
        <v>0.8</v>
      </c>
      <c r="F6" s="129" t="s">
        <v>19</v>
      </c>
    </row>
    <row r="7" spans="1:8">
      <c r="A7" s="130" t="s">
        <v>15</v>
      </c>
      <c r="B7" s="3">
        <f t="shared" si="0"/>
        <v>10</v>
      </c>
      <c r="C7" s="3">
        <v>10</v>
      </c>
      <c r="D7" s="10">
        <v>1000</v>
      </c>
      <c r="E7" s="10">
        <v>1</v>
      </c>
      <c r="F7" s="127" t="s">
        <v>20</v>
      </c>
    </row>
    <row r="8" spans="1:8">
      <c r="A8" s="128" t="s">
        <v>8</v>
      </c>
      <c r="B8" s="7">
        <f t="shared" si="0"/>
        <v>172</v>
      </c>
      <c r="C8" s="7">
        <v>43</v>
      </c>
      <c r="D8" s="12">
        <v>1000</v>
      </c>
      <c r="E8" s="12">
        <v>4</v>
      </c>
      <c r="F8" s="129" t="s">
        <v>0</v>
      </c>
    </row>
    <row r="9" spans="1:8">
      <c r="A9" s="128" t="s">
        <v>9</v>
      </c>
      <c r="B9" s="7">
        <f t="shared" si="0"/>
        <v>230.39999999999998</v>
      </c>
      <c r="C9" s="7">
        <v>960</v>
      </c>
      <c r="D9" s="12" t="s">
        <v>21</v>
      </c>
      <c r="E9" s="12">
        <f>0.6*0.4*1</f>
        <v>0.24</v>
      </c>
      <c r="F9" s="129" t="s">
        <v>16</v>
      </c>
    </row>
    <row r="10" spans="1:8">
      <c r="A10" s="131"/>
      <c r="B10" s="11">
        <f>SUM(B3:B9)</f>
        <v>1492.4</v>
      </c>
      <c r="C10" s="132"/>
      <c r="D10" s="132"/>
      <c r="E10" s="132"/>
      <c r="F10" s="133"/>
    </row>
    <row r="11" spans="1:8">
      <c r="A11" s="131"/>
      <c r="B11" s="132"/>
      <c r="C11" s="132"/>
      <c r="D11" s="132"/>
      <c r="E11" s="132"/>
      <c r="F11" s="133"/>
    </row>
    <row r="12" spans="1:8">
      <c r="A12" s="126" t="s">
        <v>27</v>
      </c>
      <c r="B12" s="119" t="s">
        <v>2</v>
      </c>
      <c r="C12" s="119" t="s">
        <v>17</v>
      </c>
      <c r="D12" s="119" t="s">
        <v>10</v>
      </c>
      <c r="E12" s="119" t="s">
        <v>14</v>
      </c>
      <c r="F12" s="127"/>
      <c r="H12" s="142">
        <f>B10+B20</f>
        <v>2777.7939733333337</v>
      </c>
    </row>
    <row r="13" spans="1:8" ht="26.4">
      <c r="A13" s="130" t="s">
        <v>418</v>
      </c>
      <c r="B13" s="3">
        <f t="shared" ref="B13:B19" si="1">C13*E13</f>
        <v>50</v>
      </c>
      <c r="C13" s="3">
        <f>150/6</f>
        <v>25</v>
      </c>
      <c r="D13" s="13" t="s">
        <v>11</v>
      </c>
      <c r="E13" s="13">
        <v>2</v>
      </c>
      <c r="F13" s="134" t="s">
        <v>19</v>
      </c>
    </row>
    <row r="14" spans="1:8">
      <c r="A14" s="130" t="s">
        <v>22</v>
      </c>
      <c r="B14" s="3">
        <f t="shared" si="1"/>
        <v>174</v>
      </c>
      <c r="C14" s="3">
        <v>2900</v>
      </c>
      <c r="D14" s="13" t="s">
        <v>13</v>
      </c>
      <c r="E14" s="13">
        <v>0.06</v>
      </c>
      <c r="F14" s="134" t="s">
        <v>16</v>
      </c>
    </row>
    <row r="15" spans="1:8" ht="26.4">
      <c r="A15" s="130" t="s">
        <v>417</v>
      </c>
      <c r="B15" s="3">
        <f t="shared" si="1"/>
        <v>233.33333333333334</v>
      </c>
      <c r="C15" s="3">
        <f>350/6</f>
        <v>58.333333333333336</v>
      </c>
      <c r="D15" s="13" t="s">
        <v>18</v>
      </c>
      <c r="E15" s="13">
        <v>4</v>
      </c>
      <c r="F15" s="134" t="s">
        <v>0</v>
      </c>
    </row>
    <row r="16" spans="1:8">
      <c r="A16" s="130" t="s">
        <v>23</v>
      </c>
      <c r="B16" s="3">
        <f t="shared" si="1"/>
        <v>126.67200000000001</v>
      </c>
      <c r="C16" s="3">
        <v>33.6</v>
      </c>
      <c r="D16" s="13">
        <v>1</v>
      </c>
      <c r="E16" s="13">
        <v>3.77</v>
      </c>
      <c r="F16" s="134" t="s">
        <v>20</v>
      </c>
    </row>
    <row r="17" spans="1:8">
      <c r="A17" s="130" t="s">
        <v>25</v>
      </c>
      <c r="B17" s="3">
        <f>C17*E17</f>
        <v>45.714240000000004</v>
      </c>
      <c r="C17" s="3">
        <v>28.6</v>
      </c>
      <c r="D17" s="13">
        <v>7.2</v>
      </c>
      <c r="E17" s="13">
        <f>D17*0.222</f>
        <v>1.5984</v>
      </c>
      <c r="F17" s="134" t="s">
        <v>1</v>
      </c>
    </row>
    <row r="18" spans="1:8">
      <c r="A18" s="130" t="s">
        <v>26</v>
      </c>
      <c r="B18" s="3">
        <f t="shared" si="1"/>
        <v>63.674399999999999</v>
      </c>
      <c r="C18" s="3">
        <v>25.8</v>
      </c>
      <c r="D18" s="13">
        <v>4</v>
      </c>
      <c r="E18" s="13">
        <f>D18*0.617</f>
        <v>2.468</v>
      </c>
      <c r="F18" s="134" t="s">
        <v>1</v>
      </c>
    </row>
    <row r="19" spans="1:8">
      <c r="A19" s="130" t="s">
        <v>24</v>
      </c>
      <c r="B19" s="3">
        <f t="shared" si="1"/>
        <v>592.00000000000011</v>
      </c>
      <c r="C19" s="3">
        <v>3700</v>
      </c>
      <c r="D19" s="13" t="s">
        <v>21</v>
      </c>
      <c r="E19" s="13">
        <f>0.4*0.4*1</f>
        <v>0.16000000000000003</v>
      </c>
      <c r="F19" s="134" t="s">
        <v>16</v>
      </c>
    </row>
    <row r="20" spans="1:8" ht="15" thickBot="1">
      <c r="A20" s="135"/>
      <c r="B20" s="136">
        <f>SUM(B13:B19)</f>
        <v>1285.3939733333336</v>
      </c>
      <c r="C20" s="137"/>
      <c r="D20" s="137"/>
      <c r="E20" s="137"/>
      <c r="F20" s="138"/>
    </row>
    <row r="21" spans="1:8" ht="15" thickBot="1"/>
    <row r="22" spans="1:8">
      <c r="A22" s="180" t="s">
        <v>483</v>
      </c>
    </row>
    <row r="23" spans="1:8">
      <c r="A23" s="118" t="s">
        <v>5</v>
      </c>
      <c r="B23" s="119" t="s">
        <v>2</v>
      </c>
      <c r="C23" s="119" t="s">
        <v>17</v>
      </c>
      <c r="D23" s="119" t="s">
        <v>10</v>
      </c>
      <c r="E23" s="119" t="s">
        <v>14</v>
      </c>
      <c r="F23" s="10"/>
    </row>
    <row r="24" spans="1:8">
      <c r="A24" s="9" t="s">
        <v>412</v>
      </c>
      <c r="B24" s="7">
        <v>200</v>
      </c>
      <c r="C24" s="7">
        <v>700</v>
      </c>
      <c r="D24" s="12" t="s">
        <v>413</v>
      </c>
      <c r="E24" s="12">
        <v>1</v>
      </c>
      <c r="F24" s="12" t="s">
        <v>16</v>
      </c>
    </row>
    <row r="25" spans="1:8">
      <c r="A25" s="9" t="s">
        <v>8</v>
      </c>
      <c r="B25" s="7">
        <f>C25*E25</f>
        <v>172</v>
      </c>
      <c r="C25" s="7">
        <v>43</v>
      </c>
      <c r="D25" s="12">
        <v>1000</v>
      </c>
      <c r="E25" s="12">
        <v>4</v>
      </c>
      <c r="F25" s="12" t="s">
        <v>0</v>
      </c>
    </row>
    <row r="26" spans="1:8">
      <c r="A26" s="9" t="s">
        <v>9</v>
      </c>
      <c r="B26" s="7">
        <f>C26*E26</f>
        <v>67.823999999999998</v>
      </c>
      <c r="C26" s="7">
        <v>960</v>
      </c>
      <c r="D26" s="12" t="s">
        <v>35</v>
      </c>
      <c r="E26" s="123">
        <f>3.14*(0.15*0.15)</f>
        <v>7.0650000000000004E-2</v>
      </c>
      <c r="F26" s="12" t="s">
        <v>16</v>
      </c>
    </row>
    <row r="27" spans="1:8">
      <c r="B27" s="11">
        <f>SUM(B24:B26)</f>
        <v>439.82400000000001</v>
      </c>
    </row>
    <row r="28" spans="1:8" ht="26.4">
      <c r="A28" s="126" t="s">
        <v>416</v>
      </c>
      <c r="B28" s="119" t="s">
        <v>2</v>
      </c>
      <c r="C28" s="119" t="s">
        <v>17</v>
      </c>
      <c r="D28" s="119" t="s">
        <v>10</v>
      </c>
      <c r="E28" s="119" t="s">
        <v>14</v>
      </c>
      <c r="F28" s="127"/>
      <c r="H28" s="142">
        <f>B27+B32</f>
        <v>733.49838</v>
      </c>
    </row>
    <row r="29" spans="1:8">
      <c r="A29" s="130" t="s">
        <v>25</v>
      </c>
      <c r="B29" s="3">
        <f>C29*E29</f>
        <v>19.999980000000001</v>
      </c>
      <c r="C29" s="3">
        <v>28.6</v>
      </c>
      <c r="D29" s="13">
        <v>3.15</v>
      </c>
      <c r="E29" s="13">
        <f>D29*0.222</f>
        <v>0.69930000000000003</v>
      </c>
      <c r="F29" s="134" t="s">
        <v>1</v>
      </c>
    </row>
    <row r="30" spans="1:8">
      <c r="A30" s="130" t="s">
        <v>26</v>
      </c>
      <c r="B30" s="3">
        <f>C30*E30</f>
        <v>63.674399999999999</v>
      </c>
      <c r="C30" s="3">
        <v>25.8</v>
      </c>
      <c r="D30" s="13">
        <v>4</v>
      </c>
      <c r="E30" s="13">
        <f>D30*0.617</f>
        <v>2.468</v>
      </c>
      <c r="F30" s="134" t="s">
        <v>1</v>
      </c>
    </row>
    <row r="31" spans="1:8">
      <c r="A31" s="130" t="s">
        <v>24</v>
      </c>
      <c r="B31" s="3">
        <f>C31*E31</f>
        <v>210.00000000000003</v>
      </c>
      <c r="C31" s="3">
        <v>3000</v>
      </c>
      <c r="D31" s="13" t="s">
        <v>436</v>
      </c>
      <c r="E31" s="13">
        <v>7.0000000000000007E-2</v>
      </c>
      <c r="F31" s="134" t="s">
        <v>16</v>
      </c>
    </row>
    <row r="32" spans="1:8" ht="15" thickBot="1">
      <c r="A32" s="135"/>
      <c r="B32" s="136">
        <f>SUM(B29:B31)</f>
        <v>293.67438000000004</v>
      </c>
      <c r="C32" s="137"/>
      <c r="D32" s="137"/>
      <c r="E32" s="137"/>
      <c r="F32" s="138"/>
    </row>
    <row r="34" spans="1:10">
      <c r="A34" s="122" t="s">
        <v>431</v>
      </c>
    </row>
    <row r="35" spans="1:10">
      <c r="A35" s="126" t="s">
        <v>5</v>
      </c>
      <c r="B35" s="153" t="s">
        <v>430</v>
      </c>
      <c r="C35" s="153" t="s">
        <v>17</v>
      </c>
      <c r="D35" s="153" t="s">
        <v>10</v>
      </c>
      <c r="E35" s="153" t="s">
        <v>432</v>
      </c>
      <c r="F35" s="127"/>
    </row>
    <row r="36" spans="1:10">
      <c r="A36" s="128" t="s">
        <v>4</v>
      </c>
      <c r="B36" s="141">
        <f t="shared" ref="B36:B41" si="2">C36*E36</f>
        <v>70</v>
      </c>
      <c r="C36" s="7">
        <v>700</v>
      </c>
      <c r="D36" s="12" t="s">
        <v>433</v>
      </c>
      <c r="E36" s="12">
        <v>0.1</v>
      </c>
      <c r="F36" s="129" t="s">
        <v>16</v>
      </c>
    </row>
    <row r="37" spans="1:10">
      <c r="A37" s="130" t="s">
        <v>12</v>
      </c>
      <c r="B37" s="3">
        <f t="shared" si="2"/>
        <v>85</v>
      </c>
      <c r="C37" s="3">
        <v>425</v>
      </c>
      <c r="D37" s="10" t="s">
        <v>11</v>
      </c>
      <c r="E37" s="10">
        <v>0.2</v>
      </c>
      <c r="F37" s="127" t="s">
        <v>19</v>
      </c>
    </row>
    <row r="38" spans="1:10">
      <c r="A38" s="128" t="s">
        <v>6</v>
      </c>
      <c r="B38" s="7">
        <f t="shared" si="2"/>
        <v>375</v>
      </c>
      <c r="C38" s="7">
        <v>625</v>
      </c>
      <c r="D38" s="12" t="s">
        <v>13</v>
      </c>
      <c r="E38" s="12">
        <v>0.6</v>
      </c>
      <c r="F38" s="129" t="s">
        <v>16</v>
      </c>
      <c r="J38">
        <f>3*2</f>
        <v>6</v>
      </c>
    </row>
    <row r="39" spans="1:10">
      <c r="A39" s="130" t="s">
        <v>15</v>
      </c>
      <c r="B39" s="3">
        <f t="shared" si="2"/>
        <v>0</v>
      </c>
      <c r="C39" s="3">
        <v>10</v>
      </c>
      <c r="D39" s="10">
        <v>1000</v>
      </c>
      <c r="E39" s="10">
        <v>0</v>
      </c>
      <c r="F39" s="127" t="s">
        <v>20</v>
      </c>
      <c r="J39">
        <f>491.97/6</f>
        <v>81.995000000000005</v>
      </c>
    </row>
    <row r="40" spans="1:10">
      <c r="A40" s="128" t="s">
        <v>434</v>
      </c>
      <c r="B40" s="7">
        <f t="shared" si="2"/>
        <v>43</v>
      </c>
      <c r="C40" s="7">
        <v>43</v>
      </c>
      <c r="D40" s="12">
        <v>1000</v>
      </c>
      <c r="E40" s="12">
        <v>1</v>
      </c>
      <c r="F40" s="127" t="s">
        <v>19</v>
      </c>
    </row>
    <row r="41" spans="1:10">
      <c r="A41" s="128" t="s">
        <v>9</v>
      </c>
      <c r="B41" s="7">
        <f t="shared" si="2"/>
        <v>96</v>
      </c>
      <c r="C41" s="7">
        <v>960</v>
      </c>
      <c r="D41" s="12" t="s">
        <v>435</v>
      </c>
      <c r="E41" s="12">
        <v>0.1</v>
      </c>
      <c r="F41" s="129" t="s">
        <v>16</v>
      </c>
    </row>
    <row r="42" spans="1:10">
      <c r="A42" s="131"/>
      <c r="B42" s="11">
        <f>SUM(B36:B41)</f>
        <v>669</v>
      </c>
      <c r="C42" s="132"/>
      <c r="D42" s="132"/>
      <c r="E42" s="132"/>
      <c r="F42" s="133"/>
    </row>
    <row r="43" spans="1:10">
      <c r="A43" s="131"/>
      <c r="B43" s="132"/>
      <c r="C43" s="132"/>
      <c r="D43" s="132"/>
      <c r="E43" s="132"/>
      <c r="F43" s="133"/>
    </row>
    <row r="44" spans="1:10">
      <c r="A44" s="126" t="s">
        <v>438</v>
      </c>
      <c r="B44" s="153" t="s">
        <v>2</v>
      </c>
      <c r="C44" s="153" t="s">
        <v>17</v>
      </c>
      <c r="D44" s="153" t="s">
        <v>10</v>
      </c>
      <c r="E44" s="153" t="s">
        <v>14</v>
      </c>
      <c r="F44" s="127"/>
      <c r="H44" s="142">
        <f>B42+B49</f>
        <v>1172.6666666666665</v>
      </c>
    </row>
    <row r="45" spans="1:10" ht="26.4">
      <c r="A45" s="130" t="s">
        <v>418</v>
      </c>
      <c r="B45" s="3">
        <f>C45*E45</f>
        <v>51.666666666666664</v>
      </c>
      <c r="C45" s="3">
        <f>310/6</f>
        <v>51.666666666666664</v>
      </c>
      <c r="D45" s="13">
        <v>1000</v>
      </c>
      <c r="E45" s="13">
        <v>1</v>
      </c>
      <c r="F45" s="134" t="s">
        <v>0</v>
      </c>
    </row>
    <row r="46" spans="1:10">
      <c r="A46" s="130" t="s">
        <v>23</v>
      </c>
      <c r="B46" s="3">
        <f>C46*E46</f>
        <v>0</v>
      </c>
      <c r="C46" s="3">
        <v>33.6</v>
      </c>
      <c r="D46" s="13">
        <v>1</v>
      </c>
      <c r="E46" s="13">
        <v>0</v>
      </c>
      <c r="F46" s="134" t="s">
        <v>20</v>
      </c>
    </row>
    <row r="47" spans="1:10">
      <c r="A47" s="128" t="s">
        <v>434</v>
      </c>
      <c r="B47" s="3">
        <f>C47*E47</f>
        <v>82</v>
      </c>
      <c r="C47" s="3">
        <v>82</v>
      </c>
      <c r="D47" s="13">
        <v>1</v>
      </c>
      <c r="E47" s="13">
        <v>1</v>
      </c>
      <c r="F47" s="134" t="s">
        <v>1</v>
      </c>
    </row>
    <row r="48" spans="1:10">
      <c r="A48" s="130" t="s">
        <v>24</v>
      </c>
      <c r="B48" s="3">
        <f>C48*E48</f>
        <v>370</v>
      </c>
      <c r="C48" s="3">
        <v>3700</v>
      </c>
      <c r="D48" s="13" t="s">
        <v>435</v>
      </c>
      <c r="E48" s="13">
        <v>0.1</v>
      </c>
      <c r="F48" s="134" t="s">
        <v>16</v>
      </c>
    </row>
    <row r="49" spans="1:8" ht="15" thickBot="1">
      <c r="A49" s="135"/>
      <c r="B49" s="136">
        <f>SUM(B45:B48)</f>
        <v>503.66666666666663</v>
      </c>
      <c r="C49" s="137"/>
      <c r="D49" s="137"/>
      <c r="E49" s="137"/>
      <c r="F49" s="138"/>
    </row>
    <row r="50" spans="1:8" ht="15" thickBot="1"/>
    <row r="51" spans="1:8">
      <c r="A51" s="140" t="s">
        <v>3</v>
      </c>
      <c r="B51" s="124"/>
      <c r="C51" s="124"/>
      <c r="D51" s="124"/>
      <c r="E51" s="124"/>
      <c r="F51" s="125"/>
    </row>
    <row r="52" spans="1:8">
      <c r="A52" s="126" t="s">
        <v>5</v>
      </c>
      <c r="B52" s="154" t="s">
        <v>2</v>
      </c>
      <c r="C52" s="154" t="s">
        <v>17</v>
      </c>
      <c r="D52" s="154" t="s">
        <v>10</v>
      </c>
      <c r="E52" s="154" t="s">
        <v>14</v>
      </c>
      <c r="F52" s="127"/>
    </row>
    <row r="53" spans="1:8">
      <c r="A53" s="128" t="s">
        <v>4</v>
      </c>
      <c r="B53" s="141">
        <f>C53*E53</f>
        <v>280</v>
      </c>
      <c r="C53" s="7">
        <v>700</v>
      </c>
      <c r="D53" s="12" t="s">
        <v>419</v>
      </c>
      <c r="E53" s="12">
        <f>0.8*0.5*1</f>
        <v>0.4</v>
      </c>
      <c r="F53" s="129" t="s">
        <v>16</v>
      </c>
    </row>
    <row r="54" spans="1:8">
      <c r="A54" s="130" t="s">
        <v>12</v>
      </c>
      <c r="B54" s="3">
        <f t="shared" ref="B54:B59" si="3">C54*E54</f>
        <v>85</v>
      </c>
      <c r="C54" s="3">
        <v>425</v>
      </c>
      <c r="D54" s="10" t="s">
        <v>11</v>
      </c>
      <c r="E54" s="10">
        <v>0.2</v>
      </c>
      <c r="F54" s="127" t="s">
        <v>19</v>
      </c>
    </row>
    <row r="55" spans="1:8">
      <c r="A55" s="128" t="s">
        <v>6</v>
      </c>
      <c r="B55" s="7">
        <f t="shared" si="3"/>
        <v>375</v>
      </c>
      <c r="C55" s="7">
        <v>625</v>
      </c>
      <c r="D55" s="12" t="s">
        <v>13</v>
      </c>
      <c r="E55" s="12">
        <v>0.6</v>
      </c>
      <c r="F55" s="129"/>
    </row>
    <row r="56" spans="1:8">
      <c r="A56" s="128" t="s">
        <v>7</v>
      </c>
      <c r="B56" s="7">
        <f t="shared" si="3"/>
        <v>340</v>
      </c>
      <c r="C56" s="7">
        <v>425</v>
      </c>
      <c r="D56" s="12" t="s">
        <v>18</v>
      </c>
      <c r="E56" s="12">
        <v>0.8</v>
      </c>
      <c r="F56" s="129" t="s">
        <v>19</v>
      </c>
    </row>
    <row r="57" spans="1:8">
      <c r="A57" s="130" t="s">
        <v>15</v>
      </c>
      <c r="B57" s="3">
        <f t="shared" si="3"/>
        <v>10</v>
      </c>
      <c r="C57" s="3">
        <v>10</v>
      </c>
      <c r="D57" s="10">
        <v>1000</v>
      </c>
      <c r="E57" s="10">
        <v>1</v>
      </c>
      <c r="F57" s="127" t="s">
        <v>20</v>
      </c>
    </row>
    <row r="58" spans="1:8">
      <c r="A58" s="128" t="s">
        <v>8</v>
      </c>
      <c r="B58" s="7">
        <f t="shared" si="3"/>
        <v>172</v>
      </c>
      <c r="C58" s="7">
        <v>43</v>
      </c>
      <c r="D58" s="12">
        <v>1000</v>
      </c>
      <c r="E58" s="12">
        <v>4</v>
      </c>
      <c r="F58" s="129" t="s">
        <v>0</v>
      </c>
    </row>
    <row r="59" spans="1:8">
      <c r="A59" s="128" t="s">
        <v>9</v>
      </c>
      <c r="B59" s="7">
        <f t="shared" si="3"/>
        <v>230.39999999999998</v>
      </c>
      <c r="C59" s="7">
        <v>960</v>
      </c>
      <c r="D59" s="12" t="s">
        <v>21</v>
      </c>
      <c r="E59" s="12">
        <f>0.6*0.4*1</f>
        <v>0.24</v>
      </c>
      <c r="F59" s="129" t="s">
        <v>16</v>
      </c>
    </row>
    <row r="60" spans="1:8">
      <c r="A60" s="131"/>
      <c r="B60" s="11">
        <f>SUM(B53:B59)</f>
        <v>1492.4</v>
      </c>
      <c r="C60" s="132"/>
      <c r="D60" s="132"/>
      <c r="E60" s="132"/>
      <c r="F60" s="133"/>
    </row>
    <row r="62" spans="1:8">
      <c r="A62" s="126" t="s">
        <v>437</v>
      </c>
      <c r="B62" s="154" t="s">
        <v>2</v>
      </c>
      <c r="C62" s="154" t="s">
        <v>17</v>
      </c>
      <c r="D62" s="154" t="s">
        <v>10</v>
      </c>
      <c r="E62" s="154" t="s">
        <v>14</v>
      </c>
      <c r="F62" s="127"/>
      <c r="H62" s="142">
        <f>B50+B70</f>
        <v>2372.0909600000005</v>
      </c>
    </row>
    <row r="63" spans="1:8" ht="26.4">
      <c r="A63" s="130" t="s">
        <v>418</v>
      </c>
      <c r="B63" s="3">
        <f t="shared" ref="B63:B69" si="4">C63*E63</f>
        <v>75</v>
      </c>
      <c r="C63" s="3">
        <f>150/6</f>
        <v>25</v>
      </c>
      <c r="D63" s="13" t="s">
        <v>11</v>
      </c>
      <c r="E63" s="13">
        <f>2*1.5</f>
        <v>3</v>
      </c>
      <c r="F63" s="134" t="s">
        <v>19</v>
      </c>
    </row>
    <row r="64" spans="1:8">
      <c r="A64" s="130" t="s">
        <v>22</v>
      </c>
      <c r="B64" s="3">
        <f t="shared" si="4"/>
        <v>261</v>
      </c>
      <c r="C64" s="3">
        <v>2900</v>
      </c>
      <c r="D64" s="13" t="s">
        <v>13</v>
      </c>
      <c r="E64" s="13">
        <f>0.06*1.5</f>
        <v>0.09</v>
      </c>
      <c r="F64" s="134" t="s">
        <v>16</v>
      </c>
    </row>
    <row r="65" spans="1:10" ht="26.4">
      <c r="A65" s="130" t="s">
        <v>417</v>
      </c>
      <c r="B65" s="3">
        <f t="shared" si="4"/>
        <v>350</v>
      </c>
      <c r="C65" s="3">
        <f>350/6</f>
        <v>58.333333333333336</v>
      </c>
      <c r="D65" s="13" t="s">
        <v>18</v>
      </c>
      <c r="E65" s="13">
        <f>4*1.5</f>
        <v>6</v>
      </c>
      <c r="F65" s="134" t="s">
        <v>0</v>
      </c>
      <c r="J65">
        <f>900/600</f>
        <v>1.5</v>
      </c>
    </row>
    <row r="66" spans="1:10">
      <c r="A66" s="130" t="s">
        <v>23</v>
      </c>
      <c r="B66" s="3">
        <f t="shared" si="4"/>
        <v>190.00800000000001</v>
      </c>
      <c r="C66" s="3">
        <v>33.6</v>
      </c>
      <c r="D66" s="13">
        <v>1</v>
      </c>
      <c r="E66" s="13">
        <f>3.77*1.5</f>
        <v>5.6550000000000002</v>
      </c>
      <c r="F66" s="134" t="s">
        <v>20</v>
      </c>
    </row>
    <row r="67" spans="1:10">
      <c r="A67" s="130" t="s">
        <v>25</v>
      </c>
      <c r="B67" s="3">
        <f t="shared" si="4"/>
        <v>68.571360000000013</v>
      </c>
      <c r="C67" s="3">
        <v>28.6</v>
      </c>
      <c r="D67" s="13">
        <v>7.2</v>
      </c>
      <c r="E67" s="13">
        <f>(D67*0.222)*1.5</f>
        <v>2.3976000000000002</v>
      </c>
      <c r="F67" s="134" t="s">
        <v>1</v>
      </c>
    </row>
    <row r="68" spans="1:10">
      <c r="A68" s="130" t="s">
        <v>26</v>
      </c>
      <c r="B68" s="3">
        <f t="shared" si="4"/>
        <v>95.511600000000001</v>
      </c>
      <c r="C68" s="3">
        <v>25.8</v>
      </c>
      <c r="D68" s="13">
        <v>4</v>
      </c>
      <c r="E68" s="13">
        <f>(D68*0.617)*1.5</f>
        <v>3.702</v>
      </c>
      <c r="F68" s="134" t="s">
        <v>1</v>
      </c>
    </row>
    <row r="69" spans="1:10">
      <c r="A69" s="130" t="s">
        <v>24</v>
      </c>
      <c r="B69" s="3">
        <f t="shared" si="4"/>
        <v>1332.0000000000002</v>
      </c>
      <c r="C69" s="3">
        <v>3700</v>
      </c>
      <c r="D69" s="13" t="s">
        <v>21</v>
      </c>
      <c r="E69" s="13">
        <f>0.9*0.4*1</f>
        <v>0.36000000000000004</v>
      </c>
      <c r="F69" s="134" t="s">
        <v>16</v>
      </c>
    </row>
    <row r="70" spans="1:10" ht="15" thickBot="1">
      <c r="A70" s="135"/>
      <c r="B70" s="136">
        <f>SUM(B63:B69)</f>
        <v>2372.0909600000005</v>
      </c>
      <c r="C70" s="137"/>
      <c r="D70" s="137"/>
      <c r="E70" s="137"/>
      <c r="F70" s="138"/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C4"/>
  <sheetViews>
    <sheetView workbookViewId="0">
      <selection activeCell="C6" sqref="C6"/>
    </sheetView>
  </sheetViews>
  <sheetFormatPr defaultRowHeight="14.4"/>
  <cols>
    <col min="1" max="1" width="35.5546875" customWidth="1"/>
    <col min="2" max="2" width="13.44140625" customWidth="1"/>
    <col min="3" max="3" width="30" bestFit="1" customWidth="1"/>
  </cols>
  <sheetData>
    <row r="2" spans="1:3" ht="26.4">
      <c r="A2" s="80" t="s">
        <v>77</v>
      </c>
      <c r="B2" s="81" t="s">
        <v>79</v>
      </c>
    </row>
    <row r="3" spans="1:3">
      <c r="A3" s="9" t="s">
        <v>78</v>
      </c>
      <c r="B3" s="7">
        <v>2000</v>
      </c>
      <c r="C3" s="181" t="s">
        <v>508</v>
      </c>
    </row>
    <row r="4" spans="1:3">
      <c r="A4" s="4" t="s">
        <v>350</v>
      </c>
      <c r="B4" s="3">
        <f>B3/21</f>
        <v>95.238095238095241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39"/>
  <sheetViews>
    <sheetView view="pageBreakPreview" topLeftCell="B7" zoomScale="55" zoomScaleNormal="100" zoomScaleSheetLayoutView="55" workbookViewId="0">
      <selection activeCell="AI36" sqref="AI36"/>
    </sheetView>
  </sheetViews>
  <sheetFormatPr defaultRowHeight="14.4"/>
  <cols>
    <col min="1" max="1" width="2.88671875" style="8" bestFit="1" customWidth="1"/>
    <col min="2" max="2" width="47.21875" style="8" customWidth="1"/>
    <col min="3" max="3" width="10.109375" style="8" customWidth="1"/>
    <col min="4" max="4" width="11.44140625" style="8" bestFit="1" customWidth="1"/>
    <col min="5" max="20" width="6.88671875" style="8" customWidth="1"/>
    <col min="21" max="26" width="5" style="8" customWidth="1"/>
    <col min="27" max="31" width="7.6640625" style="8" customWidth="1"/>
    <col min="32" max="32" width="10.44140625" style="8" bestFit="1" customWidth="1"/>
    <col min="33" max="33" width="8.88671875" style="8"/>
    <col min="34" max="34" width="6" style="8" bestFit="1" customWidth="1"/>
    <col min="35" max="35" width="10.6640625" style="8" bestFit="1" customWidth="1"/>
    <col min="36" max="36" width="9" style="8" bestFit="1" customWidth="1"/>
    <col min="37" max="16384" width="8.88671875" style="8"/>
  </cols>
  <sheetData>
    <row r="1" spans="1:32"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ht="19.8">
      <c r="A2" s="221" t="s">
        <v>80</v>
      </c>
      <c r="B2" s="221"/>
      <c r="C2" s="221"/>
      <c r="D2" s="221"/>
      <c r="E2" s="20"/>
      <c r="F2" s="20"/>
      <c r="G2" s="20"/>
      <c r="H2" s="20"/>
      <c r="I2" s="20"/>
      <c r="J2" s="20"/>
      <c r="K2" s="28"/>
      <c r="L2" s="28"/>
      <c r="AA2" s="20"/>
      <c r="AB2" s="20"/>
      <c r="AC2" s="20"/>
      <c r="AD2" s="20"/>
      <c r="AE2" s="20"/>
    </row>
    <row r="3" spans="1:32">
      <c r="E3" s="20"/>
      <c r="F3" s="20"/>
      <c r="G3" s="20"/>
      <c r="H3" s="20"/>
      <c r="I3" s="20"/>
      <c r="J3" s="20"/>
      <c r="U3" s="225" t="s">
        <v>110</v>
      </c>
      <c r="V3" s="225"/>
      <c r="W3" s="225"/>
      <c r="X3" s="225"/>
      <c r="Y3" s="225"/>
      <c r="Z3" s="225"/>
      <c r="AA3" s="20"/>
      <c r="AB3" s="20"/>
      <c r="AC3" s="20"/>
      <c r="AD3" s="20"/>
      <c r="AE3" s="20"/>
    </row>
    <row r="4" spans="1:32" ht="14.4" customHeight="1">
      <c r="A4" s="222" t="s">
        <v>28</v>
      </c>
      <c r="B4" s="223" t="s">
        <v>29</v>
      </c>
      <c r="C4" s="223" t="s">
        <v>30</v>
      </c>
      <c r="D4" s="224" t="s">
        <v>31</v>
      </c>
      <c r="E4" s="224" t="s">
        <v>81</v>
      </c>
      <c r="F4" s="224" t="s">
        <v>82</v>
      </c>
      <c r="G4" s="224" t="s">
        <v>83</v>
      </c>
      <c r="H4" s="224" t="s">
        <v>84</v>
      </c>
      <c r="I4" s="224" t="s">
        <v>85</v>
      </c>
      <c r="J4" s="224" t="s">
        <v>86</v>
      </c>
      <c r="K4" s="224" t="s">
        <v>87</v>
      </c>
      <c r="L4" s="224" t="s">
        <v>88</v>
      </c>
      <c r="M4" s="224" t="s">
        <v>89</v>
      </c>
      <c r="N4" s="224" t="s">
        <v>90</v>
      </c>
      <c r="O4" s="224" t="s">
        <v>91</v>
      </c>
      <c r="P4" s="224" t="s">
        <v>92</v>
      </c>
      <c r="Q4" s="224" t="s">
        <v>366</v>
      </c>
      <c r="R4" s="224" t="s">
        <v>93</v>
      </c>
      <c r="S4" s="224" t="s">
        <v>346</v>
      </c>
      <c r="T4" s="224" t="s">
        <v>347</v>
      </c>
      <c r="U4" s="94"/>
      <c r="V4" s="94"/>
      <c r="W4" s="94"/>
      <c r="X4" s="94"/>
      <c r="Y4" s="94"/>
      <c r="Z4" s="94"/>
      <c r="AA4" s="224" t="s">
        <v>368</v>
      </c>
      <c r="AB4" s="224" t="s">
        <v>369</v>
      </c>
      <c r="AC4" s="224" t="s">
        <v>370</v>
      </c>
      <c r="AD4" s="224" t="s">
        <v>371</v>
      </c>
      <c r="AE4" s="224" t="s">
        <v>372</v>
      </c>
      <c r="AF4" s="224" t="s">
        <v>95</v>
      </c>
    </row>
    <row r="5" spans="1:32">
      <c r="A5" s="222"/>
      <c r="B5" s="223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94"/>
      <c r="V5" s="94"/>
      <c r="W5" s="94"/>
      <c r="X5" s="94"/>
      <c r="Y5" s="94"/>
      <c r="Z5" s="94"/>
      <c r="AA5" s="224"/>
      <c r="AB5" s="224"/>
      <c r="AC5" s="224"/>
      <c r="AD5" s="224"/>
      <c r="AE5" s="224"/>
      <c r="AF5" s="224"/>
    </row>
    <row r="6" spans="1:32">
      <c r="A6" s="22"/>
      <c r="B6" s="22"/>
      <c r="C6" s="22"/>
      <c r="D6" s="22"/>
      <c r="E6" s="89"/>
      <c r="F6" s="89"/>
      <c r="G6" s="89"/>
      <c r="H6" s="89"/>
      <c r="I6" s="89"/>
      <c r="J6" s="89"/>
      <c r="K6" s="89"/>
      <c r="L6" s="89"/>
      <c r="M6" s="93"/>
      <c r="N6" s="93"/>
      <c r="O6" s="93"/>
      <c r="P6" s="93"/>
      <c r="Q6" s="93"/>
      <c r="R6" s="93"/>
      <c r="S6" s="93"/>
      <c r="T6" s="93"/>
      <c r="U6" s="94"/>
      <c r="V6" s="94"/>
      <c r="W6" s="94"/>
      <c r="X6" s="94"/>
      <c r="Y6" s="94"/>
      <c r="Z6" s="94"/>
      <c r="AA6" s="52">
        <v>1</v>
      </c>
      <c r="AB6" s="52">
        <v>1</v>
      </c>
      <c r="AC6" s="89">
        <v>1</v>
      </c>
      <c r="AD6" s="93">
        <v>1</v>
      </c>
      <c r="AE6" s="93">
        <v>1</v>
      </c>
      <c r="AF6" s="66">
        <f>SUM(E6:AE6)</f>
        <v>5</v>
      </c>
    </row>
    <row r="7" spans="1:32">
      <c r="A7" s="219" t="s">
        <v>41</v>
      </c>
      <c r="B7" s="219"/>
      <c r="C7" s="219"/>
      <c r="D7" s="219"/>
      <c r="E7" s="13"/>
      <c r="F7" s="13"/>
      <c r="G7" s="13"/>
      <c r="H7" s="13"/>
      <c r="I7" s="13"/>
      <c r="J7" s="13"/>
      <c r="K7" s="13"/>
      <c r="L7" s="13"/>
      <c r="M7" s="13"/>
      <c r="N7" s="13"/>
      <c r="O7" s="25"/>
      <c r="P7" s="13"/>
      <c r="Q7" s="13"/>
      <c r="R7" s="13"/>
      <c r="S7" s="13"/>
      <c r="T7" s="13"/>
      <c r="U7" s="94"/>
      <c r="V7" s="94"/>
      <c r="W7" s="94"/>
      <c r="X7" s="94"/>
      <c r="Y7" s="94"/>
      <c r="Z7" s="94"/>
      <c r="AA7" s="13"/>
      <c r="AB7" s="13"/>
      <c r="AC7" s="13"/>
      <c r="AD7" s="13"/>
      <c r="AE7" s="13"/>
      <c r="AF7" s="13"/>
    </row>
    <row r="8" spans="1:32" s="17" customFormat="1" ht="14.4" customHeight="1">
      <c r="A8" s="25"/>
      <c r="B8" s="220" t="s">
        <v>45</v>
      </c>
      <c r="C8" s="220"/>
      <c r="D8" s="220"/>
      <c r="E8" s="1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>
      <c r="A9" s="14">
        <v>1</v>
      </c>
      <c r="B9" s="4" t="s">
        <v>42</v>
      </c>
      <c r="C9" s="5" t="s">
        <v>19</v>
      </c>
      <c r="D9" s="5">
        <f>'КП итог '!D27</f>
        <v>0</v>
      </c>
      <c r="E9" s="23"/>
      <c r="F9" s="23"/>
      <c r="G9" s="23"/>
      <c r="H9" s="2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>
        <f>D9-SUM(E9:AE9)</f>
        <v>0</v>
      </c>
    </row>
    <row r="10" spans="1:32">
      <c r="A10" s="14">
        <v>2</v>
      </c>
      <c r="B10" s="4" t="s">
        <v>43</v>
      </c>
      <c r="C10" s="5" t="s">
        <v>19</v>
      </c>
      <c r="D10" s="5">
        <f>'КП итог '!D28</f>
        <v>0</v>
      </c>
      <c r="E10" s="23"/>
      <c r="F10" s="23"/>
      <c r="G10" s="23"/>
      <c r="H10" s="2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f>D10-SUM(E10:AE10)</f>
        <v>0</v>
      </c>
    </row>
    <row r="11" spans="1:32">
      <c r="A11" s="219" t="s">
        <v>47</v>
      </c>
      <c r="B11" s="219"/>
      <c r="C11" s="219"/>
      <c r="D11" s="219"/>
      <c r="E11" s="13"/>
      <c r="F11" s="13"/>
      <c r="G11" s="13"/>
      <c r="H11" s="13"/>
      <c r="I11" s="13"/>
      <c r="J11" s="26"/>
      <c r="K11" s="26"/>
      <c r="L11" s="26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27"/>
      <c r="AB11" s="27" t="s">
        <v>96</v>
      </c>
      <c r="AC11" s="27" t="s">
        <v>96</v>
      </c>
      <c r="AD11" s="27"/>
      <c r="AE11" s="27"/>
      <c r="AF11" s="13"/>
    </row>
    <row r="12" spans="1:32" s="39" customFormat="1">
      <c r="A12" s="36"/>
      <c r="B12" s="36" t="s">
        <v>107</v>
      </c>
      <c r="C12" s="36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  <c r="V12" s="38"/>
      <c r="W12" s="38"/>
      <c r="X12" s="38"/>
      <c r="Y12" s="38"/>
      <c r="Z12" s="38"/>
      <c r="AA12" s="37">
        <v>8</v>
      </c>
      <c r="AB12" s="37">
        <v>8</v>
      </c>
      <c r="AC12" s="37">
        <v>8</v>
      </c>
      <c r="AD12" s="37">
        <v>8</v>
      </c>
      <c r="AE12" s="37">
        <v>8</v>
      </c>
      <c r="AF12" s="66">
        <f>SUM(E12:AE12)</f>
        <v>40</v>
      </c>
    </row>
    <row r="13" spans="1:32" s="39" customFormat="1">
      <c r="A13" s="36"/>
      <c r="B13" s="36" t="s">
        <v>96</v>
      </c>
      <c r="C13" s="36"/>
      <c r="D13" s="36"/>
      <c r="E13" s="36"/>
      <c r="F13" s="36"/>
      <c r="G13" s="36"/>
      <c r="H13" s="36"/>
      <c r="I13" s="36"/>
      <c r="J13" s="36"/>
      <c r="L13" s="36"/>
      <c r="M13" s="38"/>
      <c r="N13" s="38"/>
      <c r="O13" s="38"/>
      <c r="P13" s="38"/>
      <c r="Q13" s="38"/>
      <c r="R13" s="38"/>
      <c r="S13" s="37"/>
      <c r="T13" s="37"/>
      <c r="U13" s="38"/>
      <c r="V13" s="38"/>
      <c r="W13" s="38"/>
      <c r="X13" s="38"/>
      <c r="Y13" s="38"/>
      <c r="Z13" s="38"/>
      <c r="AA13" s="37">
        <v>8</v>
      </c>
      <c r="AB13" s="37">
        <v>8</v>
      </c>
      <c r="AC13" s="37">
        <v>8</v>
      </c>
      <c r="AD13" s="37">
        <v>8</v>
      </c>
      <c r="AE13" s="37"/>
      <c r="AF13" s="66">
        <f>SUM(E13:AE13)</f>
        <v>32</v>
      </c>
    </row>
    <row r="14" spans="1:32" s="39" customFormat="1">
      <c r="A14" s="36"/>
      <c r="B14" s="36" t="s">
        <v>104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7"/>
      <c r="AB14" s="37"/>
      <c r="AC14" s="37"/>
      <c r="AD14" s="37"/>
      <c r="AE14" s="37"/>
      <c r="AF14" s="66">
        <f>SUM(E14:AE14)</f>
        <v>0</v>
      </c>
    </row>
    <row r="15" spans="1:32" s="39" customFormat="1">
      <c r="A15" s="36"/>
      <c r="B15" s="36" t="s">
        <v>105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7"/>
      <c r="AB15" s="37"/>
      <c r="AC15" s="37"/>
      <c r="AD15" s="37"/>
      <c r="AE15" s="37"/>
      <c r="AF15" s="66">
        <f>SUM(E15:AE15)</f>
        <v>0</v>
      </c>
    </row>
    <row r="16" spans="1:32" s="39" customFormat="1">
      <c r="A16" s="36"/>
      <c r="B16" s="36" t="s">
        <v>106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7"/>
      <c r="AC16" s="37"/>
      <c r="AD16" s="37"/>
      <c r="AE16" s="37"/>
      <c r="AF16" s="66">
        <f>SUM(E16:AE16)</f>
        <v>0</v>
      </c>
    </row>
    <row r="17" spans="1:39" s="17" customFormat="1" ht="28.8">
      <c r="A17" s="25"/>
      <c r="B17" s="220" t="s">
        <v>44</v>
      </c>
      <c r="C17" s="220"/>
      <c r="D17" s="22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65"/>
      <c r="V17" s="65"/>
      <c r="W17" s="65"/>
      <c r="X17" s="65"/>
      <c r="Y17" s="65"/>
      <c r="Z17" s="65"/>
      <c r="AA17" s="95" t="s">
        <v>373</v>
      </c>
      <c r="AB17" s="95" t="s">
        <v>373</v>
      </c>
      <c r="AC17" s="95" t="s">
        <v>373</v>
      </c>
      <c r="AD17" s="95" t="s">
        <v>373</v>
      </c>
      <c r="AE17" s="95" t="s">
        <v>373</v>
      </c>
      <c r="AF17" s="25"/>
      <c r="AH17" s="144" t="s">
        <v>420</v>
      </c>
      <c r="AI17" s="145" t="s">
        <v>422</v>
      </c>
      <c r="AJ17" s="146" t="s">
        <v>423</v>
      </c>
    </row>
    <row r="18" spans="1:39">
      <c r="A18" s="14">
        <v>3</v>
      </c>
      <c r="B18" s="4" t="s">
        <v>4</v>
      </c>
      <c r="C18" s="5" t="s">
        <v>64</v>
      </c>
      <c r="D18" s="6">
        <f>'КП итог '!D38</f>
        <v>142</v>
      </c>
      <c r="E18" s="25"/>
      <c r="F18" s="23"/>
      <c r="G18" s="23"/>
      <c r="H18" s="2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>
        <f>D18-SUM(E18:AE18)</f>
        <v>142</v>
      </c>
      <c r="AH18" s="143">
        <f>D18/40</f>
        <v>3.55</v>
      </c>
      <c r="AI18" s="13">
        <f>8*4</f>
        <v>32</v>
      </c>
      <c r="AJ18" s="13">
        <f>AH18*AI18</f>
        <v>113.6</v>
      </c>
      <c r="AK18" s="17"/>
      <c r="AL18" s="17"/>
      <c r="AM18" s="17"/>
    </row>
    <row r="19" spans="1:39" s="17" customFormat="1" ht="14.4" customHeight="1">
      <c r="A19" s="25"/>
      <c r="B19" s="220" t="s">
        <v>421</v>
      </c>
      <c r="C19" s="220"/>
      <c r="D19" s="220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9">
      <c r="A20" s="14">
        <v>4</v>
      </c>
      <c r="B20" s="4" t="s">
        <v>6</v>
      </c>
      <c r="C20" s="5" t="s">
        <v>64</v>
      </c>
      <c r="D20" s="6"/>
      <c r="E20" s="5"/>
      <c r="F20" s="5"/>
      <c r="G20" s="23"/>
      <c r="H20" s="23"/>
      <c r="I20" s="23"/>
      <c r="J20" s="23"/>
      <c r="K20" s="2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f>D20-SUM(E20:AE20)</f>
        <v>0</v>
      </c>
      <c r="AK20" s="17"/>
      <c r="AL20" s="17"/>
      <c r="AM20" s="17"/>
    </row>
    <row r="21" spans="1:39">
      <c r="A21" s="14">
        <v>5</v>
      </c>
      <c r="B21" s="4" t="s">
        <v>7</v>
      </c>
      <c r="C21" s="5" t="s">
        <v>64</v>
      </c>
      <c r="D21" s="6"/>
      <c r="E21" s="5"/>
      <c r="F21" s="5"/>
      <c r="G21" s="5"/>
      <c r="H21" s="5"/>
      <c r="I21" s="5"/>
      <c r="J21" s="23"/>
      <c r="K21" s="23"/>
      <c r="L21" s="23"/>
      <c r="M21" s="2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f>D21-SUM(E21:AE21)</f>
        <v>0</v>
      </c>
      <c r="AK21" s="17"/>
      <c r="AL21" s="17"/>
      <c r="AM21" s="17"/>
    </row>
    <row r="22" spans="1:39">
      <c r="A22" s="14">
        <v>6</v>
      </c>
      <c r="B22" s="4" t="s">
        <v>8</v>
      </c>
      <c r="C22" s="5" t="s">
        <v>64</v>
      </c>
      <c r="D22" s="6"/>
      <c r="E22" s="5"/>
      <c r="F22" s="5"/>
      <c r="G22" s="5"/>
      <c r="H22" s="5"/>
      <c r="I22" s="5"/>
      <c r="J22" s="5"/>
      <c r="K22" s="5"/>
      <c r="L22" s="5"/>
      <c r="M22" s="23"/>
      <c r="N22" s="23"/>
      <c r="O22" s="23"/>
      <c r="P22" s="2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f>D22-SUM(E22:AE22)</f>
        <v>0</v>
      </c>
      <c r="AK22" s="17"/>
      <c r="AL22" s="17"/>
      <c r="AM22" s="17"/>
    </row>
    <row r="23" spans="1:39">
      <c r="A23" s="14">
        <v>7</v>
      </c>
      <c r="B23" s="4" t="s">
        <v>9</v>
      </c>
      <c r="C23" s="5" t="s">
        <v>64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23"/>
      <c r="Q23" s="23"/>
      <c r="R23" s="23"/>
      <c r="S23" s="23"/>
      <c r="T23" s="23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f>D23-SUM(E23:AE23)</f>
        <v>0</v>
      </c>
      <c r="AK23" s="17"/>
      <c r="AL23" s="17"/>
      <c r="AM23" s="17"/>
    </row>
    <row r="24" spans="1:39" s="17" customFormat="1" ht="14.4" customHeight="1">
      <c r="A24" s="25"/>
      <c r="B24" s="220" t="s">
        <v>48</v>
      </c>
      <c r="C24" s="220"/>
      <c r="D24" s="220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5"/>
      <c r="V24" s="5"/>
      <c r="W24" s="5"/>
      <c r="X24" s="5"/>
      <c r="Y24" s="5"/>
      <c r="Z24" s="5"/>
      <c r="AA24" s="25"/>
      <c r="AB24" s="25"/>
      <c r="AC24" s="25"/>
      <c r="AD24" s="25"/>
      <c r="AE24" s="25"/>
      <c r="AF24" s="25"/>
    </row>
    <row r="25" spans="1:39" ht="26.4">
      <c r="A25" s="14">
        <v>8</v>
      </c>
      <c r="B25" s="4" t="s">
        <v>36</v>
      </c>
      <c r="C25" s="5" t="s">
        <v>64</v>
      </c>
      <c r="D25" s="6">
        <f>'КП итог '!D42</f>
        <v>1.5506399999999998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3">
        <v>55</v>
      </c>
      <c r="AB25" s="23">
        <v>55</v>
      </c>
      <c r="AC25" s="23">
        <f>D25-AA25-AB25</f>
        <v>-108.44936</v>
      </c>
      <c r="AD25" s="5"/>
      <c r="AE25" s="5"/>
      <c r="AF25" s="5">
        <f t="shared" ref="AF25:AF32" si="0">D25-SUM(E25:AE25)</f>
        <v>0</v>
      </c>
      <c r="AH25" s="143">
        <f>D25/100</f>
        <v>1.5506399999999998E-2</v>
      </c>
      <c r="AI25" s="13">
        <f>8*4</f>
        <v>32</v>
      </c>
      <c r="AJ25" s="13">
        <f>AH25*AI25</f>
        <v>0.49620479999999995</v>
      </c>
      <c r="AK25" s="17"/>
      <c r="AL25" s="17"/>
      <c r="AM25" s="17"/>
    </row>
    <row r="26" spans="1:39" ht="39.6">
      <c r="A26" s="14">
        <v>9</v>
      </c>
      <c r="B26" s="4" t="s">
        <v>74</v>
      </c>
      <c r="C26" s="5" t="s">
        <v>40</v>
      </c>
      <c r="D26" s="6">
        <f>'КП итог '!D43</f>
        <v>38.454082124846174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3"/>
      <c r="AB26" s="24">
        <v>3.62</v>
      </c>
      <c r="AC26" s="24">
        <v>3.62</v>
      </c>
      <c r="AD26" s="5"/>
      <c r="AE26" s="5"/>
      <c r="AF26" s="5">
        <f t="shared" si="0"/>
        <v>31.214082124846172</v>
      </c>
      <c r="AH26" s="143">
        <f>D26/РАСЧЕТЫ!E17</f>
        <v>33.733333333333348</v>
      </c>
      <c r="AI26" s="13">
        <f>8*6</f>
        <v>48</v>
      </c>
      <c r="AJ26" s="13">
        <f>AH26*AI26</f>
        <v>1619.2000000000007</v>
      </c>
      <c r="AK26" s="17">
        <f>AJ26/8</f>
        <v>202.40000000000009</v>
      </c>
      <c r="AL26" s="17"/>
      <c r="AM26" s="17"/>
    </row>
    <row r="27" spans="1:39" ht="39.6">
      <c r="A27" s="14">
        <v>10</v>
      </c>
      <c r="B27" s="4" t="s">
        <v>72</v>
      </c>
      <c r="C27" s="5" t="s">
        <v>40</v>
      </c>
      <c r="D27" s="6">
        <f>'КП итог '!D44</f>
        <v>2.4681307000146657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85">
        <f>D27/3</f>
        <v>0.82271023333822191</v>
      </c>
      <c r="AE27" s="85">
        <f>D27/3</f>
        <v>0.82271023333822191</v>
      </c>
      <c r="AF27" s="5">
        <f t="shared" si="0"/>
        <v>0.82271023333822191</v>
      </c>
      <c r="AH27" s="143">
        <f>D27/РАСЧЕТЫ!E17</f>
        <v>2.1651349093060985</v>
      </c>
      <c r="AI27" s="13">
        <f>8*6</f>
        <v>48</v>
      </c>
      <c r="AJ27" s="13">
        <f>AH27*AI27</f>
        <v>103.92647564669272</v>
      </c>
      <c r="AK27" s="17"/>
      <c r="AL27" s="17"/>
      <c r="AM27" s="17"/>
    </row>
    <row r="28" spans="1:39" ht="39.6">
      <c r="A28" s="14">
        <v>11</v>
      </c>
      <c r="B28" s="4" t="s">
        <v>73</v>
      </c>
      <c r="C28" s="5" t="s">
        <v>40</v>
      </c>
      <c r="D28" s="6">
        <f>'КП итог '!D45</f>
        <v>2.8494298710844843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E28" s="85">
        <f>D28/3</f>
        <v>0.9498099570281614</v>
      </c>
      <c r="AF28" s="5">
        <f t="shared" si="0"/>
        <v>1.899619914056323</v>
      </c>
      <c r="AH28" s="143">
        <f>D28/РАСЧЕТЫ!E17</f>
        <v>2.4996245480305941</v>
      </c>
      <c r="AI28" s="13">
        <f>8*6</f>
        <v>48</v>
      </c>
      <c r="AJ28" s="13">
        <f>AH28*AI28</f>
        <v>119.98197830546852</v>
      </c>
      <c r="AK28" s="17"/>
      <c r="AL28" s="17"/>
      <c r="AM28" s="17"/>
    </row>
    <row r="29" spans="1:39" ht="21" customHeight="1">
      <c r="A29" s="14">
        <v>12</v>
      </c>
      <c r="B29" s="4" t="s">
        <v>37</v>
      </c>
      <c r="C29" s="5" t="s">
        <v>20</v>
      </c>
      <c r="D29" s="6">
        <f>'КП итог '!D46</f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>
        <f t="shared" si="0"/>
        <v>0</v>
      </c>
      <c r="AH29" s="149">
        <f>AH25+AH26+AH27+AH28</f>
        <v>38.413599190670041</v>
      </c>
      <c r="AK29" s="17"/>
      <c r="AL29" s="17"/>
      <c r="AM29" s="17"/>
    </row>
    <row r="30" spans="1:39" ht="21" customHeight="1">
      <c r="A30" s="14">
        <v>13</v>
      </c>
      <c r="B30" s="4" t="s">
        <v>38</v>
      </c>
      <c r="C30" s="5" t="s">
        <v>20</v>
      </c>
      <c r="D30" s="6">
        <f>'КП итог '!D47</f>
        <v>1880.7476244570555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>
        <f t="shared" si="0"/>
        <v>1880.7476244570555</v>
      </c>
      <c r="AK30" s="17"/>
      <c r="AL30" s="17"/>
      <c r="AM30" s="17"/>
    </row>
    <row r="31" spans="1:39" ht="92.4">
      <c r="A31" s="14">
        <v>14</v>
      </c>
      <c r="B31" s="4" t="s">
        <v>71</v>
      </c>
      <c r="C31" s="5" t="s">
        <v>20</v>
      </c>
      <c r="D31" s="6">
        <f>'КП итог '!D48</f>
        <v>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3" t="s">
        <v>97</v>
      </c>
      <c r="T31" s="23" t="s">
        <v>94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>
        <f t="shared" si="0"/>
        <v>1</v>
      </c>
      <c r="AH31" s="143">
        <f>D31/0.5</f>
        <v>2</v>
      </c>
      <c r="AI31" s="13">
        <f>8*2</f>
        <v>16</v>
      </c>
      <c r="AJ31" s="13">
        <f>AH31*AI31</f>
        <v>32</v>
      </c>
      <c r="AK31" s="17"/>
      <c r="AL31" s="17"/>
      <c r="AM31" s="17"/>
    </row>
    <row r="32" spans="1:39" ht="26.4">
      <c r="A32" s="14">
        <v>15</v>
      </c>
      <c r="B32" s="4" t="s">
        <v>39</v>
      </c>
      <c r="C32" s="5" t="s">
        <v>19</v>
      </c>
      <c r="D32" s="6">
        <f>'КП итог '!D49</f>
        <v>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23">
        <v>33</v>
      </c>
      <c r="AE32" s="23">
        <v>33</v>
      </c>
      <c r="AF32" s="5">
        <f t="shared" si="0"/>
        <v>-66</v>
      </c>
      <c r="AJ32" s="149">
        <f>(AJ18+AJ25+AJ26+AJ27+AJ28+AJ31)/8/4</f>
        <v>62.162645586005063</v>
      </c>
      <c r="AK32" s="8" t="s">
        <v>420</v>
      </c>
      <c r="AM32" s="17"/>
    </row>
    <row r="33" spans="1:36" ht="26.4">
      <c r="A33" s="14">
        <v>16</v>
      </c>
      <c r="B33" s="4" t="s">
        <v>338</v>
      </c>
      <c r="C33" s="5" t="s">
        <v>19</v>
      </c>
      <c r="D33" s="6">
        <f>'КП итог '!D50</f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J33" s="8">
        <f>2857*6</f>
        <v>17142</v>
      </c>
    </row>
    <row r="34" spans="1:36" ht="14.4" customHeight="1">
      <c r="A34" s="21"/>
      <c r="B34" s="21" t="s">
        <v>50</v>
      </c>
      <c r="C34" s="21"/>
      <c r="D34" s="2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J34" s="8">
        <f>AJ32*AJ33</f>
        <v>1065592.0706352987</v>
      </c>
    </row>
    <row r="35" spans="1:36" s="17" customFormat="1" ht="14.4" customHeight="1">
      <c r="A35" s="14"/>
      <c r="B35" s="220" t="s">
        <v>52</v>
      </c>
      <c r="C35" s="220"/>
      <c r="D35" s="220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 spans="1:36" s="17" customFormat="1">
      <c r="A36" s="14">
        <v>16</v>
      </c>
      <c r="B36" s="4" t="s">
        <v>53</v>
      </c>
      <c r="C36" s="5" t="s">
        <v>54</v>
      </c>
      <c r="D36" s="5">
        <f>'КП итог '!D56</f>
        <v>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5">
        <f>D36-SUM(E36:AE36)</f>
        <v>0</v>
      </c>
    </row>
    <row r="37" spans="1:36" s="17" customFormat="1">
      <c r="A37" s="14">
        <v>17</v>
      </c>
      <c r="B37" s="4" t="s">
        <v>55</v>
      </c>
      <c r="C37" s="5" t="s">
        <v>54</v>
      </c>
      <c r="D37" s="5">
        <f>'КП итог '!D57</f>
        <v>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5">
        <f>D37-SUM(E37:AE37)</f>
        <v>0</v>
      </c>
    </row>
    <row r="38" spans="1:36" s="17" customFormat="1">
      <c r="A38" s="14">
        <v>18</v>
      </c>
      <c r="B38" s="4" t="s">
        <v>56</v>
      </c>
      <c r="C38" s="5" t="s">
        <v>54</v>
      </c>
      <c r="D38" s="5">
        <f>'КП итог '!D58</f>
        <v>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5">
        <f>D38-SUM(E38:AE38)</f>
        <v>0</v>
      </c>
    </row>
    <row r="39" spans="1:36" s="17" customFormat="1">
      <c r="A39" s="14">
        <v>19</v>
      </c>
      <c r="B39" s="4" t="s">
        <v>57</v>
      </c>
      <c r="C39" s="5" t="s">
        <v>54</v>
      </c>
      <c r="D39" s="5">
        <f>'КП итог '!D59</f>
        <v>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5">
        <f>D39-SUM(E39:AE39)</f>
        <v>0</v>
      </c>
    </row>
  </sheetData>
  <mergeCells count="35">
    <mergeCell ref="AF4:AF5"/>
    <mergeCell ref="U3:Z3"/>
    <mergeCell ref="AC4:AC5"/>
    <mergeCell ref="AD4:AD5"/>
    <mergeCell ref="AE4:AE5"/>
    <mergeCell ref="E4:E5"/>
    <mergeCell ref="F4:F5"/>
    <mergeCell ref="G4:G5"/>
    <mergeCell ref="H4:H5"/>
    <mergeCell ref="I4:I5"/>
    <mergeCell ref="O4:O5"/>
    <mergeCell ref="AA4:AA5"/>
    <mergeCell ref="AB4:AB5"/>
    <mergeCell ref="P4:P5"/>
    <mergeCell ref="Q4:Q5"/>
    <mergeCell ref="R4:R5"/>
    <mergeCell ref="S4:S5"/>
    <mergeCell ref="T4:T5"/>
    <mergeCell ref="J4:J5"/>
    <mergeCell ref="K4:K5"/>
    <mergeCell ref="L4:L5"/>
    <mergeCell ref="M4:M5"/>
    <mergeCell ref="N4:N5"/>
    <mergeCell ref="B8:D8"/>
    <mergeCell ref="A2:D2"/>
    <mergeCell ref="A4:A5"/>
    <mergeCell ref="B4:B5"/>
    <mergeCell ref="C4:C5"/>
    <mergeCell ref="D4:D5"/>
    <mergeCell ref="A7:D7"/>
    <mergeCell ref="A11:D11"/>
    <mergeCell ref="B17:D17"/>
    <mergeCell ref="B19:D19"/>
    <mergeCell ref="B24:D24"/>
    <mergeCell ref="B35:D35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4"/>
  <sheetViews>
    <sheetView workbookViewId="0">
      <selection activeCell="F10" sqref="F10"/>
    </sheetView>
  </sheetViews>
  <sheetFormatPr defaultRowHeight="14.4"/>
  <cols>
    <col min="1" max="1" width="28.109375" customWidth="1"/>
    <col min="2" max="2" width="10.33203125" bestFit="1" customWidth="1"/>
    <col min="3" max="3" width="11.44140625" bestFit="1" customWidth="1"/>
    <col min="4" max="4" width="14.33203125" bestFit="1" customWidth="1"/>
    <col min="5" max="5" width="16" customWidth="1"/>
    <col min="7" max="7" width="11.44140625" bestFit="1" customWidth="1"/>
  </cols>
  <sheetData>
    <row r="2" spans="1:5">
      <c r="A2" s="199" t="s">
        <v>109</v>
      </c>
      <c r="B2" s="199"/>
      <c r="C2" s="199"/>
      <c r="D2" s="199"/>
    </row>
    <row r="3" spans="1:5" ht="28.8">
      <c r="A3" s="29"/>
      <c r="B3" s="29" t="s">
        <v>98</v>
      </c>
      <c r="C3" s="29" t="s">
        <v>31</v>
      </c>
      <c r="D3" s="29" t="s">
        <v>99</v>
      </c>
      <c r="E3" s="29" t="s">
        <v>374</v>
      </c>
    </row>
    <row r="4" spans="1:5">
      <c r="A4" s="30" t="s">
        <v>352</v>
      </c>
      <c r="B4" s="31">
        <f>2857.14/8</f>
        <v>357.14249999999998</v>
      </c>
      <c r="C4" s="148">
        <f>'График работ'!AJ32*8</f>
        <v>497.3011646880405</v>
      </c>
      <c r="D4" s="83">
        <f>B4*C4</f>
        <v>177607.3812095985</v>
      </c>
      <c r="E4" s="83">
        <f>500*'График работ'!AF6</f>
        <v>2500</v>
      </c>
    </row>
    <row r="5" spans="1:5">
      <c r="A5" s="30" t="s">
        <v>353</v>
      </c>
      <c r="B5" s="31">
        <f>2857.14/8</f>
        <v>357.14249999999998</v>
      </c>
      <c r="C5" s="148">
        <f>'График работ'!AJ32*8</f>
        <v>497.3011646880405</v>
      </c>
      <c r="D5" s="83">
        <f t="shared" ref="D5:D10" si="0">B5*C5</f>
        <v>177607.3812095985</v>
      </c>
      <c r="E5" s="83">
        <f>500*'График работ'!AF6</f>
        <v>2500</v>
      </c>
    </row>
    <row r="6" spans="1:5">
      <c r="A6" s="30" t="s">
        <v>367</v>
      </c>
      <c r="B6" s="31">
        <f>2857.14/8*4</f>
        <v>1428.57</v>
      </c>
      <c r="C6" s="148">
        <f>'График работ'!AJ32*8</f>
        <v>497.3011646880405</v>
      </c>
      <c r="D6" s="83">
        <f t="shared" si="0"/>
        <v>710429.52483839402</v>
      </c>
      <c r="E6" s="83">
        <f>2000*'График работ'!AF6</f>
        <v>10000</v>
      </c>
    </row>
    <row r="7" spans="1:5">
      <c r="A7" s="30" t="s">
        <v>100</v>
      </c>
      <c r="B7" s="31">
        <v>1600</v>
      </c>
      <c r="C7" s="148">
        <f>('График работ'!AH26+'График работ'!AH27+'График работ'!AH28)*8</f>
        <v>307.18474232536033</v>
      </c>
      <c r="D7" s="83">
        <f t="shared" si="0"/>
        <v>491495.58772057656</v>
      </c>
    </row>
    <row r="8" spans="1:5">
      <c r="A8" s="30" t="s">
        <v>101</v>
      </c>
      <c r="B8" s="31">
        <v>1400</v>
      </c>
      <c r="C8" s="32">
        <f>'[1]График работ'!M14</f>
        <v>0</v>
      </c>
      <c r="D8" s="83">
        <f t="shared" si="0"/>
        <v>0</v>
      </c>
    </row>
    <row r="9" spans="1:5">
      <c r="A9" s="30" t="s">
        <v>102</v>
      </c>
      <c r="B9" s="31">
        <v>1400</v>
      </c>
      <c r="C9" s="32">
        <f>'[1]График работ'!M15</f>
        <v>0</v>
      </c>
      <c r="D9" s="83">
        <f t="shared" si="0"/>
        <v>0</v>
      </c>
    </row>
    <row r="10" spans="1:5">
      <c r="A10" s="30" t="s">
        <v>108</v>
      </c>
      <c r="B10" s="31">
        <v>0</v>
      </c>
      <c r="C10" s="32">
        <f>'[1]График работ'!M16</f>
        <v>0</v>
      </c>
      <c r="D10" s="83">
        <f t="shared" si="0"/>
        <v>0</v>
      </c>
    </row>
    <row r="11" spans="1:5">
      <c r="A11" s="33" t="s">
        <v>103</v>
      </c>
      <c r="B11" s="34"/>
      <c r="C11" s="34"/>
      <c r="D11" s="84">
        <f>SUM(D4:D10)</f>
        <v>1557139.8749781675</v>
      </c>
    </row>
    <row r="13" spans="1:5">
      <c r="A13" s="199" t="s">
        <v>343</v>
      </c>
      <c r="B13" s="199"/>
      <c r="C13" s="199"/>
      <c r="D13" s="199"/>
    </row>
    <row r="14" spans="1:5">
      <c r="A14" s="29"/>
      <c r="B14" s="29" t="s">
        <v>345</v>
      </c>
      <c r="C14" s="29" t="s">
        <v>31</v>
      </c>
      <c r="D14" s="29" t="s">
        <v>99</v>
      </c>
    </row>
    <row r="15" spans="1:5">
      <c r="A15" s="30" t="s">
        <v>344</v>
      </c>
      <c r="B15" s="31">
        <v>680</v>
      </c>
      <c r="C15" s="32">
        <v>597.6</v>
      </c>
      <c r="D15" s="83">
        <f>B15*C15</f>
        <v>406368</v>
      </c>
    </row>
    <row r="16" spans="1:5">
      <c r="A16" s="30"/>
      <c r="B16" s="31"/>
      <c r="C16" s="32">
        <f>'[1]График работ'!M22</f>
        <v>0</v>
      </c>
      <c r="D16" s="83">
        <f>B16*C16</f>
        <v>0</v>
      </c>
    </row>
    <row r="17" spans="1:4">
      <c r="A17" s="30"/>
      <c r="B17" s="31"/>
      <c r="C17" s="32">
        <f>'[1]График работ'!M23</f>
        <v>0</v>
      </c>
      <c r="D17" s="83">
        <f>B17*C17</f>
        <v>0</v>
      </c>
    </row>
    <row r="18" spans="1:4">
      <c r="A18" s="30"/>
      <c r="B18" s="31"/>
      <c r="C18" s="32">
        <f>'[1]График работ'!M24</f>
        <v>0</v>
      </c>
      <c r="D18" s="83">
        <f>B18*C18</f>
        <v>0</v>
      </c>
    </row>
    <row r="19" spans="1:4">
      <c r="A19" s="30"/>
      <c r="B19" s="31"/>
      <c r="C19" s="32">
        <f>'[1]График работ'!M25</f>
        <v>0</v>
      </c>
      <c r="D19" s="83">
        <f>B19*C19</f>
        <v>0</v>
      </c>
    </row>
    <row r="20" spans="1:4">
      <c r="A20" s="33" t="s">
        <v>103</v>
      </c>
      <c r="B20" s="34"/>
      <c r="C20" s="34"/>
      <c r="D20" s="84">
        <f>SUM(D15:D19)</f>
        <v>406368</v>
      </c>
    </row>
    <row r="22" spans="1:4">
      <c r="D22" s="61">
        <f>D11+D20</f>
        <v>1963507.8749781675</v>
      </c>
    </row>
    <row r="24" spans="1:4">
      <c r="A24" s="226" t="s">
        <v>109</v>
      </c>
      <c r="B24" s="226"/>
      <c r="C24" s="226"/>
      <c r="D24" s="226"/>
    </row>
    <row r="25" spans="1:4">
      <c r="A25" s="29"/>
      <c r="B25" s="29" t="s">
        <v>98</v>
      </c>
      <c r="C25" s="29" t="s">
        <v>31</v>
      </c>
      <c r="D25" s="29" t="s">
        <v>99</v>
      </c>
    </row>
    <row r="26" spans="1:4">
      <c r="A26" s="30" t="s">
        <v>354</v>
      </c>
      <c r="B26" s="31">
        <v>357.14499999999998</v>
      </c>
      <c r="C26" s="32">
        <v>168</v>
      </c>
      <c r="D26" s="83">
        <f t="shared" ref="D26:D33" si="1">B26*C26</f>
        <v>60000.36</v>
      </c>
    </row>
    <row r="27" spans="1:4">
      <c r="A27" s="30" t="s">
        <v>355</v>
      </c>
      <c r="B27" s="31">
        <f>3000/8*3</f>
        <v>1125</v>
      </c>
      <c r="C27" s="32">
        <f>'[1]График работ'!M12</f>
        <v>64</v>
      </c>
      <c r="D27" s="83">
        <f t="shared" si="1"/>
        <v>72000</v>
      </c>
    </row>
    <row r="28" spans="1:4">
      <c r="A28" s="30" t="s">
        <v>356</v>
      </c>
      <c r="B28" s="31">
        <v>1875</v>
      </c>
      <c r="C28" s="32">
        <f>C27</f>
        <v>64</v>
      </c>
      <c r="D28" s="83">
        <f t="shared" si="1"/>
        <v>120000</v>
      </c>
    </row>
    <row r="29" spans="1:4">
      <c r="A29" s="30" t="s">
        <v>357</v>
      </c>
      <c r="B29" s="83">
        <f>[1]Перебазировка!D10</f>
        <v>110000</v>
      </c>
      <c r="C29" s="32">
        <v>1</v>
      </c>
      <c r="D29" s="83">
        <f t="shared" si="1"/>
        <v>110000</v>
      </c>
    </row>
    <row r="30" spans="1:4">
      <c r="A30" s="30" t="s">
        <v>100</v>
      </c>
      <c r="B30" s="31">
        <v>1600</v>
      </c>
      <c r="C30" s="32">
        <f>'[1]График работ'!M13</f>
        <v>48</v>
      </c>
      <c r="D30" s="83">
        <f t="shared" si="1"/>
        <v>76800</v>
      </c>
    </row>
    <row r="31" spans="1:4">
      <c r="A31" s="30" t="s">
        <v>101</v>
      </c>
      <c r="B31" s="31">
        <v>1400</v>
      </c>
      <c r="C31" s="32">
        <f>'[1]График работ'!M34</f>
        <v>0</v>
      </c>
      <c r="D31" s="83">
        <f t="shared" si="1"/>
        <v>0</v>
      </c>
    </row>
    <row r="32" spans="1:4">
      <c r="A32" s="30" t="s">
        <v>102</v>
      </c>
      <c r="B32" s="31">
        <v>1400</v>
      </c>
      <c r="C32" s="32">
        <f>'[1]График работ'!M35</f>
        <v>0</v>
      </c>
      <c r="D32" s="83">
        <f t="shared" si="1"/>
        <v>0</v>
      </c>
    </row>
    <row r="33" spans="1:4">
      <c r="A33" s="30" t="s">
        <v>108</v>
      </c>
      <c r="B33" s="31">
        <v>0</v>
      </c>
      <c r="C33" s="32">
        <f>'[1]График работ'!M36</f>
        <v>0</v>
      </c>
      <c r="D33" s="83">
        <f t="shared" si="1"/>
        <v>0</v>
      </c>
    </row>
    <row r="34" spans="1:4">
      <c r="A34" s="33" t="s">
        <v>103</v>
      </c>
      <c r="B34" s="34"/>
      <c r="C34" s="34"/>
      <c r="D34" s="84">
        <f>SUM(D26:D33)</f>
        <v>438800.36</v>
      </c>
    </row>
  </sheetData>
  <mergeCells count="3">
    <mergeCell ref="A2:D2"/>
    <mergeCell ref="A13:D13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2</vt:i4>
      </vt:variant>
    </vt:vector>
  </HeadingPairs>
  <TitlesOfParts>
    <vt:vector size="13" baseType="lpstr">
      <vt:lpstr>Заявка</vt:lpstr>
      <vt:lpstr>СНЕГ</vt:lpstr>
      <vt:lpstr>Толщина  </vt:lpstr>
      <vt:lpstr>Длина панелей</vt:lpstr>
      <vt:lpstr>РАСЧЕТЫ</vt:lpstr>
      <vt:lpstr>Фундамент</vt:lpstr>
      <vt:lpstr>Прибыль</vt:lpstr>
      <vt:lpstr>График работ</vt:lpstr>
      <vt:lpstr>Стоимость работ</vt:lpstr>
      <vt:lpstr>Перебазировка</vt:lpstr>
      <vt:lpstr>КП итог </vt:lpstr>
      <vt:lpstr>'График работ'!Область_печати</vt:lpstr>
      <vt:lpstr>'КП итог 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2015-09-23T22:07:04Z</dcterms:modified>
</cp:coreProperties>
</file>